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documenttasks+xml" PartName="/xl/documenttasks/documenttask24.xml"/>
  <Override ContentType="application/vnd.ms-excel.documenttasks+xml" PartName="/xl/documenttasks/documenttask11.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6.xml"/>
  <Override ContentType="application/vnd.ms-excel.documenttasks+xml" PartName="/xl/documenttasks/documenttask1.xml"/>
  <Override ContentType="application/vnd.ms-excel.documenttasks+xml" PartName="/xl/documenttasks/documenttask20.xml"/>
  <Override ContentType="application/vnd.ms-excel.documenttasks+xml" PartName="/xl/documenttasks/documenttask9.xml"/>
  <Override ContentType="application/vnd.ms-excel.documenttasks+xml" PartName="/xl/documenttasks/documenttask23.xml"/>
  <Override ContentType="application/vnd.ms-excel.documenttasks+xml" PartName="/xl/documenttasks/documenttask4.xml"/>
  <Override ContentType="application/vnd.ms-excel.documenttasks+xml" PartName="/xl/documenttasks/documenttask14.xml"/>
  <Override ContentType="application/vnd.ms-excel.documenttasks+xml" PartName="/xl/documenttasks/documenttask15.xml"/>
  <Override ContentType="application/vnd.ms-excel.documenttasks+xml" PartName="/xl/documenttasks/documenttask10.xml"/>
  <Override ContentType="application/vnd.ms-excel.documenttasks+xml" PartName="/xl/documenttasks/documenttask19.xml"/>
  <Override ContentType="application/vnd.ms-excel.documenttasks+xml" PartName="/xl/documenttasks/documenttask3.xml"/>
  <Override ContentType="application/vnd.ms-excel.documenttasks+xml" PartName="/xl/documenttasks/documenttask18.xml"/>
  <Override ContentType="application/vnd.ms-excel.documenttasks+xml" PartName="/xl/documenttasks/documenttask8.xml"/>
  <Override ContentType="application/vnd.ms-excel.documenttasks+xml" PartName="/xl/documenttasks/documenttask13.xml"/>
  <Override ContentType="application/vnd.ms-excel.documenttasks+xml" PartName="/xl/documenttasks/documenttask26.xml"/>
  <Override ContentType="application/vnd.ms-excel.documenttasks+xml" PartName="/xl/documenttasks/documenttask22.xml"/>
  <Override ContentType="application/vnd.ms-excel.documenttasks+xml" PartName="/xl/documenttasks/documenttask2.xml"/>
  <Override ContentType="application/vnd.ms-excel.documenttasks+xml" PartName="/xl/documenttasks/documenttask17.xml"/>
  <Override ContentType="application/vnd.ms-excel.documenttasks+xml" PartName="/xl/documenttasks/documenttask7.xml"/>
  <Override ContentType="application/vnd.ms-excel.documenttasks+xml" PartName="/xl/documenttasks/documenttask25.xml"/>
  <Override ContentType="application/vnd.ms-excel.documenttasks+xml" PartName="/xl/documenttasks/documenttask12.xml"/>
  <Override ContentType="application/vnd.ms-excel.documenttasks+xml" PartName="/xl/documenttasks/documenttask2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6.xml"/>
  <Override ContentType="application/vnd.ms-excel.threadedcomments+xml" PartName="/xl/threadedComments/threadedComment12.xml"/>
  <Override ContentType="application/vnd.ms-excel.threadedcomments+xml" PartName="/xl/threadedComments/threadedComment6.xml"/>
  <Override ContentType="application/vnd.ms-excel.threadedcomments+xml" PartName="/xl/threadedComments/threadedComment13.xml"/>
  <Override ContentType="application/vnd.ms-excel.threadedcomments+xml" PartName="/xl/threadedComments/threadedComment18.xml"/>
  <Override ContentType="application/vnd.ms-excel.threadedcomments+xml" PartName="/xl/threadedComments/threadedComment2.xml"/>
  <Override ContentType="application/vnd.ms-excel.threadedcomments+xml" PartName="/xl/threadedComments/threadedComment20.xml"/>
  <Override ContentType="application/vnd.ms-excel.threadedcomments+xml" PartName="/xl/threadedComments/threadedComment14.xml"/>
  <Override ContentType="application/vnd.ms-excel.threadedcomments+xml" PartName="/xl/threadedComments/threadedComment11.xml"/>
  <Override ContentType="application/vnd.ms-excel.threadedcomments+xml" PartName="/xl/threadedComments/threadedComment5.xml"/>
  <Override ContentType="application/vnd.ms-excel.threadedcomments+xml" PartName="/xl/threadedComments/threadedComment19.xml"/>
  <Override ContentType="application/vnd.ms-excel.threadedcomments+xml" PartName="/xl/threadedComments/threadedComment10.xml"/>
  <Override ContentType="application/vnd.ms-excel.threadedcomments+xml" PartName="/xl/threadedComments/threadedComment15.xml"/>
  <Override ContentType="application/vnd.ms-excel.threadedcomments+xml" PartName="/xl/threadedComments/threadedComment23.xml"/>
  <Override ContentType="application/vnd.ms-excel.threadedcomments+xml" PartName="/xl/threadedComments/threadedComment4.xml"/>
  <Override ContentType="application/vnd.ms-excel.threadedcomments+xml" PartName="/xl/threadedComments/threadedComment9.xml"/>
  <Override ContentType="application/vnd.ms-excel.threadedcomments+xml" PartName="/xl/threadedComments/threadedComment24.xml"/>
  <Override ContentType="application/vnd.ms-excel.threadedcomments+xml" PartName="/xl/threadedComments/threadedComment22.xml"/>
  <Override ContentType="application/vnd.ms-excel.threadedcomments+xml" PartName="/xl/threadedComments/threadedComment16.xml"/>
  <Override ContentType="application/vnd.ms-excel.threadedcomments+xml" PartName="/xl/threadedComments/threadedComment7.xml"/>
  <Override ContentType="application/vnd.ms-excel.threadedcomments+xml" PartName="/xl/threadedComments/threadedComment3.xml"/>
  <Override ContentType="application/vnd.ms-excel.threadedcomments+xml" PartName="/xl/threadedComments/threadedComment8.xml"/>
  <Override ContentType="application/vnd.ms-excel.threadedcomments+xml" PartName="/xl/threadedComments/threadedComment25.xml"/>
  <Override ContentType="application/vnd.ms-excel.threadedcomments+xml" PartName="/xl/threadedComments/threadedComment17.xml"/>
  <Override ContentType="application/vnd.ms-excel.threadedcomments+xml" PartName="/xl/threadedComments/threadedComment21.xml"/>
  <Override ContentType="application/vnd.openxmlformats-officedocument.spreadsheetml.styles+xml" PartName="/xl/styles.xml"/>
  <Override ContentType="application/vnd.openxmlformats-officedocument.spreadsheetml.comments+xml" PartName="/xl/comments21.xml"/>
  <Override ContentType="application/vnd.openxmlformats-officedocument.spreadsheetml.comments+xml" PartName="/xl/comments26.xml"/>
  <Override ContentType="application/vnd.openxmlformats-officedocument.spreadsheetml.comments+xml" PartName="/xl/comments9.xml"/>
  <Override ContentType="application/vnd.openxmlformats-officedocument.spreadsheetml.comments+xml" PartName="/xl/comments30.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27.xml"/>
  <Override ContentType="application/vnd.openxmlformats-officedocument.spreadsheetml.comments+xml" PartName="/xl/comments22.xml"/>
  <Override ContentType="application/vnd.openxmlformats-officedocument.spreadsheetml.comments+xml" PartName="/xl/comments3.xml"/>
  <Override ContentType="application/vnd.openxmlformats-officedocument.spreadsheetml.comments+xml" PartName="/xl/comments18.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10.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6.xml"/>
  <Override ContentType="application/vnd.openxmlformats-officedocument.spreadsheetml.comments+xml" PartName="/xl/comments28.xml"/>
  <Override ContentType="application/vnd.openxmlformats-officedocument.spreadsheetml.comments+xml" PartName="/xl/comments19.xml"/>
  <Override ContentType="application/vnd.openxmlformats-officedocument.spreadsheetml.comments+xml" PartName="/xl/comments2.xml"/>
  <Override ContentType="application/vnd.openxmlformats-officedocument.spreadsheetml.comments+xml" PartName="/xl/comments11.xml"/>
  <Override ContentType="application/vnd.openxmlformats-officedocument.spreadsheetml.comments+xml" PartName="/xl/comments20.xml"/>
  <Override ContentType="application/vnd.openxmlformats-officedocument.spreadsheetml.comments+xml" PartName="/xl/comments25.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29.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drawingml.chart+xml" PartName="/xl/charts/chart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Copperfield" sheetId="1" r:id="rId4"/>
    <sheet state="hidden" name="Ashley" sheetId="2" r:id="rId5"/>
    <sheet state="visible" name="Artura" sheetId="3" r:id="rId6"/>
    <sheet state="visible" name="Aviator" sheetId="4" r:id="rId7"/>
    <sheet state="visible" name="Terrain" sheetId="5" r:id="rId8"/>
    <sheet state="visible" name="Dallas" sheetId="6" r:id="rId9"/>
    <sheet state="visible" name="Equator" sheetId="7" r:id="rId10"/>
    <sheet state="visible" name="Prado" sheetId="8" r:id="rId11"/>
    <sheet state="visible" name="Houston" sheetId="9" r:id="rId12"/>
    <sheet state="visible" name="Wrangler" sheetId="10" r:id="rId13"/>
    <sheet state="visible" name="Manaus NA" sheetId="11" r:id="rId14"/>
    <sheet state="hidden" name="Manaus DCM" sheetId="12" r:id="rId15"/>
    <sheet state="hidden" name="Manaus ROW" sheetId="13" r:id="rId16"/>
    <sheet state="hidden" name="London NA" sheetId="14" r:id="rId17"/>
    <sheet state="visible" name="Boston" sheetId="15" r:id="rId18"/>
    <sheet state="hidden" name="Geneva NA" sheetId="16" r:id="rId19"/>
    <sheet state="hidden" name="Dubai+ NA" sheetId="17" r:id="rId20"/>
    <sheet state="hidden" name="Milan 5G" sheetId="18" r:id="rId21"/>
    <sheet state="hidden" name="Yukon" sheetId="19" r:id="rId22"/>
    <sheet state="hidden" name="Sierra" sheetId="20" r:id="rId23"/>
    <sheet state="hidden" name="Denver" sheetId="21" r:id="rId24"/>
    <sheet state="hidden" name="Stingray" sheetId="22" r:id="rId25"/>
    <sheet state="hidden" name="Sofia NA" sheetId="23" r:id="rId26"/>
    <sheet state="hidden" name="Nairobi" sheetId="24" r:id="rId27"/>
    <sheet state="hidden" name="Tahoe" sheetId="25" r:id="rId28"/>
    <sheet state="hidden" name="Shelby" sheetId="26" r:id="rId29"/>
    <sheet state="hidden" name="Quattro" sheetId="27" r:id="rId30"/>
    <sheet state="hidden" name="Andy NA" sheetId="28" r:id="rId31"/>
    <sheet state="hidden" name="George NA" sheetId="29" r:id="rId32"/>
    <sheet state="visible" name="Option" sheetId="30" r:id="rId33"/>
    <sheet state="visible" name="Database" sheetId="31" r:id="rId34"/>
    <sheet state="visible" name="Project Status" sheetId="32" r:id="rId35"/>
    <sheet state="visible" name="Summary Status" sheetId="33" r:id="rId36"/>
    <sheet state="visible" name="Miami" sheetId="34" r:id="rId37"/>
  </sheets>
  <definedNames>
    <definedName hidden="1" localSheetId="0" name="_xlnm._FilterDatabase">Copperfield!$A$1:$AA$993</definedName>
    <definedName hidden="1" localSheetId="6" name="_xlnm._FilterDatabase">Equator!$A$1:$Z$64</definedName>
    <definedName hidden="1" localSheetId="12" name="_xlnm._FilterDatabase">'Manaus ROW'!$A$1:$Z$1013</definedName>
    <definedName hidden="1" localSheetId="13" name="_xlnm._FilterDatabase">'London NA'!$A$1:$L$59</definedName>
    <definedName hidden="1" localSheetId="14" name="_xlnm._FilterDatabase">Boston!$A$1:$Z$1041</definedName>
    <definedName hidden="1" localSheetId="15" name="_xlnm._FilterDatabase">'Geneva NA'!$A$1:$L$49</definedName>
    <definedName hidden="1" localSheetId="16" name="_xlnm._FilterDatabase">'Dubai+ NA'!$A$1:$L$36</definedName>
    <definedName hidden="1" localSheetId="17" name="_xlnm._FilterDatabase">'Milan 5G'!$A$1:$L$30</definedName>
    <definedName hidden="1" localSheetId="18" name="_xlnm._FilterDatabase">Yukon!$A$1:$L$1043</definedName>
    <definedName hidden="1" localSheetId="19" name="_xlnm._FilterDatabase">Sierra!$A$1:$Z$1036</definedName>
    <definedName hidden="1" localSheetId="21" name="_xlnm._FilterDatabase">Stingray!$A$1:$M$120</definedName>
    <definedName hidden="1" localSheetId="22" name="_xlnm._FilterDatabase">'Sofia NA'!$A$1:$O$140</definedName>
    <definedName hidden="1" localSheetId="23" name="_xlnm._FilterDatabase">Nairobi!$A$1:$M$152</definedName>
    <definedName hidden="1" localSheetId="24" name="_xlnm._FilterDatabase">Tahoe!$A$1:$M$109</definedName>
    <definedName hidden="1" localSheetId="25" name="_xlnm._FilterDatabase">Shelby!$A$1:$M$1073</definedName>
    <definedName hidden="1" localSheetId="27" name="_xlnm._FilterDatabase">'Andy NA'!$A$1:$O$996</definedName>
    <definedName hidden="1" localSheetId="33" name="_xlnm._FilterDatabase">Miami!$A$1:$L$15</definedName>
    <definedName hidden="1" localSheetId="21" name="Z_0373266D_FDE9_402D_B356_CC4A29DEE2C4_.wvu.FilterData">Stingray!$A$1:$I$120</definedName>
    <definedName hidden="1" localSheetId="22" name="Z_0373266D_FDE9_402D_B356_CC4A29DEE2C4_.wvu.FilterData">'Sofia NA'!$A$1:$I$140</definedName>
    <definedName hidden="1" localSheetId="23" name="Z_0373266D_FDE9_402D_B356_CC4A29DEE2C4_.wvu.FilterData">Nairobi!$A$1:$I$152</definedName>
    <definedName hidden="1" localSheetId="24" name="Z_0373266D_FDE9_402D_B356_CC4A29DEE2C4_.wvu.FilterData">Tahoe!$A$1:$I$109</definedName>
    <definedName hidden="1" localSheetId="25" name="Z_0373266D_FDE9_402D_B356_CC4A29DEE2C4_.wvu.FilterData">Shelby!$A$1:$I$87</definedName>
    <definedName hidden="1" localSheetId="26" name="Z_0373266D_FDE9_402D_B356_CC4A29DEE2C4_.wvu.FilterData">Quattro!$A$1:$I$97</definedName>
    <definedName hidden="1" localSheetId="21" name="Z_35A93920_2C98_4ACF_95FD_9E549BB0A80C_.wvu.FilterData">Stingray!$A$1:$M$120</definedName>
    <definedName hidden="1" localSheetId="22" name="Z_35A93920_2C98_4ACF_95FD_9E549BB0A80C_.wvu.FilterData">'Sofia NA'!$A$1:$O$140</definedName>
    <definedName hidden="1" localSheetId="23" name="Z_35A93920_2C98_4ACF_95FD_9E549BB0A80C_.wvu.FilterData">Nairobi!$A$1:$M$152</definedName>
    <definedName hidden="1" localSheetId="24" name="Z_35A93920_2C98_4ACF_95FD_9E549BB0A80C_.wvu.FilterData">Tahoe!$A$1:$M$109</definedName>
    <definedName hidden="1" localSheetId="26" name="Z_35A93920_2C98_4ACF_95FD_9E549BB0A80C_.wvu.FilterData">Quattro!$A$1:$M$97</definedName>
    <definedName hidden="1" localSheetId="30" name="Z_35A93920_2C98_4ACF_95FD_9E549BB0A80C_.wvu.FilterData">Database!$G$1:$N$1011</definedName>
    <definedName hidden="1" localSheetId="28" name="Z_680DA13D_B90D_4DCE_BD48_5C0C34BB49B8_.wvu.FilterData">'George NA'!$A$1:$I$22</definedName>
    <definedName hidden="1" localSheetId="0" name="Z_3EDA368C_82AF_4F91_99D0_447C6D0C3AC0_.wvu.FilterData">Copperfield!$A$1:$I$993</definedName>
    <definedName hidden="1" localSheetId="21" name="Z_3EDA368C_82AF_4F91_99D0_447C6D0C3AC0_.wvu.FilterData">Stingray!$A$1:$I$120</definedName>
    <definedName hidden="1" localSheetId="22" name="Z_3EDA368C_82AF_4F91_99D0_447C6D0C3AC0_.wvu.FilterData">'Sofia NA'!$A$1:$I$140</definedName>
    <definedName hidden="1" localSheetId="23" name="Z_3EDA368C_82AF_4F91_99D0_447C6D0C3AC0_.wvu.FilterData">Nairobi!$A$1:$I$152</definedName>
    <definedName hidden="1" localSheetId="24" name="Z_3EDA368C_82AF_4F91_99D0_447C6D0C3AC0_.wvu.FilterData">Tahoe!$A$1:$I$109</definedName>
    <definedName hidden="1" localSheetId="25" name="Z_3EDA368C_82AF_4F91_99D0_447C6D0C3AC0_.wvu.FilterData">Shelby!$A$1:$I$1073</definedName>
    <definedName hidden="1" localSheetId="26" name="Z_3EDA368C_82AF_4F91_99D0_447C6D0C3AC0_.wvu.FilterData">Quattro!$A$1:$I$97</definedName>
    <definedName hidden="1" localSheetId="27" name="Z_3EDA368C_82AF_4F91_99D0_447C6D0C3AC0_.wvu.FilterData">'Andy NA'!$A$1:$I$996</definedName>
    <definedName hidden="1" localSheetId="28" name="Z_3EDA368C_82AF_4F91_99D0_447C6D0C3AC0_.wvu.FilterData">'George NA'!$A$1:$I$1002</definedName>
    <definedName hidden="1" localSheetId="21" name="Z_5D296ECC_B345_43FC_8C5D_D13179378379_.wvu.FilterData">Stingray!$A$1:$L$110</definedName>
    <definedName hidden="1" localSheetId="21" name="Z_7CD3BC90_8565_4EF1_83E0_02DA5A629FB7_.wvu.FilterData">Stingray!$A$1:$K$110</definedName>
    <definedName hidden="1" localSheetId="22" name="Z_7CD3BC90_8565_4EF1_83E0_02DA5A629FB7_.wvu.FilterData">'Sofia NA'!$A$1:$K$130</definedName>
    <definedName hidden="1" localSheetId="23" name="Z_7CD3BC90_8565_4EF1_83E0_02DA5A629FB7_.wvu.FilterData">Nairobi!$A$1:$K$142</definedName>
    <definedName hidden="1" localSheetId="24" name="Z_7CD3BC90_8565_4EF1_83E0_02DA5A629FB7_.wvu.FilterData">Tahoe!$A$1:$K$99</definedName>
    <definedName hidden="1" localSheetId="26" name="Z_7CD3BC90_8565_4EF1_83E0_02DA5A629FB7_.wvu.FilterData">Quattro!$A$1:$K$87</definedName>
    <definedName hidden="1" localSheetId="0" name="Z_7E71B5F7_61AF_4C93_AAAA_D905E381EEB1_.wvu.FilterData">Copperfield!$F$8</definedName>
    <definedName hidden="1" localSheetId="7" name="Z_7E71B5F7_61AF_4C93_AAAA_D905E381EEB1_.wvu.FilterData">Prado!$A$1:$Z$1060</definedName>
    <definedName hidden="1" localSheetId="8" name="Z_7E71B5F7_61AF_4C93_AAAA_D905E381EEB1_.wvu.FilterData">Houston!$A$1:$Z$41</definedName>
    <definedName hidden="1" localSheetId="14" name="Z_7E71B5F7_61AF_4C93_AAAA_D905E381EEB1_.wvu.FilterData">Boston!$A$1:$Z$1041</definedName>
    <definedName hidden="1" localSheetId="16" name="Z_7E71B5F7_61AF_4C93_AAAA_D905E381EEB1_.wvu.FilterData">'Dubai+ NA'!$A$1:$Z$32</definedName>
    <definedName hidden="1" localSheetId="19" name="Z_7E71B5F7_61AF_4C93_AAAA_D905E381EEB1_.wvu.FilterData">Sierra!$A$1:$Z$1036</definedName>
    <definedName hidden="1" localSheetId="21" name="Z_7E71B5F7_61AF_4C93_AAAA_D905E381EEB1_.wvu.FilterData">Stingray!$A$1:$K$84</definedName>
    <definedName hidden="1" localSheetId="22" name="Z_7E71B5F7_61AF_4C93_AAAA_D905E381EEB1_.wvu.FilterData">'Sofia NA'!$A$1:$K$104</definedName>
    <definedName hidden="1" localSheetId="23" name="Z_7E71B5F7_61AF_4C93_AAAA_D905E381EEB1_.wvu.FilterData">Nairobi!$A$1:$K$116</definedName>
    <definedName hidden="1" localSheetId="24" name="Z_7E71B5F7_61AF_4C93_AAAA_D905E381EEB1_.wvu.FilterData">Tahoe!$A$1:$K$73</definedName>
    <definedName hidden="1" localSheetId="25" name="Z_7E71B5F7_61AF_4C93_AAAA_D905E381EEB1_.wvu.FilterData">Shelby!$F$100</definedName>
    <definedName hidden="1" localSheetId="26" name="Z_7E71B5F7_61AF_4C93_AAAA_D905E381EEB1_.wvu.FilterData">Quattro!$A$1:$K$61</definedName>
    <definedName hidden="1" localSheetId="27" name="Z_7E71B5F7_61AF_4C93_AAAA_D905E381EEB1_.wvu.FilterData">'Andy NA'!$F$18</definedName>
    <definedName hidden="1" localSheetId="28" name="Z_7E71B5F7_61AF_4C93_AAAA_D905E381EEB1_.wvu.FilterData">'George NA'!$F$29</definedName>
    <definedName hidden="1" localSheetId="0" name="Z_029C2313_9411_4E27_907A_EFD996D6C4E5_.wvu.FilterData">Copperfield!$F$1:$Z$993</definedName>
    <definedName hidden="1" localSheetId="21" name="Z_029C2313_9411_4E27_907A_EFD996D6C4E5_.wvu.FilterData">Stingray!$F$1:$I$120</definedName>
    <definedName hidden="1" localSheetId="22" name="Z_029C2313_9411_4E27_907A_EFD996D6C4E5_.wvu.FilterData">'Sofia NA'!$F$1:$I$140</definedName>
    <definedName hidden="1" localSheetId="23" name="Z_029C2313_9411_4E27_907A_EFD996D6C4E5_.wvu.FilterData">Nairobi!$F$1:$I$152</definedName>
    <definedName hidden="1" localSheetId="24" name="Z_029C2313_9411_4E27_907A_EFD996D6C4E5_.wvu.FilterData">Tahoe!$F$1:$I$109</definedName>
    <definedName hidden="1" localSheetId="25" name="Z_029C2313_9411_4E27_907A_EFD996D6C4E5_.wvu.FilterData">Shelby!$F$1:$I$1073</definedName>
    <definedName hidden="1" localSheetId="26" name="Z_029C2313_9411_4E27_907A_EFD996D6C4E5_.wvu.FilterData">Quattro!$F$1:$I$97</definedName>
    <definedName hidden="1" localSheetId="27" name="Z_029C2313_9411_4E27_907A_EFD996D6C4E5_.wvu.FilterData">'Andy NA'!$F$1:$O$996</definedName>
    <definedName hidden="1" localSheetId="28" name="Z_029C2313_9411_4E27_907A_EFD996D6C4E5_.wvu.FilterData">'George NA'!$F$1:$I$1002</definedName>
    <definedName hidden="1" localSheetId="22" name="Z_DF01C596_C6C8_4FD7_8689_9293067D3717_.wvu.FilterData">'Sofia NA'!$A$1:$L$56</definedName>
    <definedName hidden="1" localSheetId="23" name="Z_DF01C596_C6C8_4FD7_8689_9293067D3717_.wvu.FilterData">Nairobi!$A$1:$L$81</definedName>
    <definedName hidden="1" localSheetId="24" name="Z_DF01C596_C6C8_4FD7_8689_9293067D3717_.wvu.FilterData">Tahoe!$A$1:$L$53</definedName>
    <definedName hidden="1" localSheetId="26" name="Z_DF01C596_C6C8_4FD7_8689_9293067D3717_.wvu.FilterData">Quattro!$A$1:$L$23</definedName>
    <definedName hidden="1" localSheetId="22" name="Z_D5F0B65D_66C9_4347_A490_E122D728248F_.wvu.FilterData">'Sofia NA'!$A$1:$O$53</definedName>
    <definedName hidden="1" localSheetId="25" name="Z_D5F0B65D_66C9_4347_A490_E122D728248F_.wvu.FilterData">Shelby!$A$1:$M$82</definedName>
    <definedName hidden="1" localSheetId="21" name="Z_75472B64_22E8_45FC_A839_460B446DB55F_.wvu.FilterData">Stingray!$A$1:$I$120</definedName>
    <definedName hidden="1" localSheetId="22" name="Z_75472B64_22E8_45FC_A839_460B446DB55F_.wvu.FilterData">'Sofia NA'!$A$1:$I$140</definedName>
    <definedName hidden="1" localSheetId="23" name="Z_75472B64_22E8_45FC_A839_460B446DB55F_.wvu.FilterData">Nairobi!$A$1:$I$152</definedName>
    <definedName hidden="1" localSheetId="24" name="Z_75472B64_22E8_45FC_A839_460B446DB55F_.wvu.FilterData">Tahoe!$A$1:$I$109</definedName>
    <definedName hidden="1" localSheetId="25" name="Z_75472B64_22E8_45FC_A839_460B446DB55F_.wvu.FilterData">Shelby!$A$1:$I$87</definedName>
    <definedName hidden="1" localSheetId="26" name="Z_75472B64_22E8_45FC_A839_460B446DB55F_.wvu.FilterData">Quattro!$A$1:$I$97</definedName>
    <definedName hidden="1" localSheetId="21" name="Z_B6A86415_DF48_45F1_A991_B23046677151_.wvu.FilterData">Stingray!$A$1:$M$120</definedName>
    <definedName hidden="1" localSheetId="6" name="Z_4E722777_354C_41C4_BDAF_3C065BD42EC8_.wvu.FilterData">Equator!$A$1:$L$63</definedName>
    <definedName hidden="1" localSheetId="15" name="Z_4E722777_354C_41C4_BDAF_3C065BD42EC8_.wvu.FilterData">'Geneva NA'!$A$1:$L$67</definedName>
    <definedName hidden="1" localSheetId="21" name="Z_4E722777_354C_41C4_BDAF_3C065BD42EC8_.wvu.FilterData">Stingray!$A$1:$K$115</definedName>
    <definedName hidden="1" localSheetId="22" name="Z_4E722777_354C_41C4_BDAF_3C065BD42EC8_.wvu.FilterData">'Sofia NA'!$A$1:$K$129</definedName>
    <definedName hidden="1" localSheetId="23" name="Z_4E722777_354C_41C4_BDAF_3C065BD42EC8_.wvu.FilterData">Nairobi!$A$1:$K$142</definedName>
    <definedName hidden="1" localSheetId="24" name="Z_4E722777_354C_41C4_BDAF_3C065BD42EC8_.wvu.FilterData">Tahoe!$A$1:$K$99</definedName>
    <definedName hidden="1" localSheetId="25" name="Z_4E722777_354C_41C4_BDAF_3C065BD42EC8_.wvu.FilterData">Shelby!$A$1:$K$85</definedName>
    <definedName hidden="1" localSheetId="26" name="Z_4E722777_354C_41C4_BDAF_3C065BD42EC8_.wvu.FilterData">Quattro!$A$1:$K$86</definedName>
    <definedName hidden="1" localSheetId="30" name="Z_4E722777_354C_41C4_BDAF_3C065BD42EC8_.wvu.FilterData">Database!$G$1:$M$1011</definedName>
    <definedName hidden="1" localSheetId="21" name="Z_14910ABA_25C5_4249_BD6C_ACF0CEBAD616_.wvu.FilterData">Stingray!$A$1:$I$120</definedName>
    <definedName hidden="1" localSheetId="22" name="Z_14910ABA_25C5_4249_BD6C_ACF0CEBAD616_.wvu.FilterData">'Sofia NA'!$A$1:$I$140</definedName>
    <definedName hidden="1" localSheetId="23" name="Z_14910ABA_25C5_4249_BD6C_ACF0CEBAD616_.wvu.FilterData">Nairobi!$A$1:$I$152</definedName>
    <definedName hidden="1" localSheetId="24" name="Z_14910ABA_25C5_4249_BD6C_ACF0CEBAD616_.wvu.FilterData">Tahoe!$A$1:$I$109</definedName>
    <definedName hidden="1" localSheetId="25" name="Z_14910ABA_25C5_4249_BD6C_ACF0CEBAD616_.wvu.FilterData">Shelby!$A$1:$I$87</definedName>
    <definedName hidden="1" localSheetId="26" name="Z_14910ABA_25C5_4249_BD6C_ACF0CEBAD616_.wvu.FilterData">Quattro!$A$1:$I$97</definedName>
    <definedName hidden="1" localSheetId="21" name="Z_BEBD1EEB_1477_4C60_A76F_C1C20538AC33_.wvu.FilterData">Stingray!$A$1:$M$120</definedName>
    <definedName hidden="1" localSheetId="22" name="Z_BEBD1EEB_1477_4C60_A76F_C1C20538AC33_.wvu.FilterData">'Sofia NA'!$A$1:$O$140</definedName>
    <definedName hidden="1" localSheetId="23" name="Z_BEBD1EEB_1477_4C60_A76F_C1C20538AC33_.wvu.FilterData">Nairobi!$A$1:$M$152</definedName>
    <definedName hidden="1" localSheetId="24" name="Z_BEBD1EEB_1477_4C60_A76F_C1C20538AC33_.wvu.FilterData">Tahoe!$A$1:$M$109</definedName>
    <definedName hidden="1" localSheetId="26" name="Z_BEBD1EEB_1477_4C60_A76F_C1C20538AC33_.wvu.FilterData">Quattro!$A$1:$M$49</definedName>
    <definedName hidden="1" localSheetId="25" name="Z_EA286861_2BF7_43B3_9B82_4333ABB0A30E_.wvu.FilterData">Shelby!$A$1:$K$85</definedName>
    <definedName hidden="1" localSheetId="21" name="Z_E0F697A7_8F80_4AD9_9696_95D1452F7CEA_.wvu.FilterData">Stingray!$I$1:$I$120</definedName>
    <definedName hidden="1" localSheetId="22" name="Z_E0F697A7_8F80_4AD9_9696_95D1452F7CEA_.wvu.FilterData">'Sofia NA'!$A$1:$L$67</definedName>
    <definedName hidden="1" localSheetId="23" name="Z_E0F697A7_8F80_4AD9_9696_95D1452F7CEA_.wvu.FilterData">Nairobi!$A$1:$L$81</definedName>
    <definedName hidden="1" localSheetId="24" name="Z_E0F697A7_8F80_4AD9_9696_95D1452F7CEA_.wvu.FilterData">Tahoe!$A$1:$L$53</definedName>
    <definedName hidden="1" localSheetId="26" name="Z_E0F697A7_8F80_4AD9_9696_95D1452F7CEA_.wvu.FilterData">Quattro!$A$1:$L$23</definedName>
  </definedNames>
  <calcPr/>
  <customWorkbookViews>
    <customWorkbookView activeSheetId="0" maximized="1" windowHeight="0" windowWidth="0" guid="{3EDA368C-82AF-4F91-99D0-447C6D0C3AC0}" name="BB"/>
    <customWorkbookView activeSheetId="0" maximized="1" windowHeight="0" windowWidth="0" guid="{7E71B5F7-61AF-4C93-AAAA-D905E381EEB1}" name="过滤器1"/>
    <customWorkbookView activeSheetId="0" maximized="1" windowHeight="0" windowWidth="0" guid="{75472B64-22E8-45FC-A839-460B446DB55F}" name="过滤器2"/>
    <customWorkbookView activeSheetId="0" maximized="1" windowHeight="0" windowWidth="0" guid="{7CD3BC90-8565-4EF1-83E0-02DA5A629FB7}" name="chenbang3"/>
    <customWorkbookView activeSheetId="0" maximized="1" windowHeight="0" windowWidth="0" guid="{35A93920-2C98-4ACF-95FD-9E549BB0A80C}" name="fanlf"/>
    <customWorkbookView activeSheetId="0" maximized="1" windowHeight="0" windowWidth="0" guid="{14910ABA-25C5-4249-BD6C-ACF0CEBAD616}" name="xiaozh1"/>
    <customWorkbookView activeSheetId="0" maximized="1" windowHeight="0" windowWidth="0" guid="{EA286861-2BF7-43B3-9B82-4333ABB0A30E}" name="Bang"/>
    <customWorkbookView activeSheetId="0" maximized="1" windowHeight="0" windowWidth="0" guid="{5D296ECC-B345-43FC-8C5D-D13179378379}" name="过滤器5"/>
    <customWorkbookView activeSheetId="0" maximized="1" windowHeight="0" windowWidth="0" guid="{E0F697A7-8F80-4AD9-9696-95D1452F7CEA}" name="过滤器3"/>
    <customWorkbookView activeSheetId="0" maximized="1" windowHeight="0" windowWidth="0" guid="{BEBD1EEB-1477-4C60-A76F-C1C20538AC33}" name="过滤器4"/>
    <customWorkbookView activeSheetId="0" maximized="1" windowHeight="0" windowWidth="0" guid="{0373266D-FDE9-402D-B356-CC4A29DEE2C4}" name="HuangLS5"/>
    <customWorkbookView activeSheetId="0" maximized="1" windowHeight="0" windowWidth="0" guid="{B6A86415-DF48-45F1-A991-B23046677151}" name="过滤器4-LG"/>
    <customWorkbookView activeSheetId="0" maximized="1" windowHeight="0" windowWidth="0" guid="{4E722777-354C-41C4-BDAF-3C065BD42EC8}" name="chenwt"/>
    <customWorkbookView activeSheetId="0" maximized="1" windowHeight="0" windowWidth="0" guid="{DF01C596-C6C8-4FD7-8689-9293067D3717}" name="changfm1"/>
    <customWorkbookView activeSheetId="0" maximized="1" windowHeight="0" windowWidth="0" guid="{D5F0B65D-66C9-4347-A490-E122D728248F}" name="XIONGSN1"/>
    <customWorkbookView activeSheetId="0" maximized="1" windowHeight="0" windowWidth="0" guid="{029C2313-9411-4E27-907A-EFD996D6C4E5}" name="Open Issue"/>
    <customWorkbookView activeSheetId="0" maximized="1" windowHeight="0" windowWidth="0" guid="{680DA13D-B90D-4DCE-BD48-5C0C34BB49B8}" name="linfenga"/>
  </customWorkbookViews>
  <pivotCaches>
    <pivotCache cacheId="0" r:id="rId38"/>
    <pivotCache cacheId="1" r:id="rId39"/>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tc={da6acae5-de7b-4314-97fd-e25886a7f1b5}</author>
  </authors>
  <commentList>
    <comment authorId="0" ref="E1">
      <text>
        <t xml:space="preserve">S1 – impact consumer, program blocking issue, must fix prior to ship
S2 – impact consumer, but have plan to fix, manageable risk
S3 – low risk of getting field returns, can fix but may not be able to fix due to time or design limitations.
</t>
      </text>
    </comment>
    <comment authorId="1" xr:uid="{da6acae5-de7b-4314-97fd-e25886a7f1b5}" ref="E1">
      <text>
        <t xml:space="preserve">[Threaded comment]
 Your version of Excel allows you to read this threaded comment; however, any edits to it will get removed if the file is opened in a newer version of Excel. Learn more: https://go.microsoft.com/fwlink/?linkid=870924
Comment:
	@chenwt@motorola.com 
@xiongsn1@motorola.com 
@dongjk@motorola.com 
@yangwla@motorola.com 
@liujjg@motorola.com 
@wuxm5@motorola.com 
@changfm1@motorola.com 
@liguoa@motorola.com 
@xiaozh1@motorola.com 
@chenw24@motorola.com 
@huangls5@motorola.com 
Issue Risk Severity Definition:
S1 – impact consumer, program blocking issue, must fix prior to ship
S2 – impact consumer, but have plan to fix, manageable risk
S3 – low risk of getting field returns, can fix but may not be able to fix due to time or design limitations.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tc={4102213e-47f2-454b-97b2-9881ec69ae12}</author>
  </authors>
  <commentList>
    <comment authorId="0" ref="D1">
      <text>
        <t xml:space="preserve">S1 – impact consumer, program blocking issue, must fix prior to ship
S2 – impact consumer, but have plan to fix, manageable risk
S3 – low risk of getting field returns, can fix but may not be able to fix due to time or design limitations.
</t>
      </text>
    </comment>
    <comment authorId="1" xr:uid="{4102213e-47f2-454b-97b2-9881ec69ae12}" ref="I1">
      <text>
        <t xml:space="preserve">[Threaded comment]
 Your version of Excel allows you to read this threaded comment; however, any edits to it will get removed if the file is opened in a newer version of Excel. Learn more: https://go.microsoft.com/fwlink/?linkid=870924
Comment:
	@dongjk@motorola.com 
Using this sheet to manage Issue
分配给了dongjk@motorola.com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tc={1618ab2a-67cd-45cb-9fc8-557bf65501bd}</author>
    <author>tc={2a631668-bf1b-4d01-97fb-2cc697842ec8}</author>
    <author>tc={31c3a8e5-efcc-4c7d-9e79-877b749bdad5}</author>
    <author>tc={58dc7294-d6ac-4ec4-8688-ccd7d95c74f2}</author>
    <author>tc={8ab7e6c7-f7b3-43b9-adbf-8eb3b3a6c424}</author>
    <author>tc={98d23b00-16f5-4b0c-9087-d0f1460dbc4d}</author>
    <author>tc={c1145e7a-c234-4681-8e19-f6f5055473e2}</author>
    <author>tc={d3145a25-19ae-45f5-aa6a-48f9558b4fc5}</author>
    <author>tc={ed59b608-20a1-46f1-9e2e-e31324a622b5}</author>
    <author>tc={f3ac7b0b-0809-49ea-b23a-9d53852afa26}</author>
  </authors>
  <commentList>
    <comment authorId="0" ref="E1">
      <text>
        <t xml:space="preserve">S1 : Block Gerber out          &amp;Solution Not Validated 
S2 : Not Block Gerber out  &amp;Solution Not Validated 
S3 : Not Block Gerber out  &amp;Solution RD Validated </t>
      </text>
    </comment>
    <comment authorId="1" xr:uid="{1618ab2a-67cd-45cb-9fc8-557bf65501bd}" ref="A1">
      <text>
        <t xml:space="preserve">[Threaded comment]
 Your version of Excel allows you to read this threaded comment; however, any edits to it will get removed if the file is opened in a newer version of Excel. Learn more: https://go.microsoft.com/fwlink/?linkid=870924
Comment:
	@fanlf@motorola.com 
@linfenga@motorola.com 
Pls add green for S3, Yellow for S2, Red for S1, I am tired to change format every time , pls fixed in your source data.
Reply:
	Not Possible here，Will update the color in G Doc.
</t>
      </text>
    </comment>
    <comment authorId="2" xr:uid="{2a631668-bf1b-4d01-97fb-2cc697842ec8}" ref="G4">
      <text>
        <t xml:space="preserve">[Threaded comment]
 Your version of Excel allows you to read this threaded comment; however, any edits to it will get removed if the file is opened in a newer version of Excel. Learn more: https://go.microsoft.com/fwlink/?linkid=870924
Comment:
	@liguoa@motorola.com 
提醒下，如果有短路就有可能会干涉风险。因为电容除了外部短路外，如果被严重挤压，本体也会坏掉短路。建议确认下 间隙风险 ，谢谢
分配给了liguoa@motorola.com
</t>
      </text>
    </comment>
    <comment authorId="3" xr:uid="{31c3a8e5-efcc-4c7d-9e79-877b749bdad5}" ref="A1">
      <text>
        <t xml:space="preserve">[Threaded comment]
 Your version of Excel allows you to read this threaded comment; however, any edits to it will get removed if the file is opened in a newer version of Excel. Learn more: https://go.microsoft.com/fwlink/?linkid=870924
Comment:
	@fanlf@motorola.com 
@wuxm5@motorola.com 
0x80 的新开一个文档，请在这个文档上继续更新，谢谢
</t>
      </text>
    </comment>
    <comment authorId="4" xr:uid="{58dc7294-d6ac-4ec4-8688-ccd7d95c74f2}" ref="A1">
      <text>
        <t xml:space="preserve">[Threaded comment]
 Your version of Excel allows you to read this threaded comment; however, any edits to it will get removed if the file is opened in a newer version of Excel. Learn more: https://go.microsoft.com/fwlink/?linkid=870924
Comment:
	@dongjk@motorola.com 
@fanlf@motorola.com 
HI 小董
UFS 这次case ，你来汇总吧，你将issue link 放过来，最好也能更新下这边内容，谢谢 。（特别关注生产要如何做。  这点希望9/21 前有结论。计划中秋后第一天25号就会出版本，并试产）
</t>
      </text>
    </comment>
    <comment authorId="5" xr:uid="{8ab7e6c7-f7b3-43b9-adbf-8eb3b3a6c424}" ref="A1">
      <text>
        <t xml:space="preserve">[Threaded comment]
 Your version of Excel allows you to read this threaded comment; however, any edits to it will get removed if the file is opened in a newer version of Excel. Learn more: https://go.microsoft.com/fwlink/?linkid=870924
Comment:
	@puzhe1@motorola.com 
@fanlf@motorola.com 
@liguoa@motorola.com 
Hi 浦喆
这个case 需要先确认是否可以复现，因为这个器件的更换涉及到快速验证是否有效，因为RF 判断压敏电阻对他们ok，我们认为TVS对ESDok ，是有矛盾的。没快速验证前是不知道下一步要用哪个
</t>
      </text>
    </comment>
    <comment authorId="6" xr:uid="{98d23b00-16f5-4b0c-9087-d0f1460dbc4d}" ref="A1">
      <text>
        <t xml:space="preserve">[Threaded comment]
 Your version of Excel allows you to read this threaded comment; however, any edits to it will get removed if the file is opened in a newer version of Excel. Learn more: https://go.microsoft.com/fwlink/?linkid=870924
Comment:
	@linfenga@motorola.com 
please update thermal if issued here for better sync with team.
分配给了linfenga@motorola.com
</t>
      </text>
    </comment>
    <comment authorId="7" xr:uid="{c1145e7a-c234-4681-8e19-f6f5055473e2}" ref="A1">
      <text>
        <t xml:space="preserve">[Threaded comment]
 Your version of Excel allows you to read this threaded comment; however, any edits to it will get removed if the file is opened in a newer version of Excel. Learn more: https://go.microsoft.com/fwlink/?linkid=870924
Comment:
	@fanlf@motorola.com 
Pls update the rootcause,need clear description  in weekly report
</t>
      </text>
    </comment>
    <comment authorId="8" xr:uid="{d3145a25-19ae-45f5-aa6a-48f9558b4fc5}" ref="A1">
      <text>
        <t xml:space="preserve">[Threaded comment]
 Your version of Excel allows you to read this threaded comment; however, any edits to it will get removed if the file is opened in a newer version of Excel. Learn more: https://go.microsoft.com/fwlink/?linkid=870924
Comment:
	@chenbang3@motorola.com ；
故障机已提供，请更新这里
分配给了chenbang3@motorola.com
</t>
      </text>
    </comment>
    <comment authorId="9" xr:uid="{ed59b608-20a1-46f1-9e2e-e31324a622b5}" ref="A1">
      <text>
        <t xml:space="preserve">[Threaded comment]
 Your version of Excel allows you to read this threaded comment; however, any edits to it will get removed if the file is opened in a newer version of Excel. Learn more: https://go.microsoft.com/fwlink/?linkid=870924
Comment:
	@puzhe1@motorola.com 
Use new issue template.
https://docs.google.com/presentation/d/1Lxnxo6d33DuFNAjZPIzVD4hcmgTClTdH7Pgrggh5U_0/edit#slide=id.g2e3f5d4988_1_0
分配给了
</t>
      </text>
    </comment>
    <comment authorId="10" xr:uid="{f3ac7b0b-0809-49ea-b23a-9d53852afa26}" ref="A1">
      <text>
        <t xml:space="preserve">[Threaded comment]
 Your version of Excel allows you to read this threaded comment; however, any edits to it will get removed if the file is opened in a newer version of Excel. Learn more: https://go.microsoft.com/fwlink/?linkid=870924
Comment:
	@changfm1@motorola.com 
@linfenga@motorola.com 
@fanlf@motorola.com 
HI 芳梅
这个是今天早上 justin提到的 产线测试发现的开关机屏闪问题，看CR描述，目前没有故障视频，在等待测试FPS =60 （ 原来是90？），可以问下 德振是否需要HW介入吧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S1 : Block Gerber out          &amp;Solution Not Validated 
S2 : Not Block Gerber out  &amp;Solution Not Validated 
S3 : Not Block Gerber out  &amp;Solution RD Validated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tc={2168e085-6cf1-4900-b4c1-1ea5e959fe52}</author>
    <author>tc={aeede61d-0c62-4c72-b09c-dce1fc8df717}</author>
    <author>tc={ba2aefbe-6fbf-41a2-a8e6-cbd5ee563d1b}</author>
  </authors>
  <commentList>
    <comment authorId="0" ref="E1">
      <text>
        <t xml:space="preserve">S1 : Block Gerber out          &amp;Solution Not Validated 
S2 : Not Block Gerber out  &amp;Solution Not Validated 
S3 : Not Block Gerber out  &amp;Solution RD Validated </t>
      </text>
    </comment>
    <comment authorId="1" xr:uid="{2168e085-6cf1-4900-b4c1-1ea5e959fe52}" ref="H6">
      <text>
        <t xml:space="preserve">[Threaded comment]
 Your version of Excel allows you to read this threaded comment; however, any edits to it will get removed if the file is opened in a newer version of Excel. Learn more: https://go.microsoft.com/fwlink/?linkid=870924
Comment:
	@linfenga@motorola.com 
@xiaozh1@motorola.com 
新发现的无线充相关问题，还在找线索。请知悉
</t>
      </text>
    </comment>
    <comment authorId="2" xr:uid="{aeede61d-0c62-4c72-b09c-dce1fc8df717}" ref="G15">
      <text>
        <t xml:space="preserve">[Threaded comment]
 Your version of Excel allows you to read this threaded comment; however, any edits to it will get removed if the file is opened in a newer version of Excel. Learn more: https://go.microsoft.com/fwlink/?linkid=870924
Comment:
	@liaozl2@motorola.com 
这边我等级一下这条，这个也是比较大的问题。第一步要先分析故障。谢谢 ，如沟通，尽快返回故障机，我配合一起分析，然后找solution 。
分配给了liaozl2@motorola.com
Reply:
	好的，昨晚已经让邓林返回，故障机器应该明天可以到，谢谢~
</t>
      </text>
    </comment>
    <comment authorId="3" xr:uid="{ba2aefbe-6fbf-41a2-a8e6-cbd5ee563d1b}" ref="G8">
      <text>
        <t xml:space="preserve">[Threaded comment]
 Your version of Excel allows you to read this threaded comment; however, any edits to it will get removed if the file is opened in a newer version of Excel. Learn more: https://go.microsoft.com/fwlink/?linkid=870924
Comment:
	@liguoa@motorola.com 帮忙维护下
分配给了liguoa@motorola.com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tc={5acd384f-f5ec-4395-bca3-8323647bcfc5}</author>
    <author>tc={6f001744-fb95-49b2-a8a9-41c0a0eb4ff1}</author>
    <author>tc={f8cec7c5-cb1b-4114-aec0-ebcebf87290b}</author>
  </authors>
  <commentList>
    <comment authorId="0" ref="E1">
      <text>
        <t xml:space="preserve">S1 : Block Gerber out          &amp;Solution Not Validated 
S2 : Not Block Gerber out  &amp;Solution Not Validated 
S3 : Not Block Gerber out  &amp;Solution RD Validated </t>
      </text>
    </comment>
    <comment authorId="1" xr:uid="{5acd384f-f5ec-4395-bca3-8323647bcfc5}" ref="H2">
      <text>
        <t xml:space="preserve">[Threaded comment]
 Your version of Excel allows you to read this threaded comment; however, any edits to it will get removed if the file is opened in a newer version of Excel. Learn more: https://go.microsoft.com/fwlink/?linkid=870924
Comment:
	@dongjk@motorola.com 
@wuxm5@motorola.com 
@linfenga@motorola.com 
Hi 小董
这个事情建议有个文档，便于整理对应的信息，谢谢
分配给了dongjk@motorola.com
</t>
      </text>
    </comment>
    <comment authorId="2" xr:uid="{6f001744-fb95-49b2-a8a9-41c0a0eb4ff1}" ref="H4">
      <text>
        <t xml:space="preserve">[Threaded comment]
 Your version of Excel allows you to read this threaded comment; however, any edits to it will get removed if the file is opened in a newer version of Excel. Learn more: https://go.microsoft.com/fwlink/?linkid=870924
Comment:
	@liguoa@motorola.com 
@linfenga@motorola.com 
HI  果子，
这个case 刚收到SWloop 邮件，请关注下，看下一步要如何处理，谢谢
分配给了liguoa@motorola.com
</t>
      </text>
    </comment>
    <comment authorId="3" xr:uid="{f8cec7c5-cb1b-4114-aec0-ebcebf87290b}" ref="H11">
      <text>
        <t xml:space="preserve">[Threaded comment]
 Your version of Excel allows you to read this threaded comment; however, any edits to it will get removed if the file is opened in a newer version of Excel. Learn more: https://go.microsoft.com/fwlink/?linkid=870924
Comment:
	@xiongsn1@motorola.com 
@linfenga@motorola.com 
HI 熊
我根据目前的分析情况，更新以上信息，请知悉。
听说坐压试验 也出了一台，机器正在准备寄回来。 这个单独再开一条issue哈
分配给了xiongsn1@motorola.com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S1 : Block Gerber out          &amp;Solution Not Validated 
S2 : Not Block Gerber out  &amp;Solution Not Validated 
S3 : Not Block Gerber out  &amp;Solution RD Validated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tc={3fe16069-51b9-4c27-946e-c7d8040cf894}</author>
    <author>tc={a3edef9f-b431-4144-b543-bb26525acc07}</author>
    <author>tc={dfe11912-7556-4ca0-b5ac-81e066f46eff}</author>
    <author>tc={ecf9a45a-7628-42d8-b62d-def0b80ce024}</author>
  </authors>
  <commentList>
    <comment authorId="0" ref="E1">
      <text>
        <t xml:space="preserve">S1 : Block Gerber out          &amp;Solution Not Validated 
S2 : Not Block Gerber out  &amp;Solution Not Validated 
S3 : Not Block Gerber out  &amp;Solution RD Validated </t>
      </text>
    </comment>
    <comment authorId="1" xr:uid="{3fe16069-51b9-4c27-946e-c7d8040cf894}" ref="H12">
      <text>
        <t xml:space="preserve">[Threaded comment]
 Your version of Excel allows you to read this threaded comment; however, any edits to it will get removed if the file is opened in a newer version of Excel. Learn more: https://go.microsoft.com/fwlink/?linkid=870924
Comment:
	@xiongsn1@motorola.com @chenwt@motorola.com 有空记录并更新下状态
分配给了xiongsn1@motorola.com
</t>
      </text>
    </comment>
    <comment authorId="2" xr:uid="{a3edef9f-b431-4144-b543-bb26525acc07}" ref="I14">
      <text>
        <t xml:space="preserve">[Threaded comment]
 Your version of Excel allows you to read this threaded comment; however, any edits to it will get removed if the file is opened in a newer version of Excel. Learn more: https://go.microsoft.com/fwlink/?linkid=870924
Comment:
	@xiongsn1@motorola.com 
@xiaozh1@motorola.com 
@linfenga@motorola.com 
这边记录一条issue 吧，也便于文档的记录存档，具体待细节分析后续请更新哈
分配给了xiongsn1@motorola.com
</t>
      </text>
    </comment>
    <comment authorId="3" xr:uid="{dfe11912-7556-4ca0-b5ac-81e066f46eff}" ref="I9">
      <text>
        <t xml:space="preserve">[Threaded comment]
 Your version of Excel allows you to read this threaded comment; however, any edits to it will get removed if the file is opened in a newer version of Excel. Learn more: https://go.microsoft.com/fwlink/?linkid=870924
Comment:
	@xiongsn1@motorola.com 小熊，有空帮忙整理下状态，或者需要的资源
分配给了xiongsn1@motorola.com
</t>
      </text>
    </comment>
    <comment authorId="4" xr:uid="{ecf9a45a-7628-42d8-b62d-def0b80ce024}" ref="I11">
      <text>
        <t xml:space="preserve">[Threaded comment]
 Your version of Excel allows you to read this threaded comment; however, any edits to it will get removed if the file is opened in a newer version of Excel. Learn more: https://go.microsoft.com/fwlink/?linkid=870924
Comment:
	@liaozl2@motorola.com   分析后整理个文档，汇总下
分配给了liaozl2@motorola.com
Reply:
	好的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tc={44365c22-de61-498e-b65a-27cb2dbdf1a7}</author>
    <author>tc={d4b4878a-b396-42ec-9d42-b11bfb12075e}</author>
    <author>tc={dafd58e4-bad9-48c4-8bed-da907216a1bc}</author>
    <author>tc={e3e9efe0-3efb-4999-b163-f8fef3ac9f44}</author>
    <author>tc={e6c60b54-e3cb-46b5-97f7-5e50b39f2d01}</author>
  </authors>
  <commentList>
    <comment authorId="0" ref="E1">
      <text>
        <t xml:space="preserve">S1 : Block Gerber out          &amp;Solution Not Validated 
S2 : Not Block Gerber out  &amp;Solution Not Validated 
S3 : Not Block Gerber out  &amp;Solution RD Validated </t>
      </text>
    </comment>
    <comment authorId="1" xr:uid="{44365c22-de61-498e-b65a-27cb2dbdf1a7}" ref="H39">
      <text>
        <t xml:space="preserve">[Threaded comment]
 Your version of Excel allows you to read this threaded comment; however, any edits to it will get removed if the file is opened in a newer version of Excel. Learn more: https://go.microsoft.com/fwlink/?linkid=870924
Comment:
	@xiongsn1@motorola.com 
放一个链接收集所有相关信息，谢谢
Reply:
	我先创建一个空白的，有啥信息就往里面补哈
</t>
      </text>
    </comment>
    <comment authorId="2" xr:uid="{d4b4878a-b396-42ec-9d42-b11bfb12075e}" ref="I4">
      <text>
        <t xml:space="preserve">[Threaded comment]
 Your version of Excel allows you to read this threaded comment; however, any edits to it will get removed if the file is opened in a newer version of Excel. Learn more: https://go.microsoft.com/fwlink/?linkid=870924
Comment:
	@xiaozh1@motorola.com 
@wuxm5@motorola.com 
@fanlf@motorola.com 
这个case 我建一条Issue 。创建个文档，请继续更新结果哈。谢谢
分配给了wuxm5@motorola.com
</t>
      </text>
    </comment>
    <comment authorId="3" xr:uid="{dafd58e4-bad9-48c4-8bed-da907216a1bc}" ref="I22">
      <text>
        <t xml:space="preserve">[Threaded comment]
 Your version of Excel allows you to read this threaded comment; however, any edits to it will get removed if the file is opened in a newer version of Excel. Learn more: https://go.microsoft.com/fwlink/?linkid=870924
Comment:
	@fanlf@motorola.com 
@xiongsn1@motorola.com 
@linfenga@motorola.com 
这个case 看起来会升级了，rework 一批机器7台，投入测试，发现有4台机器fail了。证明说是个真实问题 。请先知悉
</t>
      </text>
    </comment>
    <comment authorId="4" xr:uid="{e3e9efe0-3efb-4999-b163-f8fef3ac9f44}" ref="H35">
      <text>
        <t xml:space="preserve">[Threaded comment]
 Your version of Excel allows you to read this threaded comment; however, any edits to it will get removed if the file is opened in a newer version of Excel. Learn more: https://go.microsoft.com/fwlink/?linkid=870924
Comment:
	@changfm1@motorola.com 
到时候有文档，放个链接哈，谢谢
分配给了changfm1@motorola.com
</t>
      </text>
    </comment>
    <comment authorId="5" xr:uid="{e6c60b54-e3cb-46b5-97f7-5e50b39f2d01}" ref="I28">
      <text>
        <t xml:space="preserve">[Threaded comment]
 Your version of Excel allows you to read this threaded comment; however, any edits to it will get removed if the file is opened in a newer version of Excel. Learn more: https://go.microsoft.com/fwlink/?linkid=870924
Comment:
	@xiaozh1@motorola.com 
@xiongsn1@motorola.com
@liaozl2@motorola.com 
hi 志浩
这个机器你看下是否收到，没有的话主动找 建希 和邓玲看下怎样尽快拿到，尽快有个结果省得一堆人催着，谢谢
分配给了xiaozh1@motorola.com
</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tc={15202aee-ff4c-44a0-899e-7627f6feb436}</author>
    <author>tc={9796b69d-e18c-4f58-a6b6-b563cf006e14}</author>
    <author>tc={987f9f5d-0635-48e3-9530-1b2d8907e669}</author>
  </authors>
  <commentList>
    <comment authorId="0" ref="E1">
      <text>
        <t xml:space="preserve">S1 : Block Gerber out          &amp;Solution Not Validated 
S2 : Not Block Gerber out  &amp;Solution Not Validated 
S3 : Not Block Gerber out  &amp;Solution RD Validated </t>
      </text>
    </comment>
    <comment authorId="1" xr:uid="{15202aee-ff4c-44a0-899e-7627f6feb436}" ref="I2">
      <text>
        <t xml:space="preserve">[Threaded comment]
 Your version of Excel allows you to read this threaded comment; however, any edits to it will get removed if the file is opened in a newer version of Excel. Learn more: https://go.microsoft.com/fwlink/?linkid=870924
Comment:
	@liguoa@motorola.com 
@changfm1@motorola.com 
售后问题，当前我先处理，我能做的是尝试在产线增加自动化测试拦截 电池连接器没有链接好又可以开机的情况。 根源还要大家收集故障机分析。
分配给了liguoa@motorola.com
</t>
      </text>
    </comment>
    <comment authorId="2" xr:uid="{9796b69d-e18c-4f58-a6b6-b563cf006e14}" ref="G15">
      <text>
        <t xml:space="preserve">[Threaded comment]
 Your version of Excel allows you to read this threaded comment; however, any edits to it will get removed if the file is opened in a newer version of Excel. Learn more: https://go.microsoft.com/fwlink/?linkid=870924
Comment:
	@chenb3@motorola.com  邦邦，麻烦更新下此issue，谢谢
</t>
      </text>
    </comment>
    <comment authorId="3" xr:uid="{987f9f5d-0635-48e3-9530-1b2d8907e669}" ref="H19">
      <text>
        <t xml:space="preserve">[Threaded comment]
 Your version of Excel allows you to read this threaded comment; however, any edits to it will get removed if the file is opened in a newer version of Excel. Learn more: https://go.microsoft.com/fwlink/?linkid=870924
Comment:
	@hankai4@motorola.com 
@wuxm5@motorola.com 
@liguoa@motorola.com 
@linfenga@motorola.com @fanlf@motorola.com 
Hi 韩凯
针对这个issue，后面我们这个也做一个检查项放到checklist里面？就是浪涌管的相关的线路也尽量能经过器件本体再下去。  尽量堵住这类case。谢谢
Reply:
	其次：Vbat 其实很久没出过issue ，也侧面说明PM7350C浪涌抵抗力可能比较弱。
Reply:
	BB review checklist 已更新review内容，请韩凯 @hankai4@motorola.com 后续按照此项review，谢谢！
</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tc={4583aa14-fc12-4cf8-99a5-bb0457259b90}</author>
    <author>tc={5d8f8477-7331-404a-a131-b5d94f3fe572}</author>
    <author>tc={6244583b-5aa2-43b2-9750-4d2a419a37f9}</author>
  </authors>
  <commentList>
    <comment authorId="0" ref="E1">
      <text>
        <t xml:space="preserve">S1 : Block Gerber out          &amp;Solution Not Validated 
S2 : Not Block Gerber out  &amp;Solution Not Validated 
S3 : Not Block Gerber out  &amp;Solution RD Validated </t>
      </text>
    </comment>
    <comment authorId="1" xr:uid="{4583aa14-fc12-4cf8-99a5-bb0457259b90}" ref="I6">
      <text>
        <t xml:space="preserve">[Threaded comment]
 Your version of Excel allows you to read this threaded comment; however, any edits to it will get removed if the file is opened in a newer version of Excel. Learn more: https://go.microsoft.com/fwlink/?linkid=870924
Comment:
	@wuxm5@motorola.com 
这个case 更新一下，close 了吧
分配给了wuxm5@motorola.com
Reply:
	Doc更新，case close
</t>
      </text>
    </comment>
    <comment authorId="2" xr:uid="{5d8f8477-7331-404a-a131-b5d94f3fe572}" ref="I14">
      <text>
        <t xml:space="preserve">[Threaded comment]
 Your version of Excel allows you to read this threaded comment; however, any edits to it will get removed if the file is opened in a newer version of Excel. Learn more: https://go.microsoft.com/fwlink/?linkid=870924
Comment:
	@linfenga@motorola.com 
Hi 林峰
这边有个risk项，请知悉。 
最后可能会有一边的充电IC比另外一边的更热一些（之前像miami 左右差800mA左右。目前这个要等实际电池有了后测试才知道。不过从阻抗仿真看，不好。）
</t>
      </text>
    </comment>
    <comment authorId="3" xr:uid="{6244583b-5aa2-43b2-9750-4d2a419a37f9}" ref="G5">
      <text>
        <t xml:space="preserve">[Threaded comment]
 Your version of Excel allows you to read this threaded comment; however, any edits to it will get removed if the file is opened in a newer version of Excel. Learn more: https://go.microsoft.com/fwlink/?linkid=870924
Comment:
	@xiaozh1@motorola.com  这个case 后面的信息建议更新下，更新下issue的情况，谢谢
分配给了xiaozh1@motorola.com
</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S1 : Block Gerber out          &amp;Solution Not Validated 
S2 : Not Block Gerber out  &amp;Solution Not Validated 
S3 : Not Block Gerber out  &amp;Solution RD Validated </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S1 : Block Gerber out          &amp;Solution Not Validated 
S2 : Not Block Gerber out  &amp;Solution Not Validated 
S3 : Not Block Gerber out  &amp;Solution RD Validated </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tc={08e73b90-b1dd-4644-868a-502614d8645e}</author>
    <author>tc={1a3ae16a-24ec-4dde-9d6a-5e9c00b1fe85}</author>
    <author>tc={22f908ef-36a6-4921-9797-eae00b715cd5}</author>
    <author>tc={529128e5-e4ea-4a60-8d39-a40d2cf27ea9}</author>
    <author>tc={56ec0d77-0278-41ac-9a91-b7502c2c6951}</author>
    <author>tc={5802de9d-70a9-4f2d-b31a-12726feb03a5}</author>
    <author>tc={690da946-aa1c-47a9-8598-930a88dc887c}</author>
    <author>tc={743d0058-380a-4de7-a0d9-02bd219c1c37}</author>
    <author>tc={885dd685-1b2b-4a01-9eed-4c0b7f3f3420}</author>
    <author>tc={a70f25bf-f53e-48c9-82bc-643b7d2e6e82}</author>
    <author>tc={aca140b5-039c-4380-a9be-eac663220b6c}</author>
    <author>tc={bf2b71e0-8264-4e27-9e63-7101eae2b2d3}</author>
    <author>tc={cb7eb8ba-923c-4f9e-a9ef-174b4176e8f6}</author>
    <author>tc={d63b93ae-425f-48eb-ac67-8c76b4f87d59}</author>
    <author>tc={e0c9743a-be4b-4657-bd9e-ed2b52a3656f}</author>
    <author>tc={f1773b4d-e7e5-4bbd-b59d-deae035df84a}</author>
    <author>tc={f1ca715d-1b9a-46b1-90f0-f025b8f9a212}</author>
    <author>tc={f67d7be2-7cee-4363-a165-cfb44388cbad}</author>
    <author>tc={fe717071-fddb-47ea-a387-0ec2c03e50d4}</author>
  </authors>
  <commentList>
    <comment authorId="0" ref="E1">
      <text>
        <t xml:space="preserve">S1 : Block Gerber out          &amp;Solution Not Validated 
S2 : Not Block Gerber out  &amp;Solution Not Validated 
S3 : Not Block Gerber out  &amp;Solution RD Validated </t>
      </text>
    </comment>
    <comment authorId="1" xr:uid="{08e73b90-b1dd-4644-868a-502614d8645e}" ref="I6">
      <text>
        <t xml:space="preserve">[Threaded comment]
 Your version of Excel allows you to read this threaded comment; however, any edits to it will get removed if the file is opened in a newer version of Excel. Learn more: https://go.microsoft.com/fwlink/?linkid=870924
Comment:
	@xiongsn1@motorola.com 
Hi Xiong 
这个case 我创建一个文档记录，后续如果还有什么更新，请继续更新一下，谢谢
</t>
      </text>
    </comment>
    <comment authorId="2" xr:uid="{1a3ae16a-24ec-4dde-9d6a-5e9c00b1fe85}" ref="H47">
      <text>
        <t xml:space="preserve">[Threaded comment]
 Your version of Excel allows you to read this threaded comment; however, any edits to it will get removed if the file is opened in a newer version of Excel. Learn more: https://go.microsoft.com/fwlink/?linkid=870924
Comment:
	@xiaozh1@motorola.com
@fanlf@motorola.com 
HI 志浩
这个case 可能会需要一个回顾，看下后面怎么规避。啥时候稍微整理下？谢谢
</t>
      </text>
    </comment>
    <comment authorId="3" xr:uid="{22f908ef-36a6-4921-9797-eae00b715cd5}" ref="I41">
      <text>
        <t xml:space="preserve">[Threaded comment]
 Your version of Excel allows you to read this threaded comment; however, any edits to it will get removed if the file is opened in a newer version of Excel. Learn more: https://go.microsoft.com/fwlink/?linkid=870924
Comment:
	@linfenga@motorola.com 
@detj1@motorola.com 
HI 林峰
如沟通，这边记录了一下这个case，请知悉。
</t>
      </text>
    </comment>
    <comment authorId="4" xr:uid="{529128e5-e4ea-4a60-8d39-a40d2cf27ea9}" ref="H13">
      <text>
        <t xml:space="preserve">[Threaded comment]
 Your version of Excel allows you to read this threaded comment; however, any edits to it will get removed if the file is opened in a newer version of Excel. Learn more: https://go.microsoft.com/fwlink/?linkid=870924
Comment:
	@hankai4@motorola.com 
如邮件沟通内容，这个case 请整理一页，至少包括lesson learn 内容，后面需要用，谢谢
</t>
      </text>
    </comment>
    <comment authorId="5" xr:uid="{56ec0d77-0278-41ac-9a91-b7502c2c6951}" ref="J34">
      <text>
        <t xml:space="preserve">[Threaded comment]
 Your version of Excel allows you to read this threaded comment; however, any edits to it will get removed if the file is opened in a newer version of Excel. Learn more: https://go.microsoft.com/fwlink/?linkid=870924
Comment:
	@xiaozh1@motorola.com 
@liguoa@motorola.com 
@xiongsn1@motorola.com 
@chenb3@motorola.com 
Hi all 
这台 TMO 跌落的机器，有非常多种故障。目前先分析 audio 和camera 问题（共用I2C ，怀疑I2C有问题） 。至于SIM卡一直不识别，我换过主FPC和SIM小板，依然不识别，所以应该是主板问题。  至于背面L-sensor 这个复现故障。暂时没有进一步分析。
</t>
      </text>
    </comment>
    <comment authorId="6" xr:uid="{5802de9d-70a9-4f2d-b31a-12726feb03a5}" ref="H20">
      <text>
        <t xml:space="preserve">[Threaded comment]
 Your version of Excel allows you to read this threaded comment; however, any edits to it will get removed if the file is opened in a newer version of Excel. Learn more: https://go.microsoft.com/fwlink/?linkid=870924
Comment:
	@hankai4@motorola.com 
HI 韩凯
如沟通，issue 一般会有一两页简单的PPT 才能比较清晰的记录issue ，特别是ESD，没有图，基本上没法说明具体是啥问题。  NFC 和 ANT0 tuner 的issue ，建议增加对应附件。谢谢
</t>
      </text>
    </comment>
    <comment authorId="7" xr:uid="{690da946-aa1c-47a9-8598-930a88dc887c}" ref="H13">
      <text>
        <t xml:space="preserve">[Threaded comment]
 Your version of Excel allows you to read this threaded comment; however, any edits to it will get removed if the file is opened in a newer version of Excel. Learn more: https://go.microsoft.com/fwlink/?linkid=870924
Comment:
	@hankai4@motorola.com 
复盘有格式建议的 ：
https://docs.google.com/presentation/d/1bf9UfQ6OIqYPTvps_AHrFyNxgt2iR7H_s5ECMQsXNoI/edit#slide=id.g1045fb0e66a_1_0
Reply:
	复盘一页你重新整理下
</t>
      </text>
    </comment>
    <comment authorId="8" xr:uid="{743d0058-380a-4de7-a0d9-02bd219c1c37}" ref="I36">
      <text>
        <t xml:space="preserve">[Threaded comment]
 Your version of Excel allows you to read this threaded comment; however, any edits to it will get removed if the file is opened in a newer version of Excel. Learn more: https://go.microsoft.com/fwlink/?linkid=870924
Comment:
	@wuxm5@motorola.com 
@fanlf@motorola.com 
HI 学敏
这个case 请更新下，目前D5的分析是看是电感 PL2301 PL2319 本体剥离开了，这是新物料，单机用量应该至少3个，具体你看下。 这样其他不开机的还需要多看几台是否一致。报告你整理下。 故障物料，请联系下厂家是否要寄给他们分析。谢谢。
Reply:
	标为已解决
Reply:
	已重新提出
Reply:
	内部分析报告请整一两页哈，可以放一些分析图片，谢谢
</t>
      </text>
    </comment>
    <comment authorId="9" xr:uid="{885dd685-1b2b-4a01-9eed-4c0b7f3f3420}" ref="H43">
      <text>
        <t xml:space="preserve">[Threaded comment]
 Your version of Excel allows you to read this threaded comment; however, any edits to it will get removed if the file is opened in a newer version of Excel. Learn more: https://go.microsoft.com/fwlink/?linkid=870924
Comment:
	@detj1@motorola.com 
HI 太加
如早上沟通，已经产生issue ，是build 发现的，block 是PCB 。阶段EVT。 这些我选上了。  issue 的个描述 和 文档链接，你找个时间加上哈。 如果不理解格式，或者有啥疑问，你找我。
Reply:
	记得放doc 链接哈，issue doc ，你可以参考下其他的。 或者你有汇总的整个大文档也可以。
Reply:
	好的
</t>
      </text>
    </comment>
    <comment authorId="10" xr:uid="{a70f25bf-f53e-48c9-82bc-643b7d2e6e82}" ref="H12">
      <text>
        <t xml:space="preserve">[Threaded comment]
 Your version of Excel allows you to read this threaded comment; however, any edits to it will get removed if the file is opened in a newer version of Excel. Learn more: https://go.microsoft.com/fwlink/?linkid=870924
Comment:
	@changfm1@motorola.com 
Hi 芳梅
这次case 要登记下，还有要写一页 lesson 。当然有空再写哈，可以参考如下格式
https://docs.google.com/presentation/d/1bf9UfQ6OIqYPTvps_AHrFyNxgt2iR7H_s5ECMQsXNoI/edit#slide=id.gfbf848987c_0_65
</t>
      </text>
    </comment>
    <comment authorId="11" xr:uid="{aca140b5-039c-4380-a9be-eac663220b6c}" ref="I38">
      <text>
        <t xml:space="preserve">[Threaded comment]
 Your version of Excel allows you to read this threaded comment; however, any edits to it will get removed if the file is opened in a newer version of Excel. Learn more: https://go.microsoft.com/fwlink/?linkid=870924
Comment:
	@xiongsn1@motorola.com 
刚和小范核对，这里后续信息帮补充下：1.这个case 原因和程度判定不是很确认 2.最后ALT 判定标准如何。
这么看DVT1 是否还是fail？
建议你细化下这个case 的各种信息，谢谢
</t>
      </text>
    </comment>
    <comment authorId="12" xr:uid="{bf2b71e0-8264-4e27-9e63-7101eae2b2d3}" ref="H26">
      <text>
        <t xml:space="preserve">[Threaded comment]
 Your version of Excel allows you to read this threaded comment; however, any edits to it will get removed if the file is opened in a newer version of Excel. Learn more: https://go.microsoft.com/fwlink/?linkid=870924
Comment:
	@hankai4@motorola.com 
@xiongsn1@motorola.com 
@fanlf@motorola.com 
Hi 韩凯
这个问题表格链接sheet 列已放，单分析报告ppt没有，请帮忙放链接一下。 谢谢
</t>
      </text>
    </comment>
    <comment authorId="13" xr:uid="{cb7eb8ba-923c-4f9e-a9ef-174b4176e8f6}" ref="H44">
      <text>
        <t xml:space="preserve">[Threaded comment]
 Your version of Excel allows you to read this threaded comment; however, any edits to it will get removed if the file is opened in a newer version of Excel. Learn more: https://go.microsoft.com/fwlink/?linkid=870924
Comment:
	@chenb3@motorola.com 
Hi  邦邦
1.这部分有空时请简单整理一页吧。 还有你们看来还得梳理下，具体什么情况，为什么会反了。  2.bringup 表里并没有体现这部分，这个似乎不好，只描述pass 。。），这部分记录方式后续建议也优化一下
</t>
      </text>
    </comment>
    <comment authorId="14" xr:uid="{d63b93ae-425f-48eb-ac67-8c76b4f87d59}" ref="I29">
      <text>
        <t xml:space="preserve">[Threaded comment]
 Your version of Excel allows you to read this threaded comment; however, any edits to it will get removed if the file is opened in a newer version of Excel. Learn more: https://go.microsoft.com/fwlink/?linkid=870924
Comment:
	@xiongsn1@motorola.com 
刚才确认，这台还没寄出，预计今天寄出。下周一收到后给你。
Reply:
	器件掉落  可能性可能比较大？
Reply:
	确认焊盘断开了。；链接有相关图片。 solution 相关，请和 结构 海文再核对下最后的action，谢谢。
</t>
      </text>
    </comment>
    <comment authorId="15" xr:uid="{e0c9743a-be4b-4657-bd9e-ed2b52a3656f}" ref="I36">
      <text>
        <t xml:space="preserve">[Threaded comment]
 Your version of Excel allows you to read this threaded comment; however, any edits to it will get removed if the file is opened in a newer version of Excel. Learn more: https://go.microsoft.com/fwlink/?linkid=870924
Comment:
	@wuxm5@motorola.com 
Hi  xuemin
刚和小范核对，这里后续信息帮补充下：
1.taiyo 的报告如何？ 这种器件他们内部不应该自己筛选出来吗 ？不应该流转到我们这边吧
2. 后续会优化后再导入不？这部分计划是否匹配项目？ 
谢谢
Reply:
	Hi Wenting,
1.已提供5pcs 脱落的器件给太诱，需要寄到日本分析，需要一点时间，会继续追他们尽快给出分析报告
2.优化后需要试产，做跌落相关实验，没问题后才能重新导入，这部分也会持续push厂商，目前使用麦捷的产品，在供应上没问题
</t>
      </text>
    </comment>
    <comment authorId="16" xr:uid="{f1773b4d-e7e5-4bbd-b59d-deae035df84a}" ref="I31">
      <text>
        <t xml:space="preserve">[Threaded comment]
 Your version of Excel allows you to read this threaded comment; however, any edits to it will get removed if the file is opened in a newer version of Excel. Learn more: https://go.microsoft.com/fwlink/?linkid=870924
Comment:
	@chenb3@motorola.com 
Hi 邦邦
这个case ，机器我都拿给 方卉，确认都不复现。  你跟踪下，如果不是真问题，我们就close 。目前状态我放成NA
</t>
      </text>
    </comment>
    <comment authorId="17" xr:uid="{f1ca715d-1b9a-46b1-90f0-f025b8f9a212}" ref="I22">
      <text>
        <t xml:space="preserve">[Threaded comment]
 Your version of Excel allows you to read this threaded comment; however, any edits to it will get removed if the file is opened in a newer version of Excel. Learn more: https://go.microsoft.com/fwlink/?linkid=870924
Comment:
	@xiaozh1@motorola.com 
Hi 志浩
这台机器到我这边了，到公司后找我拿一下分析，谢谢
</t>
      </text>
    </comment>
    <comment authorId="18" xr:uid="{f67d7be2-7cee-4363-a165-cfb44388cbad}" ref="I24">
      <text>
        <t xml:space="preserve">[Threaded comment]
 Your version of Excel allows you to read this threaded comment; however, any edits to it will get removed if the file is opened in a newer version of Excel. Learn more: https://go.microsoft.com/fwlink/?linkid=870924
Comment:
	@changfm1@motorola.com 
Hi 芳梅
这台我放一个点，请帮忙先跟踪下，谢谢
</t>
      </text>
    </comment>
    <comment authorId="19" xr:uid="{fe717071-fddb-47ea-a387-0ec2c03e50d4}" ref="H39">
      <text>
        <t xml:space="preserve">[Threaded comment]
 Your version of Excel allows you to read this threaded comment; however, any edits to it will get removed if the file is opened in a newer version of Excel. Learn more: https://go.microsoft.com/fwlink/?linkid=870924
Comment:
	@chenb3@motorola.com 
issue 这边请更新下，链接和描述都更新下，谢谢
</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tc={0eaf1ebe-8e8a-41d0-a928-3baabf7ecb9f}</author>
    <author>tc={28a49290-21e7-4890-a93d-edb7063e3cbc}</author>
    <author>tc={f88bff72-88f8-4e9b-9fc2-40fbfa0b5c85}</author>
  </authors>
  <commentList>
    <comment authorId="0" ref="E1">
      <text>
        <t xml:space="preserve">S1 : Block Gerber out          &amp;Solution Not Validated 
S2 : Not Block Gerber out  &amp;Solution Not Validated 
S3 : Not Block Gerber out  &amp;Solution RD Validated </t>
      </text>
    </comment>
    <comment authorId="1" xr:uid="{0eaf1ebe-8e8a-41d0-a928-3baabf7ecb9f}" ref="I31">
      <text>
        <t xml:space="preserve">[Threaded comment]
 Your version of Excel allows you to read this threaded comment; however, any edits to it will get removed if the file is opened in a newer version of Excel. Learn more: https://go.microsoft.com/fwlink/?linkid=870924
Comment:
	@chenb3@motorola.com 
屏蔽盖底下走线转risk 了哈。记录在这。待 ME可靠性实验跌落和滚筒实验后确认结果再看看情况
</t>
      </text>
    </comment>
    <comment authorId="2" xr:uid="{28a49290-21e7-4890-a93d-edb7063e3cbc}" ref="I33">
      <text>
        <t xml:space="preserve">[Threaded comment]
 Your version of Excel allows you to read this threaded comment; however, any edits to it will get removed if the file is opened in a newer version of Excel. Learn more: https://go.microsoft.com/fwlink/?linkid=870924
Comment:
	@detj1@motorola.com 
issue 我改为close ，请知悉。
分析报告你看下，以及这边issue 的维护。有疑问或者建议修改的，请告知下，谢谢
</t>
      </text>
    </comment>
    <comment authorId="3" xr:uid="{f88bff72-88f8-4e9b-9fc2-40fbfa0b5c85}" ref="H35">
      <text>
        <t xml:space="preserve">[Threaded comment]
 Your version of Excel allows you to read this threaded comment; however, any edits to it will get removed if the file is opened in a newer version of Excel. Learn more: https://go.microsoft.com/fwlink/?linkid=870924
Comment:
	@detj1@motorola.com 
Hi 太加，EVB我们测试到问题，所以就触发一个issue 。然后找solution 。 请帮忙放一个分析报告的链接过来，我们可以一起维护。谢谢
</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tc={27c5dbce-7342-46ce-b412-f86b893c52af}</author>
    <author>tc={468994d3-eb5d-4798-8e5f-59bd425964a7}</author>
    <author>tc={c033085a-abbd-4924-b033-9af2773760c7}</author>
  </authors>
  <commentList>
    <comment authorId="0" ref="E1">
      <text>
        <t xml:space="preserve">S1 : Block Gerber out          &amp;Solution Not Validated 
S2 : Not Block Gerber out  &amp;Solution Not Validated 
S3 : Not Block Gerber out  &amp;Solution RD Validated </t>
      </text>
    </comment>
    <comment authorId="1" xr:uid="{27c5dbce-7342-46ce-b412-f86b893c52af}" ref="I31">
      <text>
        <t xml:space="preserve">[Threaded comment]
 Your version of Excel allows you to read this threaded comment; however, any edits to it will get removed if the file is opened in a newer version of Excel. Learn more: https://go.microsoft.com/fwlink/?linkid=870924
Comment:
	@xiongsn1@motorola.com 
@linfenga@motorola.com 
HI 熊
我先记录下issue，这个影响发板
Reply:
	请主导处理后续并更新下
</t>
      </text>
    </comment>
    <comment authorId="2" xr:uid="{468994d3-eb5d-4798-8e5f-59bd425964a7}" ref="J26">
      <text>
        <t xml:space="preserve">[Threaded comment]
 Your version of Excel allows you to read this threaded comment; however, any edits to it will get removed if the file is opened in a newer version of Excel. Learn more: https://go.microsoft.com/fwlink/?linkid=870924
Comment:
	@xiaozh1@motorola.com 
@linfenga@motorola.com 
HI 志浩
实验室报的问题，请关注下，影响DVT1主板发板，请主导处理并更新，谢谢
</t>
      </text>
    </comment>
    <comment authorId="3" xr:uid="{c033085a-abbd-4924-b033-9af2773760c7}" ref="G17">
      <text>
        <t xml:space="preserve">[Threaded comment]
 Your version of Excel allows you to read this threaded comment; however, any edits to it will get removed if the file is opened in a newer version of Excel. Learn more: https://go.microsoft.com/fwlink/?linkid=870924
Comment:
	@chenb3@motorola.com 
@linfenga@motorola.com 
@wuxm5@motorola.com 
@fanlf@motorola.com 
简单summary 这个issue，请看下有啥补充。 明天继续跟踪改板 具体操作，包括项目上怎么切入等各种事宜，谢谢
</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
    <author>tc={44c14877-6df9-4c27-b042-7e89ab0974aa}</author>
    <author>tc={46c4f988-7c12-4008-9e38-fc4001b555db}</author>
    <author>tc={bf1a6548-5467-44d6-81f1-fec03c9d5840}</author>
  </authors>
  <commentList>
    <comment authorId="0" ref="E1">
      <text>
        <t xml:space="preserve">S1 : Block Gerber out          &amp;Solution Not Validated 
S2 : Not Block Gerber out  &amp;Solution Not Validated 
S3 : Not Block Gerber out  &amp;Solution RD Validated </t>
      </text>
    </comment>
    <comment authorId="1" xr:uid="{44c14877-6df9-4c27-b042-7e89ab0974aa}" ref="H22">
      <text>
        <t xml:space="preserve">[Threaded comment]
 Your version of Excel allows you to read this threaded comment; however, any edits to it will get removed if the file is opened in a newer version of Excel. Learn more: https://go.microsoft.com/fwlink/?linkid=870924
Comment:
	@xiongsn1@motorola.com
@liguoa@motorola.com 
@fanlf@motorola.com 
@xiaozh1@motorola.com 
HI 果子
关于可靠性实验，板子断线的事情，我觉得我们需要记录下issue 。这部分看是否可以更新一下信息。  sensor 和 马达相关断线，拆成两个issue，谢谢
Reply:
	请小熊和志浩建立个文档更新吧~
Reply:
	@linfenga@motorola.com   sync
改板的措施要开始动工了吧，for PVT 发板，别漏了
</t>
      </text>
    </comment>
    <comment authorId="2" xr:uid="{46c4f988-7c12-4008-9e38-fc4001b555db}" ref="H29">
      <text>
        <t xml:space="preserve">[Threaded comment]
 Your version of Excel allows you to read this threaded comment; however, any edits to it will get removed if the file is opened in a newer version of Excel. Learn more: https://go.microsoft.com/fwlink/?linkid=870924
Comment:
	@linfenga@motorola.com
我创建个case跟踪这个事情，关机电流太大了。可能不正常，已触发邮件给MTK 刘峰
分配给了linfenga@motorola.com
Reply:
	hi 学敏
这个case 算是close 对吧。 但是最终电流确实不符合 200UA 的原moto 标准， 建议提前只会一下 PQM。
</t>
      </text>
    </comment>
    <comment authorId="3" xr:uid="{bf1a6548-5467-44d6-81f1-fec03c9d5840}" ref="I28">
      <text>
        <t xml:space="preserve">[Threaded comment]
 Your version of Excel allows you to read this threaded comment; however, any edits to it will get removed if the file is opened in a newer version of Excel. Learn more: https://go.microsoft.com/fwlink/?linkid=870924
Comment:
	@linfenga@motorola.com 
HI 林峰
如沟通，这个case 请关注下，有较大问题。必须清理。 这个问题对充电调试影响很大，我们还得想一下怎样临时处理。
Reply:
	@xiaozh1@motorola.com 
@fanlf@motorola.com
Reply:
	信息更新到这
标为已解决
</t>
      </text>
    </comment>
  </commentList>
</comments>
</file>

<file path=xl/comments18.xml><?xml version="1.0" encoding="utf-8"?>
<comments xmlns:r="http://schemas.openxmlformats.org/officeDocument/2006/relationships" xmlns="http://schemas.openxmlformats.org/spreadsheetml/2006/main" xmlns:xr="http://schemas.microsoft.com/office/spreadsheetml/2014/revision">
  <authors>
    <author/>
    <author>tc={1fc45166-dcc1-4375-8ce8-61fe695b4c1e}</author>
    <author>tc={4295eb03-c0e7-4557-a744-056b47fd6c2e}</author>
    <author>tc={556e8fd1-f5d5-43df-aa8c-6a13db46d0d7}</author>
    <author>tc={58c1d8cd-ad4e-4325-a805-139de3e2db9f}</author>
    <author>tc={685e33e2-5f00-47c1-b82f-9c014e0a594c}</author>
    <author>tc={802afda6-f2e8-4031-8997-1db38558cdf3}</author>
    <author>tc={8156c6fd-caef-414a-97e8-4e7627c066e2}</author>
    <author>tc={a1999eda-071b-4296-b74f-ed649cbf3878}</author>
    <author>tc={a438e96a-3285-4dc8-8f04-b81ecad292b0}</author>
    <author>tc={c477af5c-ef4f-4e97-81c3-b2ea7ae21813}</author>
    <author>tc={ed17b544-0ce5-4deb-a7b3-05e94e9ffc57}</author>
    <author>tc={f6622a87-a4f8-4586-acfc-0e053e957a16}</author>
  </authors>
  <commentList>
    <comment authorId="0" ref="E1">
      <text>
        <t xml:space="preserve">S1 : Block Gerber out          &amp;Solution Not Validated 
S2 : Not Block Gerber out  &amp;Solution Not Validated 
S3 : Not Block Gerber out  &amp;Solution RD Validated </t>
      </text>
    </comment>
    <comment authorId="1" xr:uid="{1fc45166-dcc1-4375-8ce8-61fe695b4c1e}" ref="G12">
      <text>
        <t xml:space="preserve">[Threaded comment]
 Your version of Excel allows you to read this threaded comment; however, any edits to it will get removed if the file is opened in a newer version of Excel. Learn more: https://go.microsoft.com/fwlink/?linkid=870924
Comment:
	@xiongsn1@motorola.com ;请跟踪分析
分配给了xiongsn1@motorola.com
Reply:
	@fanlf@motorola.com
update solution ：1.change Capsensor wire under BB shielding case in DVT2
2. ME change stress design
</t>
      </text>
    </comment>
    <comment authorId="2" xr:uid="{4295eb03-c0e7-4557-a744-056b47fd6c2e}" ref="G14">
      <text>
        <t xml:space="preserve">[Threaded comment]
 Your version of Excel allows you to read this threaded comment; however, any edits to it will get removed if the file is opened in a newer version of Excel. Learn more: https://go.microsoft.com/fwlink/?linkid=870924
Comment:
	@@wuxm5@motorola.com
@liguoa@motorola.com
Exp1. Change a better surge protector(10.5V-&gt;8V Clamping Voltage) and layout improved for fuel gauge , Result:10/26
这个结果目前如何？
分配给了wuxm5@motorola.com
Reply:
	整改的2台机器edu14 test pass，DVT1会贴1批更改浪涌管型号的机器再测试看看
Reply:
	hi 学敏
这部分是否整理简单一页？或者更新下结果。  DVT1的结果也算有结论了。（一供二供搭配暂时没有办法全部验证完，但是至少一种组合验证ok了）
Reply:
	结果更新并附上Link，谢谢！
</t>
      </text>
    </comment>
    <comment authorId="3" xr:uid="{556e8fd1-f5d5-43df-aa8c-6a13db46d0d7}" ref="G10">
      <text>
        <t xml:space="preserve">[Threaded comment]
 Your version of Excel allows you to read this threaded comment; however, any edits to it will get removed if the file is opened in a newer version of Excel. Learn more: https://go.microsoft.com/fwlink/?linkid=870924
Comment:
	@wuxm5@motorola.com ；
相关进展分析更新到此
分配给了wuxm5@motorola.com
</t>
      </text>
    </comment>
    <comment authorId="4" xr:uid="{58c1d8cd-ad4e-4325-a805-139de3e2db9f}" ref="G13">
      <text>
        <t xml:space="preserve">[Threaded comment]
 Your version of Excel allows you to read this threaded comment; however, any edits to it will get removed if the file is opened in a newer version of Excel. Learn more: https://go.microsoft.com/fwlink/?linkid=870924
Comment:
	@dongjk@motorola.com ；
小董，这个issue 你跟踪下更新
分配给了dongjk@motorola.com
Reply:
	@fanlf@motorola.com
Hi 果子，小董
这边得issue 建议更新下进展和措施。谢谢
</t>
      </text>
    </comment>
    <comment authorId="5" xr:uid="{685e33e2-5f00-47c1-b82f-9c014e0a594c}" ref="I27">
      <text>
        <t xml:space="preserve">[Threaded comment]
 Your version of Excel allows you to read this threaded comment; however, any edits to it will get removed if the file is opened in a newer version of Excel. Learn more: https://go.microsoft.com/fwlink/?linkid=870924
Comment:
	@liguoa@motorola.com
Hi 果子
昨天魏巍给个个板子，说是RT的电量计 器件ID 读取失败，我和他验证其他4块板子都是正确的，同样的SW。 目前看可能单体故障。 板子放在我这边了。
Reply:
	我再想是否可以I2C 控制器读取下ID，确认器件本身的正确性。 只是暂时没有时间，先看PD故障问题，这台放缓一些，或者你安排谁先看下
Reply:
	我来跟进
</t>
      </text>
    </comment>
    <comment authorId="6" xr:uid="{802afda6-f2e8-4031-8997-1db38558cdf3}" ref="H18">
      <text>
        <t xml:space="preserve">[Threaded comment]
 Your version of Excel allows you to read this threaded comment; however, any edits to it will get removed if the file is opened in a newer version of Excel. Learn more: https://go.microsoft.com/fwlink/?linkid=870924
Comment:
	@liguoa@motorola.com
@wuxm5@motorola.com
@fanlf@motorola.com
这个issue 请先知悉，DVT1 的二供机器刚拿到，QC3功能调试好，测试 发现 1.概率性QC3 失败，2.充电类型寄存器更新非常慢（不稳定，有时候好几秒钟，有时候1秒）。怀疑和 Dsel 47nf cap有关。
Reply:
	信息更新，目前DVT1  1台机器的实验表现为和47nf没有直接关系。 这份怀疑方向不一定成立，还需要继续查找
</t>
      </text>
    </comment>
    <comment authorId="7" xr:uid="{8156c6fd-caef-414a-97e8-4e7627c066e2}" ref="I14">
      <text>
        <t xml:space="preserve">[Threaded comment]
 Your version of Excel allows you to read this threaded comment; however, any edits to it will get removed if the file is opened in a newer version of Excel. Learn more: https://go.microsoft.com/fwlink/?linkid=870924
Comment:
	@fanlf@motorola.com
@liguoa@motorola.com
@wuxm5@motorola.com
Milan 5G  Vbat 的浪涌实验，暂时定位S2吧。 目前看接在上面的充电IC和电量计都坏了。 充电IC基本全坏了，电量计坏了50%以上。一起关注下。
</t>
      </text>
    </comment>
    <comment authorId="8" xr:uid="{a1999eda-071b-4296-b74f-ed649cbf3878}" ref="I20">
      <text>
        <t xml:space="preserve">[Threaded comment]
 Your version of Excel allows you to read this threaded comment; however, any edits to it will get removed if the file is opened in a newer version of Excel. Learn more: https://go.microsoft.com/fwlink/?linkid=870924
Comment:
	@wuxm5@motorola.com
Hi 学敏，这个case 复测过了吧，现在EVT的机器，低电流多少呢？
Reply:
	EVT V04机器低电流是194mA，比V03降低42mA
</t>
      </text>
    </comment>
    <comment authorId="9" xr:uid="{a438e96a-3285-4dc8-8f04-b81ecad292b0}" ref="I3">
      <text>
        <t xml:space="preserve">[Threaded comment]
 Your version of Excel allows you to read this threaded comment; however, any edits to it will get removed if the file is opened in a newer version of Excel. Learn more: https://go.microsoft.com/fwlink/?linkid=870924
Comment:
	@liguoa@motorola.com 这个事情没完没了，先建个文档 整理沟通信息吧. 后面可能会用到
</t>
      </text>
    </comment>
    <comment authorId="10" xr:uid="{c477af5c-ef4f-4e97-81c3-b2ea7ae21813}" ref="I22">
      <text>
        <t xml:space="preserve">[Threaded comment]
 Your version of Excel allows you to read this threaded comment; however, any edits to it will get removed if the file is opened in a newer version of Excel. Learn more: https://go.microsoft.com/fwlink/?linkid=870924
Comment:
	@xiaozh1@motorola.com
@liguoa@motorola.com
@fanlf@motorola.com
HI 志浩
Milan 5G这个项有什么更新不？ 今天要发DVT1 板子了，需要sync下，谢谢
</t>
      </text>
    </comment>
    <comment authorId="11" xr:uid="{ed17b544-0ce5-4deb-a7b3-05e94e9ffc57}" ref="I15">
      <text>
        <t xml:space="preserve">[Threaded comment]
 Your version of Excel allows you to read this threaded comment; however, any edits to it will get removed if the file is opened in a newer version of Excel. Learn more: https://go.microsoft.com/fwlink/?linkid=870924
Comment:
	@fanlf@motorola.com
@liguoa@motorola.com
Hi 小范，李果
这个明确了是二供的OVP IC 挂了。 这颗第一次导入，看下圣邦威有啥优化可能不。对于项目，明天可能要先和采购谈好去除OVP的二供设计。
</t>
      </text>
    </comment>
    <comment authorId="12" xr:uid="{f6622a87-a4f8-4586-acfc-0e053e957a16}" ref="I28">
      <text>
        <t xml:space="preserve">[Threaded comment]
 Your version of Excel allows you to read this threaded comment; however, any edits to it will get removed if the file is opened in a newer version of Excel. Learn more: https://go.microsoft.com/fwlink/?linkid=870924
Comment:
	@hankai4@motorola.com
@xiaozh1@motorola.com
@fanlf@motorola.com
Hi 韩凯
目前Milan 5G 上海SW  Chailu反馈issue：PD通讯经常失败，特别是插接PD 协议分析仪后更容易复现。  需要我们一起分析下这个issue。  如当面沟通，我们先做一些对比试验，同步一下两边的状态 （目前还无法同步上，需要确认SW 还是HW问题，先对比试验）
Reply:
	case 已经找到 根源，HW上的线索就是I2C经常低电平，这个肯定不对。  根源是SW的配置问题。
Reply:
	具体为什么SW会配置出现这样的问题，待SW 给具体说明
</t>
      </text>
    </comment>
  </commentList>
</comments>
</file>

<file path=xl/comments19.xml><?xml version="1.0" encoding="utf-8"?>
<comments xmlns:r="http://schemas.openxmlformats.org/officeDocument/2006/relationships" xmlns="http://schemas.openxmlformats.org/spreadsheetml/2006/main" xmlns:xr="http://schemas.microsoft.com/office/spreadsheetml/2014/revision">
  <authors>
    <author/>
    <author>tc={01ab747a-cb12-43b0-9566-2a415268b142}</author>
    <author>tc={25ef8b2f-9b1a-44b1-ad38-19ed12ec6bbc}</author>
    <author>tc={33089e11-a507-4ac2-8a4d-8b843ab09574}</author>
    <author>tc={5478cd42-fa59-4594-8f7a-8d061facdf15}</author>
    <author>tc={65743518-1f9c-46f9-8560-8576cb224708}</author>
    <author>tc={6af171ba-bb06-4bc6-8442-11bf95612ddd}</author>
    <author>tc={6ffe9053-b861-4f85-b2b7-2832aef3b822}</author>
    <author>tc={72d3938e-ae80-4e28-b41a-66ad7d774803}</author>
    <author>tc={78ca8254-7dba-4273-9bbd-e80d7cd26687}</author>
    <author>tc={89711c5e-87eb-4dc5-80b1-36c5dbf7ae19}</author>
    <author>tc={8cb18b0d-87be-4fdb-9983-e6423f5f47fb}</author>
    <author>tc={91819a3b-2461-4e94-948f-2bf4e3974bf3}</author>
    <author>tc={ad560ed9-2795-4b0f-9e19-dcced8818757}</author>
    <author>tc={aeee18a0-7953-4f3c-badd-8e74008b4551}</author>
    <author>tc={b147256f-536b-4ede-ad0a-d9ae1150e600}</author>
    <author>tc={b1b910df-d492-4f37-bb65-9086afb96a17}</author>
    <author>tc={b63b5606-8dcf-456a-af6f-ad489030a52d}</author>
    <author>tc={bbc14cda-26d4-47e2-b007-201982806ee0}</author>
    <author>tc={cb24a96b-966b-493e-97d7-d761051da17f}</author>
    <author>tc={ec32aed3-50d2-418f-82d9-c5da5e3e10d2}</author>
  </authors>
  <commentList>
    <comment authorId="0" ref="E1">
      <text>
        <t xml:space="preserve">S1 : Block Gerber out          &amp;Solution Not Validated 
S2 : Not Block Gerber out  &amp;Solution Not Validated 
S3 : Not Block Gerber out  &amp;Solution RD Validated </t>
      </text>
    </comment>
    <comment authorId="0" ref="G1">
      <text>
        <t xml:space="preserve">[Severity] 
Issue Discription
    Clue:xxx
    Info:xxx
Root Cause:
    1.xxx?
         Exp:xxx ; Result:xxx;Conclusion:xxx
Solution:
    1.xxx
     </t>
      </text>
    </comment>
    <comment authorId="1" xr:uid="{01ab747a-cb12-43b0-9566-2a415268b142}" ref="I16">
      <text>
        <t xml:space="preserve">[Threaded comment]
 Your version of Excel allows you to read this threaded comment; however, any edits to it will get removed if the file is opened in a newer version of Excel. Learn more: https://go.microsoft.com/fwlink/?linkid=870924
Comment:
	@wuxm5@motorola.com
@fanlf@motorola.com
Hi 学敏
给你的这台机器，是yuzhe 准备试用的机器。休眠后死机，无法唤醒，持续耗电，插充电器还能充电。   刷新多个版本依然复现，一天可以复现好几次。 是个真case（不知道是否单台故障），我们需要尽快确认下。 DVT1 没人反馈过 。
Reply:
	@dongjk@motorola.com
这个case ，刷最新版本-44 的。  观察两天看是否还会复现问题。  下周一确认结果
</t>
      </text>
    </comment>
    <comment authorId="2" xr:uid="{25ef8b2f-9b1a-44b1-ad38-19ed12ec6bbc}" ref="I23">
      <text>
        <t xml:space="preserve">[Threaded comment]
 Your version of Excel allows you to read this threaded comment; however, any edits to it will get removed if the file is opened in a newer version of Excel. Learn more: https://go.microsoft.com/fwlink/?linkid=870924
Comment:
	@changfm1@motorola.com 
HI芳梅
请记得更新issue
Reply:
	@fanlf@motorola.com 
Hi 芳梅
请更新分析文档到这边并大概更新下情况。 目前看分析问题中。但明确是有问题的了。需要解决。
Reply:
	HI  芳梅
这个case 是否可以 close ？
Reply:
	哦，那我改成close
</t>
      </text>
    </comment>
    <comment authorId="3" xr:uid="{33089e11-a507-4ac2-8a4d-8b843ab09574}" ref="I22">
      <text>
        <t xml:space="preserve">[Threaded comment]
 Your version of Excel allows you to read this threaded comment; however, any edits to it will get removed if the file is opened in a newer version of Excel. Learn more: https://go.microsoft.com/fwlink/?linkid=870924
Comment:
	@chenb3@motorola.com 
@fanlf@motorola.com 
HI邦邦
这个issue 没有分析文档吗？感觉挺复杂一个问题，也有好多数据了，应该需要一个文档承接哈，如已有文档，请放一下链接吧。
Reply:
	Hi 邦邦
1.这个issue 是否可以做个项目复盘？ 一页就好的那种，可以参考
https://docs.google.com/presentation/d/1bf9UfQ6OIqYPTvps_AHrFyNxgt2iR7H_s5ECMQsXNoI/edit#slide=id.gfbf848987c_0_65 。  下周二前看是否可以提供下，Yukon项目上下周做复盘
2.至于技术分享，其实可以整理下做一次，你自己看看，呵呵。
</t>
      </text>
    </comment>
    <comment authorId="4" xr:uid="{5478cd42-fa59-4594-8f7a-8d061facdf15}" ref="H14">
      <text>
        <t xml:space="preserve">[Threaded comment]
 Your version of Excel allows you to read this threaded comment; however, any edits to it will get removed if the file is opened in a newer version of Excel. Learn more: https://go.microsoft.com/fwlink/?linkid=870924
Comment:
	@hankai4@motorola.com
@xiongsn1@motorola.com
@liguoa@motorola.com
@fanlf@motorola.com
Hi 韩凯
提醒个事情，实验室反馈项目有ESD问题时，请记得及时登记issue 到BB issue上面。  然后comment 给下一步分析对应的人员，更新分析情况，有分析进展后相应人员需要更新下情况，谢谢
Reply:
	我这边先登记一下issue. 当前到了 故障机分析环节。需要分析具体故障损坏情况以及机器是否有特别性 。
Hi 熊，韩凯
建议拆机时还是要同时注意下有没有哪里有装配异常之类的。
</t>
      </text>
    </comment>
    <comment authorId="5" xr:uid="{65743518-1f9c-46f9-8560-8576cb224708}" ref="H25">
      <text>
        <t xml:space="preserve">[Threaded comment]
 Your version of Excel allows you to read this threaded comment; however, any edits to it will get removed if the file is opened in a newer version of Excel. Learn more: https://go.microsoft.com/fwlink/?linkid=870924
Comment:
	@xiaozh1@motorola.com 
@liguoa@motorola.com 
@fanlf@motorola.com 
这个case 需要关注下，今天  solution1 但摸底有改善，还是fail。
</t>
      </text>
    </comment>
    <comment authorId="6" xr:uid="{6af171ba-bb06-4bc6-8442-11bf95612ddd}" ref="I19">
      <text>
        <t xml:space="preserve">[Threaded comment]
 Your version of Excel allows you to read this threaded comment; however, any edits to it will get removed if the file is opened in a newer version of Excel. Learn more: https://go.microsoft.com/fwlink/?linkid=870924
Comment:
	@hankai4@motorola.com 
@fanlf@motorola.com 
@liguoa@motorola.com 
HI 韩凯
这个issue 还请登记下，描述清楚信息（包括单号，机器号，场景，插不插充电器，等等细节信息）。然后继续复现及分析 。
</t>
      </text>
    </comment>
    <comment authorId="7" xr:uid="{6ffe9053-b861-4f85-b2b7-2832aef3b822}" ref="I7">
      <text>
        <t xml:space="preserve">[Threaded comment]
 Your version of Excel allows you to read this threaded comment; however, any edits to it will get removed if the file is opened in a newer version of Excel. Learn more: https://go.microsoft.com/fwlink/?linkid=870924
Comment:
	@hankai4@motorola.com
请整理下Issue 以及对应的连接文档，并整理复盘资料。谢谢。 希望明天前完成，完成后，我们再核对一下（英文）
</t>
      </text>
    </comment>
    <comment authorId="8" xr:uid="{72d3938e-ae80-4e28-b41a-66ad7d774803}" ref="H32">
      <text>
        <t xml:space="preserve">[Threaded comment]
 Your version of Excel allows you to read this threaded comment; however, any edits to it will get removed if the file is opened in a newer version of Excel. Learn more: https://go.microsoft.com/fwlink/?linkid=870924
Comment:
	@xiaozh1@motorola.com 
Hi 志浩
这边记了个issue上来了哈，记得跟踪和close 各项事宜。
</t>
      </text>
    </comment>
    <comment authorId="9" xr:uid="{78ca8254-7dba-4273-9bbd-e80d7cd26687}" ref="H33">
      <text>
        <t xml:space="preserve">[Threaded comment]
 Your version of Excel allows you to read this threaded comment; however, any edits to it will get removed if the file is opened in a newer version of Excel. Learn more: https://go.microsoft.com/fwlink/?linkid=870924
Comment:
	@xiongsn1@motorola.com 
Yukon  capsensor ch3 的事情还请关注哈，DVT1 发板前需要清理干净，避免遗留风险，谢谢
Reply:
	https://docs.google.com/presentation/d/1-ENMcNN1Apfp5-uYMFDBNbBkg8z8-gkzZpwnWPeJdUI/edit#slide=id.gde0f927c3e_0_1
</t>
      </text>
    </comment>
    <comment authorId="10" xr:uid="{89711c5e-87eb-4dc5-80b1-36c5dbf7ae19}" ref="I29">
      <text>
        <t xml:space="preserve">[Threaded comment]
 Your version of Excel allows you to read this threaded comment; however, any edits to it will get removed if the file is opened in a newer version of Excel. Learn more: https://go.microsoft.com/fwlink/?linkid=870924
Comment:
	@chenb3@motorola.com 
Hi 邦邦
这边记录一条issue 哈，这个case 不敢保证是Camera SW问题，我们需要在DVT1 发板前清理干净，避免遗留风险，谢谢
Reply:
	SW在CR上回复：This isn't a 100% reproduce rate issue and only happened on video capture mode when starting capture.
The preview is normal so the camera sensor driver is stable.
驱动和硬件没有问题。应该是video codec部分的bug。
Reply:
	好的，SWissue的概率比较大。  但是还是主动跟下。  这次Audio issue 大家都以为是SW或者参数问题，但最后发现是电路问题，要花大力气来解决影响了。 越往后越难解决HW的设计问题，请知悉
Reply:
	107 版本SW验证过ok 。 SPM答复这是个work 的方案导入到107 。 我们先close
</t>
      </text>
    </comment>
    <comment authorId="11" xr:uid="{8cb18b0d-87be-4fdb-9983-e6423f5f47fb}" ref="I32">
      <text>
        <t xml:space="preserve">[Threaded comment]
 Your version of Excel allows you to read this threaded comment; however, any edits to it will get removed if the file is opened in a newer version of Excel. Learn more: https://go.microsoft.com/fwlink/?linkid=870924
Comment:
	@xiaozh1@motorola.com
Hi 志浩
请整理下这个Issue 放个link 。以及最后一页搞一个  复盘， 明天前完成，弄成后我们对一下，谢谢
</t>
      </text>
    </comment>
    <comment authorId="12" xr:uid="{91819a3b-2461-4e94-948f-2bf4e3974bf3}" ref="I21">
      <text>
        <t xml:space="preserve">[Threaded comment]
 Your version of Excel allows you to read this threaded comment; however, any edits to it will get removed if the file is opened in a newer version of Excel. Learn more: https://go.microsoft.com/fwlink/?linkid=870924
Comment:
	@wuxm5@motorola.com 
如沟通，确认下是否符合SPEC。
谢谢
Reply:
	@liguoa@motorola.com
Reply:
	HI 学敏
这个case 你抽空创建个文档吧， 然后将 分解的电流信息放进去，链接放上来。比较好反查。谢谢
Reply:
	HI 学敏
这个case 我们就关闭了哈。PQM自己算出8个月的存储时间。 就这么先go 了。 （ 底线6个月）
</t>
      </text>
    </comment>
    <comment authorId="13" xr:uid="{ad560ed9-2795-4b0f-9e19-dcced8818757}" ref="G8">
      <text>
        <t xml:space="preserve">[Threaded comment]
 Your version of Excel allows you to read this threaded comment; however, any edits to it will get removed if the file is opened in a newer version of Excel. Learn more: https://go.microsoft.com/fwlink/?linkid=870924
Comment:
	@xiaozh1@motorola.com
HI 志浩
这个case 已经close 了吧，或者我们还需要做什么吗？
</t>
      </text>
    </comment>
    <comment authorId="14" xr:uid="{aeee18a0-7953-4f3c-badd-8e74008b4551}" ref="G3">
      <text>
        <t xml:space="preserve">[Threaded comment]
 Your version of Excel allows you to read this threaded comment; however, any edits to it will get removed if the file is opened in a newer version of Excel. Learn more: https://go.microsoft.com/fwlink/?linkid=870924
Comment:
	@changfm1@motorola.com
@fanlf@motorola.com
这个问题需要同步信息。谢谢
</t>
      </text>
    </comment>
    <comment authorId="15" xr:uid="{b147256f-536b-4ede-ad0a-d9ae1150e600}" ref="I31">
      <text>
        <t xml:space="preserve">[Threaded comment]
 Your version of Excel allows you to read this threaded comment; however, any edits to it will get removed if the file is opened in a newer version of Excel. Learn more: https://go.microsoft.com/fwlink/?linkid=870924
Comment:
	@changfm1@motorola.com 
@chenb3@motorola.com 
@fanlf@motorola.com 
Hi 芳梅
请跟踪这个case ，昨天将相关邮件给你了哈。
Hi 邦邦
目前结构和产线将这个case 归结于 LCD FPC太长，不好装配，导致歪了装下去，连接器有些压坏了以及偏了 装下去了。  结构提出更改LCD连接器向上移动0.65mm来达到理想装配状态。 但是具体能移动多少，这个请帮忙优先确认并邮件回复给项目组一下，谢谢
</t>
      </text>
    </comment>
    <comment authorId="16" xr:uid="{b1b910df-d492-4f37-bb65-9086afb96a17}" ref="H9">
      <text>
        <t xml:space="preserve">[Threaded comment]
 Your version of Excel allows you to read this threaded comment; however, any edits to it will get removed if the file is opened in a newer version of Excel. Learn more: https://go.microsoft.com/fwlink/?linkid=870924
Comment:
	@wuxm5@motorola.com
HI 学敏
这个case 你关注下，SW 指向HW 哪个LDO出问题的样子。 你可以和xuwei 确认下 并更新下信息。谢谢
</t>
      </text>
    </comment>
    <comment authorId="17" xr:uid="{b63b5606-8dcf-456a-af6f-ad489030a52d}" ref="I20">
      <text>
        <t xml:space="preserve">[Threaded comment]
 Your version of Excel allows you to read this threaded comment; however, any edits to it will get removed if the file is opened in a newer version of Excel. Learn more: https://go.microsoft.com/fwlink/?linkid=870924
Comment:
	@changfm1@motorola.com 
HI 芳梅
issue 更新下，有链接放上来下，谢谢
Reply:
	这个case 结果如何？ 更新下结果吧，状态我先改为close
</t>
      </text>
    </comment>
    <comment authorId="18" xr:uid="{bbc14cda-26d4-47e2-b007-201982806ee0}" ref="I17">
      <text>
        <t xml:space="preserve">[Threaded comment]
 Your version of Excel allows you to read this threaded comment; however, any edits to it will get removed if the file is opened in a newer version of Excel. Learn more: https://go.microsoft.com/fwlink/?linkid=870924
Comment:
	@xiongsn1@motorola.com
HI 熊
请关注下这个case ，有分析结果更新下，谢谢
Reply:
	CG翘起导致轻微漏光
</t>
      </text>
    </comment>
    <comment authorId="19" xr:uid="{cb24a96b-966b-493e-97d7-d761051da17f}" ref="I26">
      <text>
        <t xml:space="preserve">[Threaded comment]
 Your version of Excel allows you to read this threaded comment; however, any edits to it will get removed if the file is opened in a newer version of Excel. Learn more: https://go.microsoft.com/fwlink/?linkid=870924
Comment:
	@chenb3@motorola.com 
@fanlf@motorola.com 
HI 邦邦
板子拿到，你看明天能否更新一版验证结果？我们得知道改板的效果是否就已经可以接受。 下一版风采了哈。要判断下一版是否有更改产生。谢谢
Reply:
	HI 小范，邦邦
这个issue 由于确认结果是机器之间的差异。reopen
</t>
      </text>
    </comment>
    <comment authorId="20" xr:uid="{ec32aed3-50d2-418f-82d9-c5da5e3e10d2}" ref="I27">
      <text>
        <t xml:space="preserve">[Threaded comment]
 Your version of Excel allows you to read this threaded comment; however, any edits to it will get removed if the file is opened in a newer version of Excel. Learn more: https://go.microsoft.com/fwlink/?linkid=870924
Comment:
	@changfm1@motorola.com 
这边记录一个issue
Reply:
	HI 芳梅
这个需要一个PPT 的分析报告哈，目前看还得继续分析跟踪。
</t>
      </text>
    </comment>
  </commentList>
</comments>
</file>

<file path=xl/comments20.xml><?xml version="1.0" encoding="utf-8"?>
<comments xmlns:r="http://schemas.openxmlformats.org/officeDocument/2006/relationships" xmlns="http://schemas.openxmlformats.org/spreadsheetml/2006/main" xmlns:xr="http://schemas.microsoft.com/office/spreadsheetml/2014/revision">
  <authors>
    <author/>
    <author>tc={131ba642-aa18-42dc-b54c-7945087ec023}</author>
    <author>tc={4e387299-a191-4beb-9a77-a75cde89d372}</author>
    <author>tc={ab48648a-769a-4cd7-bc83-709140a21a5f}</author>
    <author>tc={c941cfce-d1fc-4406-9ba5-ffdd7a9c82ab}</author>
    <author>tc={ef5d4f03-70b9-4a6e-8ea4-da5c10d2c960}</author>
  </authors>
  <commentList>
    <comment authorId="0" ref="E1">
      <text>
        <t xml:space="preserve">S1 : Block Gerber out          &amp;Solution Not Validated 
S2 : Not Block Gerber out  &amp;Solution Not Validated 
S3 : Not Block Gerber out  &amp;Solution RD Validated </t>
      </text>
    </comment>
    <comment authorId="1" xr:uid="{131ba642-aa18-42dc-b54c-7945087ec023}" ref="G10">
      <text>
        <t xml:space="preserve">[Threaded comment]
 Your version of Excel allows you to read this threaded comment; however, any edits to it will get removed if the file is opened in a newer version of Excel. Learn more: https://go.microsoft.com/fwlink/?linkid=870924
Comment:
	@hankai4@motorola.com 
@linfenga@motorola.com 
Please Update ESD  Camera Issue.
分配给了
Reply:
	@hankai4@motorola.com
</t>
      </text>
    </comment>
    <comment authorId="2" xr:uid="{4e387299-a191-4beb-9a77-a75cde89d372}" ref="I18">
      <text>
        <t xml:space="preserve">[Threaded comment]
 Your version of Excel allows you to read this threaded comment; however, any edits to it will get removed if the file is opened in a newer version of Excel. Learn more: https://go.microsoft.com/fwlink/?linkid=870924
Comment:
	@linfenga@motorola.com 
报告都有的话，细节有兴趣你可以看看
</t>
      </text>
    </comment>
    <comment authorId="3" xr:uid="{ab48648a-769a-4cd7-bc83-709140a21a5f}" ref="I32">
      <text>
        <t xml:space="preserve">[Threaded comment]
 Your version of Excel allows you to read this threaded comment; however, any edits to it will get removed if the file is opened in a newer version of Excel. Learn more: https://go.microsoft.com/fwlink/?linkid=870924
Comment:
	@fanlf@motorola.com 
这边有个小的设计issue ，事件已经在处理，影响较小。（问题是：OVP 电路画的时候GND没有接上， 我review时没有识别出来，小板OVP贴出来无法工作。EVB 小板需要返工短接一下OVP两端。） 请知悉
Reply:
	OK
</t>
      </text>
    </comment>
    <comment authorId="4" xr:uid="{c941cfce-d1fc-4406-9ba5-ffdd7a9c82ab}" ref="H14">
      <text>
        <t xml:space="preserve">[Threaded comment]
 Your version of Excel allows you to read this threaded comment; however, any edits to it will get removed if the file is opened in a newer version of Excel. Learn more: https://go.microsoft.com/fwlink/?linkid=870924
Comment:
	@liguoa@motorola.com 
@linfenga@motorola.com 
Hi 李果
我先记录一条这个case ，关于目前看起来电量计不太一样，SW推断是电池电量计可能有问题。 请帮忙起个case 给QC（附件log 和测试数据 及邮件描述已给你哈） ，CC 我和林峰，谢谢
分配给了liguoa@motorola.com
</t>
      </text>
    </comment>
    <comment authorId="5" xr:uid="{ef5d4f03-70b9-4a6e-8ea4-da5c10d2c960}" ref="G28">
      <text>
        <t xml:space="preserve">[Threaded comment]
 Your version of Excel allows you to read this threaded comment; however, any edits to it will get removed if the file is opened in a newer version of Excel. Learn more: https://go.microsoft.com/fwlink/?linkid=870924
Comment:
	@hankai4@motorola.com 
Please update ESD Status.
分配给了
</t>
      </text>
    </comment>
  </commentList>
</comments>
</file>

<file path=xl/comments21.xml><?xml version="1.0" encoding="utf-8"?>
<comments xmlns:r="http://schemas.openxmlformats.org/officeDocument/2006/relationships" xmlns="http://schemas.openxmlformats.org/spreadsheetml/2006/main" xmlns:xr="http://schemas.microsoft.com/office/spreadsheetml/2014/revision">
  <authors>
    <author/>
    <author>tc={1295e16f-cada-4e4c-9caa-19aa811bbcb3}</author>
    <author>tc={2f72c981-64e2-44d1-a642-9952345aeb74}</author>
    <author>tc={3531646d-bcc2-4039-bf21-e2dcae635356}</author>
    <author>tc={a2a55b17-0b5e-410f-9e2f-bc3d8d7ab498}</author>
    <author>tc={ac0b88d0-3ede-4130-8bee-30c5d681f8e4}</author>
  </authors>
  <commentList>
    <comment authorId="0" ref="E1">
      <text>
        <t xml:space="preserve">S1 : Block Gerber out          &amp;Solution Not Validated 
S2 : Not Block Gerber out  &amp;Solution Not Validated 
S3 : Not Block Gerber out  &amp;Solution RD Validated </t>
      </text>
    </comment>
    <comment authorId="1" xr:uid="{1295e16f-cada-4e4c-9caa-19aa811bbcb3}" ref="H11">
      <text>
        <t xml:space="preserve">[Threaded comment]
 Your version of Excel allows you to read this threaded comment; however, any edits to it will get removed if the file is opened in a newer version of Excel. Learn more: https://go.microsoft.com/fwlink/?linkid=870924
Comment:
	@xiaozh1@motorola.com 
似乎TDD已经ok了对吧，这边还记录一条。  是 DVT1= 多少DB？ 是否有个一个page 链接这边？
Reply:
	-76dB
</t>
      </text>
    </comment>
    <comment authorId="2" xr:uid="{2f72c981-64e2-44d1-a642-9952345aeb74}" ref="H7">
      <text>
        <t xml:space="preserve">[Threaded comment]
 Your version of Excel allows you to read this threaded comment; however, any edits to it will get removed if the file is opened in a newer version of Excel. Learn more: https://go.microsoft.com/fwlink/?linkid=870924
Comment:
	@hankai4@motorola.com 
@liguoa@motorola.com 
@xiaozh1@motorola.com 
HI 各位
这个issue 目前机器还没拿到，从字面上看是15KV后，耳机无作用。具体待确认。请关注
</t>
      </text>
    </comment>
    <comment authorId="3" xr:uid="{3531646d-bcc2-4039-bf21-e2dcae635356}" ref="I15">
      <text>
        <t xml:space="preserve">[Threaded comment]
 Your version of Excel allows you to read this threaded comment; however, any edits to it will get removed if the file is opened in a newer version of Excel. Learn more: https://go.microsoft.com/fwlink/?linkid=870924
Comment:
	@dongjk@motorola.com 
@liguoa@motorola.com 
这个issue ，最后应该是都走UFS2.2 吧，具体case 信息建议更新后close ，谢谢
</t>
      </text>
    </comment>
    <comment authorId="4" xr:uid="{a2a55b17-0b5e-410f-9e2f-bc3d8d7ab498}" ref="G2">
      <text>
        <t xml:space="preserve">[Threaded comment]
 Your version of Excel allows you to read this threaded comment; however, any edits to it will get removed if the file is opened in a newer version of Excel. Learn more: https://go.microsoft.com/fwlink/?linkid=870924
Comment:
	@xiaozh1@motorola.com 
Please update
分配给了xiaozh1@motorola.com
</t>
      </text>
    </comment>
    <comment authorId="5" xr:uid="{ac0b88d0-3ede-4130-8bee-30c5d681f8e4}" ref="H6">
      <text>
        <t xml:space="preserve">[Threaded comment]
 Your version of Excel allows you to read this threaded comment; however, any edits to it will get removed if the file is opened in a newer version of Excel. Learn more: https://go.microsoft.com/fwlink/?linkid=870924
Comment:
	@xiongsn1@motorola.com 
@liguoa@motorola.com 
Hi 熊，果子
之前这台P-sensor 无作用，后来重启ok？ 或者如何，请更新下结果，以便issue 跟踪。
</t>
      </text>
    </comment>
  </commentList>
</comments>
</file>

<file path=xl/comments22.xml><?xml version="1.0" encoding="utf-8"?>
<comments xmlns:r="http://schemas.openxmlformats.org/officeDocument/2006/relationships" xmlns="http://schemas.openxmlformats.org/spreadsheetml/2006/main" xmlns:xr="http://schemas.microsoft.com/office/spreadsheetml/2014/revision">
  <authors>
    <author/>
    <author>tc={02119348-c48f-418a-a90c-85a777beaf41}</author>
    <author>tc={056794f0-aa97-4b12-bb22-fe46157f70f3}</author>
    <author>tc={0657a7c7-8c29-41d4-90ea-a19a5b736e9a}</author>
    <author>tc={1d2405d0-661f-44c1-b6dd-2c4006cde7b0}</author>
    <author>tc={1f4d8949-f5af-4864-b291-83a24cff3bdb}</author>
    <author>tc={343a7907-f041-4127-86d4-a7ccf7c7ae45}</author>
    <author>tc={3610b865-5716-4872-9719-912d4ceed2cb}</author>
    <author>tc={38df3d5e-7a53-434e-9b05-765e1035b50f}</author>
    <author>tc={3d12b3fb-7746-4acb-938f-459f02370090}</author>
    <author>tc={3d7597bc-ad0f-4834-ad65-e1b662461147}</author>
    <author>tc={4304add9-c691-4820-adc0-a42b8722035e}</author>
    <author>tc={439a617a-7dc7-4758-af5f-46dc95246710}</author>
    <author>tc={44da93f0-443e-4e3a-892d-459527fdf948}</author>
    <author>tc={57ff04cd-42de-4f26-a7e3-1ab75bd9ff64}</author>
    <author>tc={5a42411a-9137-482c-ad59-984a941cb16b}</author>
    <author>tc={62bc8094-a5a6-4f30-87da-f26916d4269a}</author>
    <author>tc={7249d918-e5cd-4138-95ce-8b8cd59f7273}</author>
    <author>tc={7567dc44-1f10-4069-8d5c-3d08ab66fd94}</author>
    <author>tc={81b233a6-81b2-48d4-8a72-ab4ded7fa850}</author>
    <author>tc={83ef436a-e78b-4768-b562-21cf2e4a90a2}</author>
    <author>tc={841be113-5570-4e19-a7ff-85d0e59e96a7}</author>
    <author>tc={8ade518c-00fb-4ad8-8d17-20a0cc33afd6}</author>
    <author>tc={94800c7f-1346-4b25-82a4-b98c601eebaf}</author>
    <author>tc={96dc1f1b-8192-4ec8-a8dc-0ea0fd440161}</author>
    <author>tc={9c72d94c-606e-4fa1-bbd0-c7b8f690ebed}</author>
    <author>tc={ab5e0788-5811-40e2-8e10-a677b77f8a9f}</author>
    <author>tc={ad0ccc3d-17fc-41a3-aa73-0b772aba27ab}</author>
    <author>tc={b0a44752-59de-44cb-86bb-2a5772150aa6}</author>
    <author>tc={b3008a2c-39eb-4092-9632-5e2d0a996951}</author>
    <author>tc={b8a9a388-2c4c-4801-9fb6-be185e4e4c5e}</author>
    <author>tc={c27f7c94-364b-4abf-854e-e5aaea8ad98a}</author>
    <author>tc={c3bedce7-ffcf-4e93-8695-e96c8c3d8958}</author>
    <author>tc={cf539255-6474-4602-8d55-367bc5a9a38e}</author>
    <author>tc={d02ae095-3225-4f1c-83c3-1f93499fa180}</author>
    <author>tc={d574cab0-2053-4d1f-aa33-af33edc3ffe7}</author>
    <author>tc={da9a8c0f-b19c-40a5-a9da-8b2106214013}</author>
    <author>tc={e46f4e30-910d-46e4-b525-0ee35dea1508}</author>
    <author>tc={f0234955-9df9-4240-9ac7-fb34547de8b2}</author>
    <author>tc={f447ebd9-3f5d-400b-a973-b78385e08ad9}</author>
    <author>tc={fca8626c-62ad-4285-8073-02dd93fa0038}</author>
  </authors>
  <commentList>
    <comment authorId="0" ref="E1">
      <text>
        <t xml:space="preserve">S1 : Block Gerber out          &amp;Solution Not Validated 
S2 : Not Block Gerber out  &amp;Solution Not Validated 
S3 : Not Block Gerber out  &amp;Solution RD Validated 
</t>
      </text>
    </comment>
    <comment authorId="1" xr:uid="{02119348-c48f-418a-a90c-85a777beaf41}" ref="L17">
      <text>
        <t xml:space="preserve">[Threaded comment]
 Your version of Excel allows you to read this threaded comment; however, any edits to it will get removed if the file is opened in a newer version of Excel. Learn more: https://go.microsoft.com/fwlink/?linkid=870924
Comment:
	@chenwt@motorola.com 
帮忙补充Change的值，可以不用挂链接.
分配给了chenwt@motorola.com
Reply:
	没有明白 change 要填写的内容是什么 ，NA：没BB变更的选这个？  有BB 原理图 ，PCB或者 BOM变更 提供Link？。
</t>
      </text>
    </comment>
    <comment authorId="2" xr:uid="{056794f0-aa97-4b12-bb22-fe46157f70f3}" ref="H106">
      <text>
        <t xml:space="preserve">[Threaded comment]
 Your version of Excel allows you to read this threaded comment; however, any edits to it will get removed if the file is opened in a newer version of Excel. Learn more: https://go.microsoft.com/fwlink/?linkid=870924
Comment:
	@liguoa@motorola.com 
Please provide the one page Issue Link
分配给了liguoa@motorola.com
Reply:
	Done
</t>
      </text>
    </comment>
    <comment authorId="3" xr:uid="{0657a7c7-8c29-41d4-90ea-a19a5b736e9a}" ref="I22">
      <text>
        <t xml:space="preserve">[Threaded comment]
 Your version of Excel allows you to read this threaded comment; however, any edits to it will get removed if the file is opened in a newer version of Excel. Learn more: https://go.microsoft.com/fwlink/?linkid=870924
Comment:
	@dongjk@motorola.com 
@fanlf@motorola.com 
Hi 小董发现第一例怀疑和WDmemory 有关的故障，请关注。邮件
Reply:
	Hi 小董
Stingray 的WD issue 可以close了吧，请帮忙update下，如果ok 就将状态也改为close，谢谢
Reply:
	@chenb3@motorola.com 
Please update the result.
Reply:
	?
</t>
      </text>
    </comment>
    <comment authorId="4" xr:uid="{1d2405d0-661f-44c1-b6dd-2c4006cde7b0}" ref="H101">
      <text>
        <t xml:space="preserve">[Threaded comment]
 Your version of Excel allows you to read this threaded comment; however, any edits to it will get removed if the file is opened in a newer version of Excel. Learn more: https://go.microsoft.com/fwlink/?linkid=870924
Comment:
	@yangwla@motorola.com 
Please add the risk link here
</t>
      </text>
    </comment>
    <comment authorId="5" xr:uid="{1f4d8949-f5af-4864-b291-83a24cff3bdb}" ref="H66">
      <text>
        <t xml:space="preserve">[Threaded comment]
 Your version of Excel allows you to read this threaded comment; however, any edits to it will get removed if the file is opened in a newer version of Excel. Learn more: https://go.microsoft.com/fwlink/?linkid=870924
Comment:
	@linfenga@motorola.com 
Please provide a issue link here
分配给了linfenga@motorola.com
Reply:
	Please provide a link with updation of the issue status.
</t>
      </text>
    </comment>
    <comment authorId="6" xr:uid="{343a7907-f041-4127-86d4-a7ccf7c7ae45}" ref="H95">
      <text>
        <t xml:space="preserve">[Threaded comment]
 Your version of Excel allows you to read this threaded comment; however, any edits to it will get removed if the file is opened in a newer version of Excel. Learn more: https://go.microsoft.com/fwlink/?linkid=870924
Comment:
	@xiongsn1@motorola.com 
@chenwt@motorola.com
分配给了xiongsn1@motorola.com
Reply:
	Share the link here
Reply:
	SW  issue. waiting for SW check what it is ,why QC make this  change then ok.
</t>
      </text>
    </comment>
    <comment authorId="7" xr:uid="{3610b865-5716-4872-9719-912d4ceed2cb}" ref="H102">
      <text>
        <t xml:space="preserve">[Threaded comment]
 Your version of Excel allows you to read this threaded comment; however, any edits to it will get removed if the file is opened in a newer version of Excel. Learn more: https://go.microsoft.com/fwlink/?linkid=870924
Comment:
	@yangwla@motorola.com 
Please add the issue link here
分配给了
</t>
      </text>
    </comment>
    <comment authorId="8" xr:uid="{38df3d5e-7a53-434e-9b05-765e1035b50f}" ref="G86">
      <text>
        <t xml:space="preserve">[Threaded comment]
 Your version of Excel allows you to read this threaded comment; however, any edits to it will get removed if the file is opened in a newer version of Excel. Learn more: https://go.microsoft.com/fwlink/?linkid=870924
Comment:
	@linfenga@motorola.com 
@liguoa@motorola.com 
如果涉及到成本，请维护一下信息在bb cost design
https://docs.google.com/spreadsheets/d/1YgTep-2LYfwnim-50bHP0mIM0Ji-gF7xJMMREfpANQI/edit?usp=drive_web&amp;ouid=103383453319254568207
分配给了linfenga@motorola.com
</t>
      </text>
    </comment>
    <comment authorId="9" xr:uid="{3d12b3fb-7746-4acb-938f-459f02370090}" ref="H97">
      <text>
        <t xml:space="preserve">[Threaded comment]
 Your version of Excel allows you to read this threaded comment; however, any edits to it will get removed if the file is opened in a newer version of Excel. Learn more: https://go.microsoft.com/fwlink/?linkid=870924
Comment:
	@chenbang3@lenovo.com 
Please insert the issue link（one page）here.
分配给了chenbang3@lenovo.com
</t>
      </text>
    </comment>
    <comment authorId="10" xr:uid="{3d7597bc-ad0f-4834-ad65-e1b662461147}" ref="G16">
      <text>
        <t xml:space="preserve">[Threaded comment]
 Your version of Excel allows you to read this threaded comment; however, any edits to it will get removed if the file is opened in a newer version of Excel. Learn more: https://go.microsoft.com/fwlink/?linkid=870924
Comment:
	@wuxm5@motorola.com
Hi 学敏
这个机器请抽空分析下，移动卡，打电话掉电。   线索： 电信卡不复现；移动卡屏幕 揭开也不会，盖上屏幕就会.
分配给了wuxm5@motorola.com
Reply:
	HI  xuemin
这台机器还是不复现对吧
</t>
      </text>
    </comment>
    <comment authorId="11" xr:uid="{4304add9-c691-4820-adc0-a42b8722035e}" ref="G2">
      <text>
        <t xml:space="preserve">[Threaded comment]
 Your version of Excel allows you to read this threaded comment; however, any edits to it will get removed if the file is opened in a newer version of Excel. Learn more: https://go.microsoft.com/fwlink/?linkid=870924
Comment:
	@fanlf@motorola.com 
stingray 打电话黑屏case 记录的issue，请参考
</t>
      </text>
    </comment>
    <comment authorId="12" xr:uid="{439a617a-7dc7-4758-af5f-46dc95246710}" ref="G97">
      <text>
        <t xml:space="preserve">[Threaded comment]
 Your version of Excel allows you to read this threaded comment; however, any edits to it will get removed if the file is opened in a newer version of Excel. Learn more: https://go.microsoft.com/fwlink/?linkid=870924
Comment:
	@chenbang3@lenovo.com 
Hi 邦邦
请问这个是否已经验证ok?还是还不确认？计划是？
Reply:
	标为已解决
Reply:
	已重新提出
Reply:
	表格内容和 链接ppt内容都没更新不能直接close 这个comment哈.....
Reply:
	已更新。
</t>
      </text>
    </comment>
    <comment authorId="13" xr:uid="{44da93f0-443e-4e3a-892d-459527fdf948}" ref="H92">
      <text>
        <t xml:space="preserve">[Threaded comment]
 Your version of Excel allows you to read this threaded comment; however, any edits to it will get removed if the file is opened in a newer version of Excel. Learn more: https://go.microsoft.com/fwlink/?linkid=870924
Comment:
	@xiaozh1@motorola.com 
Please insert the issue (one page) link here,Refer to https://docs.google.com/presentation/d/1eNMhFYM8tmQGJBjuZgP6L9bZ_8MNS6UeYGuBx7Mpgak/edit#slide=id.g3d0e129719_0_0
分配给了xiaozh1@motorola.com
</t>
      </text>
    </comment>
    <comment authorId="14" xr:uid="{57ff04cd-42de-4f26-a7e3-1ab75bd9ff64}" ref="G7">
      <text>
        <t xml:space="preserve">[Threaded comment]
 Your version of Excel allows you to read this threaded comment; however, any edits to it will get removed if the file is opened in a newer version of Excel. Learn more: https://go.microsoft.com/fwlink/?linkid=870924
Comment:
	@dongjk@motorola.com 
@fanlf@motorola.com 
HI 小董
stingray  售后分析，BB issue 这边也请更新下，谢谢
</t>
      </text>
    </comment>
    <comment authorId="15" xr:uid="{5a42411a-9137-482c-ad59-984a941cb16b}" ref="G79">
      <text>
        <t xml:space="preserve">[Threaded comment]
 Your version of Excel allows you to read this threaded comment; however, any edits to it will get removed if the file is opened in a newer version of Excel. Learn more: https://go.microsoft.com/fwlink/?linkid=870924
Comment:
	@puzhe1@motorola.com 
Please pay attention to Solution 3.
分配给了
</t>
      </text>
    </comment>
    <comment authorId="16" xr:uid="{62bc8094-a5a6-4f30-87da-f26916d4269a}" ref="H34">
      <text>
        <t xml:space="preserve">[Threaded comment]
 Your version of Excel allows you to read this threaded comment; however, any edits to it will get removed if the file is opened in a newer version of Excel. Learn more: https://go.microsoft.com/fwlink/?linkid=870924
Comment:
	@xiongsn1@motorola.com 
@fanlf@motorola.com 
Hi 胜男
请创建一个PPT for 这个case 吧，持续收集相关信息
Reply:
	已经更新目前收集到的信息，后续会持续更新
</t>
      </text>
    </comment>
    <comment authorId="17" xr:uid="{7249d918-e5cd-4138-95ce-8b8cd59f7273}" ref="H23">
      <text>
        <t xml:space="preserve">[Threaded comment]
 Your version of Excel allows you to read this threaded comment; however, any edits to it will get removed if the file is opened in a newer version of Excel. Learn more: https://go.microsoft.com/fwlink/?linkid=870924
Comment:
	@linfenga@motorola.com 
@fanlf@motorola.com 
Hi 林峰
thermal TCC测试相关的，请update 下距离信息和计划安排吧
Reply:
	HI 林峰 
目前就是按照 如下推进Proposal:SW29.64 import 1st  balance for camera  ，waiting for TCC retest  ，具体看什么时候出结果更新下
</t>
      </text>
    </comment>
    <comment authorId="18" xr:uid="{7567dc44-1f10-4069-8d5c-3d08ab66fd94}" ref="I70">
      <text>
        <t xml:space="preserve">[Threaded comment]
 Your version of Excel allows you to read this threaded comment; however, any edits to it will get removed if the file is opened in a newer version of Excel. Learn more: https://go.microsoft.com/fwlink/?linkid=870924
Comment:
	@changfm1@motorola.com 
Hi 芳梅
这台故障机尽快确认下，从其他机器来看不排除有断线问题哦，可以参考下（量测是否有断线问题）
</t>
      </text>
    </comment>
    <comment authorId="19" xr:uid="{81b233a6-81b2-48d4-8a72-ab4ded7fa850}" ref="I93">
      <text>
        <t xml:space="preserve">[Threaded comment]
 Your version of Excel allows you to read this threaded comment; however, any edits to it will get removed if the file is opened in a newer version of Excel. Learn more: https://go.microsoft.com/fwlink/?linkid=870924
Comment:
	@liguoa@motorola.com 
@fanlf@motorola.com 
HI 李果
这边记录了一个电池连接器设计料号不对的问题，请处理case 并更新相关信息，谢谢
Reply:
	Done
</t>
      </text>
    </comment>
    <comment authorId="20" xr:uid="{83ef436a-e78b-4768-b562-21cf2e4a90a2}" ref="H86">
      <text>
        <t xml:space="preserve">[Threaded comment]
 Your version of Excel allows you to read this threaded comment; however, any edits to it will get removed if the file is opened in a newer version of Excel. Learn more: https://go.microsoft.com/fwlink/?linkid=870924
Comment:
	Please issue a file.
Using BB Issue Template to manage the issue.
https://docs.google.com/presentation/d/1Lxnxo6d33DuFNAjZPIzVD4hcmgTClTdH7Pgrggh5U_0/edit#slide=id.g4485224387_0_77
Reply:
	@linfenga@motorola.com
</t>
      </text>
    </comment>
    <comment authorId="21" xr:uid="{841be113-5570-4e19-a7ff-85d0e59e96a7}" ref="I90">
      <text>
        <t xml:space="preserve">[Threaded comment]
 Your version of Excel allows you to read this threaded comment; however, any edits to it will get removed if the file is opened in a newer version of Excel. Learn more: https://go.microsoft.com/fwlink/?linkid=870924
Comment:
	@chenbang3@lenovo.com 
@fanlf@motorola.com 
Hi bangbang 
请分析这个case 并更新下内容
希望9/20 有个结论，以便确认EVT生产方式。谢谢
</t>
      </text>
    </comment>
    <comment authorId="22" xr:uid="{8ade518c-00fb-4ad8-8d17-20a0cc33afd6}" ref="H87">
      <text>
        <t xml:space="preserve">[Threaded comment]
 Your version of Excel allows you to read this threaded comment; however, any edits to it will get removed if the file is opened in a newer version of Excel. Learn more: https://go.microsoft.com/fwlink/?linkid=870924
Comment:
	@wuxm5@motorola.com 
@xiaozh1@motorola.com 
@chenwt@motorola.com
Please issue a file.
Using BB Issue Template to manage the issue.
https://docs.google.com/presentation/d/1Lxnxo6d33DuFNAjZPIzVD4hcmgTClTdH7Pgrggh5U_0/edit#slide=id.g4485224387_0_77
分配给了wuxm5@motorola.com
Reply:
	@changfm1@motorola.com
重新分配给了changfm1@motorola.com
Reply:
	Hi Xuemin
As we talked ，pls update the   analysis  link document
</t>
      </text>
    </comment>
    <comment authorId="23" xr:uid="{94800c7f-1346-4b25-82a4-b98c601eebaf}" ref="G57">
      <text>
        <t xml:space="preserve">[Threaded comment]
 Your version of Excel allows you to read this threaded comment; however, any edits to it will get removed if the file is opened in a newer version of Excel. Learn more: https://go.microsoft.com/fwlink/?linkid=870924
Comment:
	在03A主板中，天线信号从弹片未先过压敏电阻，后进匹配区。04主板已更正
</t>
      </text>
    </comment>
    <comment authorId="24" xr:uid="{96dc1f1b-8192-4ec8-a8dc-0ea0fd440161}" ref="G33">
      <text>
        <t xml:space="preserve">[Threaded comment]
 Your version of Excel allows you to read this threaded comment; however, any edits to it will get removed if the file is opened in a newer version of Excel. Learn more: https://go.microsoft.com/fwlink/?linkid=870924
Comment:
	@fanlf@motorola.com 
Hi  小范
这个是目前红墨水实验的初步整理，请知悉
</t>
      </text>
    </comment>
    <comment authorId="25" xr:uid="{9c72d94c-606e-4fa1-bbd0-c7b8f690ebed}" ref="G99">
      <text>
        <t xml:space="preserve">[Threaded comment]
 Your version of Excel allows you to read this threaded comment; however, any edits to it will get removed if the file is opened in a newer version of Excel. Learn more: https://go.microsoft.com/fwlink/?linkid=870924
Comment:
	@yangwla@motorola.com 
@chenwt@motorola.com
Please Link this risk.
分配给了chenwt@motorola.com
</t>
      </text>
    </comment>
    <comment authorId="26" xr:uid="{ab5e0788-5811-40e2-8e10-a677b77f8a9f}" ref="G99">
      <text>
        <t xml:space="preserve">[Threaded comment]
 Your version of Excel allows you to read this threaded comment; however, any edits to it will get removed if the file is opened in a newer version of Excel. Learn more: https://go.microsoft.com/fwlink/?linkid=870924
Comment:
	@puzhe1@motorola.com 
P-sensor 的验证已有update ，请更新下这边信息，状态我先改为monitor了
</t>
      </text>
    </comment>
    <comment authorId="27" xr:uid="{ad0ccc3d-17fc-41a3-aa73-0b772aba27ab}" ref="H38">
      <text>
        <t xml:space="preserve">[Threaded comment]
 Your version of Excel allows you to read this threaded comment; however, any edits to it will get removed if the file is opened in a newer version of Excel. Learn more: https://go.microsoft.com/fwlink/?linkid=870924
Comment:
	@chenbang3@lenovo.com 
Please share the DP Issue Link
分配给了chenbang3@lenovo.com
Reply:
	Please provide a link with updation of the issue status.
</t>
      </text>
    </comment>
    <comment authorId="28" xr:uid="{b0a44752-59de-44cb-86bb-2a5772150aa6}" ref="H84">
      <text>
        <t xml:space="preserve">[Threaded comment]
 Your version of Excel allows you to read this threaded comment; however, any edits to it will get removed if the file is opened in a newer version of Excel. Learn more: https://go.microsoft.com/fwlink/?linkid=870924
Comment:
	@puzhe1@motorola.com 
@xiaozh1@motorola.com 
@chenwt@motorola.com 
Please issue a file.
Using BB Issue Template to manage the issue.
https://docs.google.com/presentation/d/1Lxnxo6d33DuFNAjZPIzVD4hcmgTClTdH7Pgrggh5U_0/edit#slide=id.g4485224387_0_77
分配给了
</t>
      </text>
    </comment>
    <comment authorId="29" xr:uid="{b3008a2c-39eb-4092-9632-5e2d0a996951}" ref="G67">
      <text>
        <t xml:space="preserve">[Threaded comment]
 Your version of Excel allows you to read this threaded comment; however, any edits to it will get removed if the file is opened in a newer version of Excel. Learn more: https://go.microsoft.com/fwlink/?linkid=870924
Comment:
	@liguoa@motorola.com 
@chenwt@motorola.com 
@wuxm5@motorola.com 
Please update the current drain issue.
分配给了liguoa@motorola.com
Reply:
	@liguoa@motorola.com 
Please update your issue link here.
Reply:
	Please provide a link with updation of the issue status.
</t>
      </text>
    </comment>
    <comment authorId="30" xr:uid="{b8a9a388-2c4c-4801-9fb6-be185e4e4c5e}" ref="G48">
      <text>
        <t xml:space="preserve">[Threaded comment]
 Your version of Excel allows you to read this threaded comment; however, any edits to it will get removed if the file is opened in a newer version of Excel. Learn more: https://go.microsoft.com/fwlink/?linkid=870924
Comment:
	@liguoa@motorola.com 
@linfenga@motorola.com 
@fanlf@motorola.com 
SW 单台机器不识别快充的，我这边建个issue。 果子请帮忙更新下信息
</t>
      </text>
    </comment>
    <comment authorId="31" xr:uid="{c27f7c94-364b-4abf-854e-e5aaea8ad98a}" ref="H72">
      <text>
        <t xml:space="preserve">[Threaded comment]
 Your version of Excel allows you to read this threaded comment; however, any edits to it will get removed if the file is opened in a newer version of Excel. Learn more: https://go.microsoft.com/fwlink/?linkid=870924
Comment:
	@liguoa@motorola.com 
Please share the issue link
分配给了liguoa@motorola.com
Reply:
	Please provide a link with updation of the issue status.
Reply:
	Please provide a link with updation of the issue status with newest issue template。
</t>
      </text>
    </comment>
    <comment authorId="32" xr:uid="{c3bedce7-ffcf-4e93-8695-e96c8c3d8958}" ref="I72">
      <text>
        <t xml:space="preserve">[Threaded comment]
 Your version of Excel allows you to read this threaded comment; however, any edits to it will get removed if the file is opened in a newer version of Excel. Learn more: https://go.microsoft.com/fwlink/?linkid=870924
Comment:
	@changfm1@motorola.com 
故障屏单体相关的故障，这边记一个issue，请关注
Reply:
	Ok
</t>
      </text>
    </comment>
    <comment authorId="33" xr:uid="{cf539255-6474-4602-8d55-367bc5a9a38e}" ref="G12">
      <text>
        <t xml:space="preserve">[Threaded comment]
 Your version of Excel allows you to read this threaded comment; however, any edits to it will get removed if the file is opened in a newer version of Excel. Learn more: https://go.microsoft.com/fwlink/?linkid=870924
Comment:
	@xiaozh1@motorola.com 
Please Record the Moto Issue.
分配给了xiaozh1@motorola.com
Reply:
	Please Record the motor Issue.
</t>
      </text>
    </comment>
    <comment authorId="34" xr:uid="{d02ae095-3225-4f1c-83c3-1f93499fa180}" ref="G71">
      <text>
        <t xml:space="preserve">[Threaded comment]
 Your version of Excel allows you to read this threaded comment; however, any edits to it will get removed if the file is opened in a newer version of Excel. Learn more: https://go.microsoft.com/fwlink/?linkid=870924
Comment:
	@wuxm5@motorola.com 
Please fill up the content.
分配给了wuxm5@motorola.com
</t>
      </text>
    </comment>
    <comment authorId="35" xr:uid="{d574cab0-2053-4d1f-aa33-af33edc3ffe7}" ref="H100">
      <text>
        <t xml:space="preserve">[Threaded comment]
 Your version of Excel allows you to read this threaded comment; however, any edits to it will get removed if the file is opened in a newer version of Excel. Learn more: https://go.microsoft.com/fwlink/?linkid=870924
Comment:
	@yangwla@motorola.com 
Please add the risk link here
分配给了
</t>
      </text>
    </comment>
    <comment authorId="36" xr:uid="{da9a8c0f-b19c-40a5-a9da-8b2106214013}" ref="G64">
      <text>
        <t xml:space="preserve">[Threaded comment]
 Your version of Excel allows you to read this threaded comment; however, any edits to it will get removed if the file is opened in a newer version of Excel. Learn more: https://go.microsoft.com/fwlink/?linkid=870924
Comment:
	@liguoa@motorola.com 
@puzhe1@motorola.com
@fanlf@motorola.com 
Hi 李果
请帮忙先分析下这台机器，如有更新请告知下
</t>
      </text>
    </comment>
    <comment authorId="37" xr:uid="{e46f4e30-910d-46e4-b525-0ee35dea1508}" ref="I68">
      <text>
        <t xml:space="preserve">[Threaded comment]
 Your version of Excel allows you to read this threaded comment; however, any edits to it will get removed if the file is opened in a newer version of Excel. Learn more: https://go.microsoft.com/fwlink/?linkid=870924
Comment:
	@chenbang3@lenovo.com 
@fanlf@motorola.com 
@liguoa@motorola.com 
@wuxm5@motorola.com 
Hi 邦邦
如沟通，这边也更新下，MAX3108 的漏电分析情况。目前看还不乐观。还未找到解决方法。
</t>
      </text>
    </comment>
    <comment authorId="38" xr:uid="{f0234955-9df9-4240-9ac7-fb34547de8b2}" ref="H99">
      <text>
        <t xml:space="preserve">[Threaded comment]
 Your version of Excel allows you to read this threaded comment; however, any edits to it will get removed if the file is opened in a newer version of Excel. Learn more: https://go.microsoft.com/fwlink/?linkid=870924
Comment:
	@yangwla@motorola.com
Please add the issue link here。
分配给了
</t>
      </text>
    </comment>
    <comment authorId="39" xr:uid="{f447ebd9-3f5d-400b-a973-b78385e08ad9}" ref="H74">
      <text>
        <t xml:space="preserve">[Threaded comment]
 Your version of Excel allows you to read this threaded comment; however, any edits to it will get removed if the file is opened in a newer version of Excel. Learn more: https://go.microsoft.com/fwlink/?linkid=870924
Comment:
	@changfm1@motorola.com 
@fanlf@motorola.com 
Hi 芳梅
这个板子目前看比之前第一个板子还多断了一根线。板子正寄往武汉做磨板实验，明天早上记得联系怀玉准备磨板的申请哈。
Reply:
	HI 芳梅
看这边还没有链接，这个故障报告，我重新创建一个链接（2），请将信息放置到这边，后面磨板数据也放过来。
Reply:
	好的，已经和怀玉沟通了磨板，他已经申请，最快明天或者后天开始分析
Reply:
	实验室昨天给的答复是排不上，我追了个邮件，但看不出有没有用。所以你也再关注下
Reply:
	Hi 芳梅
你分析过程补充下吧，还有后面的两台分析也加上， 会再安排个磨板确认
</t>
      </text>
    </comment>
    <comment authorId="40" xr:uid="{fca8626c-62ad-4285-8073-02dd93fa0038}" ref="H62">
      <text>
        <t xml:space="preserve">[Threaded comment]
 Your version of Excel allows you to read this threaded comment; however, any edits to it will get removed if the file is opened in a newer version of Excel. Learn more: https://go.microsoft.com/fwlink/?linkid=870924
Comment:
	@xiongsn1@motorola.com 
@wuxm5@motorola.com 
@puzhe1@motorola.com 
@fanlf@motorola.com 
@liguoa@motorola.com 
Hi 胜男
这是第二次出现，之前是另外一单ALT报了一次，也是重启后回复，当时怀疑可能是CTP翘起导致，继续跟踪。 这次又出现，应该是真有问题，看如何抓出问题所在。
</t>
      </text>
    </comment>
  </commentList>
</comments>
</file>

<file path=xl/comments23.xml><?xml version="1.0" encoding="utf-8"?>
<comments xmlns:r="http://schemas.openxmlformats.org/officeDocument/2006/relationships" xmlns="http://schemas.openxmlformats.org/spreadsheetml/2006/main" xmlns:xr="http://schemas.microsoft.com/office/spreadsheetml/2014/revision">
  <authors>
    <author/>
    <author>tc={0a05b887-9917-4a4c-a1e4-bc947d1ed045}</author>
    <author>tc={141b175c-d7c1-4495-93a5-fabaf2093b52}</author>
    <author>tc={3feabdc9-f779-4164-9a17-e25f48d9f473}</author>
    <author>tc={4332df5b-0d82-41a3-82c5-b07262b9e56f}</author>
    <author>tc={4dbd1d7c-6657-4be3-b96c-213b91b92b8b}</author>
    <author>tc={521b54ad-db3e-400d-9d85-58914b9cb0ba}</author>
    <author>tc={585d1281-b4e9-482a-99dc-892c19ae572c}</author>
    <author>tc={58d9c4cc-1e56-46d8-80e4-ac884fe213d4}</author>
    <author>tc={6c9b6f66-377b-4215-8cbf-0cc1161e7de2}</author>
    <author>tc={6f7f7dca-4b79-444c-80de-73c5f300047b}</author>
    <author>tc={7302a66e-95d9-4df0-a49b-de6103f80f34}</author>
    <author>tc={7b2763be-1b08-437b-8a16-8cb00ad09ada}</author>
    <author>tc={82cc1863-83c7-4de6-a03d-f2e33b33822a}</author>
    <author>tc={838ccfcd-72a2-473b-b2bf-4199eff3b608}</author>
    <author>tc={8651cb76-9d41-4346-8c41-c75bea99ad9f}</author>
    <author>tc={8e973992-35e5-4364-89df-5318ef1df242}</author>
    <author>tc={a6cf2c5c-d218-477d-a74b-2c3fe9848ae2}</author>
    <author>tc={a7ec7486-9f84-47e2-9dd7-bbda02836c9c}</author>
    <author>tc={af2c98aa-d4bf-4782-89e3-f5fed357c2a9}</author>
    <author>tc={b7d03757-10b5-4836-b21a-4bda15ae916a}</author>
    <author>tc={c5e13467-ed2b-4c44-80d9-6a6d1dba603b}</author>
    <author>tc={cc0a3a79-fcb9-4fb3-b27b-6f4b822b3ed5}</author>
    <author>tc={cdb44d09-241a-4d0a-954b-e7ee6a1d6f58}</author>
    <author>tc={d61c43ed-bf22-4751-8602-14003dc0447d}</author>
    <author>tc={e7860a1a-9ec2-4876-8931-aa39590e020b}</author>
    <author>tc={fb19304c-eae0-4fd3-8b5d-d47c88acc62b}</author>
    <author>tc={fdd7f843-564a-4c32-9fb9-fdb19b0b009a}</author>
  </authors>
  <commentList>
    <comment authorId="0" ref="E1">
      <text>
        <t xml:space="preserve">S1 : Block Gerber out          &amp;Solution Not Validated 
S2 : Not Block Gerber out  &amp;Solution Not Validated 
S3 : Not Block Gerber out  &amp;Solution RD Validated </t>
      </text>
    </comment>
    <comment authorId="1" xr:uid="{0a05b887-9917-4a4c-a1e4-bc947d1ed045}" ref="G52">
      <text>
        <t xml:space="preserve">[Threaded comment]
 Your version of Excel allows you to read this threaded comment; however, any edits to it will get removed if the file is opened in a newer version of Excel. Learn more: https://go.microsoft.com/fwlink/?linkid=870924
Comment:
	@wuxm5@motorola.com 
@liguoa@motorola.com 
Hi 李果
请帮忙更新下这个issue 改屏蔽盖的相关信息 （03B  PCB ,什么时候能验证？  其他的没改的点胶什么上面验证？）
</t>
      </text>
    </comment>
    <comment authorId="2" xr:uid="{141b175c-d7c1-4495-93a5-fabaf2093b52}" ref="I43">
      <text>
        <t xml:space="preserve">[Threaded comment]
 Your version of Excel allows you to read this threaded comment; however, any edits to it will get removed if the file is opened in a newer version of Excel. Learn more: https://go.microsoft.com/fwlink/?linkid=870924
Comment:
	@liguoa@motorola.com 
@chenb3@motorola.com 
HI 李果
你说的验证 移动器件U5000和屏蔽盖改斜角的是哪一单ALT？ 能否告知下。听说还是有fail
Reply:
	WH18735,A4(5),前后置无法进入
我加焊了可以进入
Reply:
	那是否证明只能点胶，应没有其他solution 可以了，需要和ME align 清楚了。
</t>
      </text>
    </comment>
    <comment authorId="3" xr:uid="{3feabdc9-f779-4164-9a17-e25f48d9f473}" ref="I52">
      <text>
        <t xml:space="preserve">[Threaded comment]
 Your version of Excel allows you to read this threaded comment; however, any edits to it will get removed if the file is opened in a newer version of Excel. Learn more: https://go.microsoft.com/fwlink/?linkid=870924
Comment:
	@wuxm5@motorola.com 
@liguoa@motorola.com
@fanlf@motorola.com 
Hi 学敏
请放置个链接哈。这个链接看来还得多台分段落看了，故障现象随着分析有可能会分开
</t>
      </text>
    </comment>
    <comment authorId="4" xr:uid="{4332df5b-0d82-41a3-82c5-b07262b9e56f}" ref="I53">
      <text>
        <t xml:space="preserve">[Threaded comment]
 Your version of Excel allows you to read this threaded comment; however, any edits to it will get removed if the file is opened in a newer version of Excel. Learn more: https://go.microsoft.com/fwlink/?linkid=870924
Comment:
	@changfm1@motorola.com
@liguoa@motorola.com 
Hi  芳梅
产线烧器件的这个case 打算如何处理？
Reply:
	产线热插拔管控推动执行到位后关闭请comment下并monitor 这个 case
</t>
      </text>
    </comment>
    <comment authorId="5" xr:uid="{4dbd1d7c-6657-4be3-b96c-213b91b92b8b}" ref="G24">
      <text>
        <t xml:space="preserve">[Threaded comment]
 Your version of Excel allows you to read this threaded comment; however, any edits to it will get removed if the file is opened in a newer version of Excel. Learn more: https://go.microsoft.com/fwlink/?linkid=870924
Comment:
	@puzhe1@motorola.com 
@liguoa@motorola.com 
@fanlf@motorola.com 
HI  浦喆
请明确下，04B 这两个增加的TVS位置，要贴什么。 需要将更改落实.
Reply:
	那是否明确增加2颗TVS为方案导入？或者还有其他 solution？
Reply:
	没有其他solution了
</t>
      </text>
    </comment>
    <comment authorId="6" xr:uid="{521b54ad-db3e-400d-9d85-58914b9cb0ba}" ref="I44">
      <text>
        <t xml:space="preserve">[Threaded comment]
 Your version of Excel allows you to read this threaded comment; however, any edits to it will get removed if the file is opened in a newer version of Excel. Learn more: https://go.microsoft.com/fwlink/?linkid=870924
Comment:
	@xiongsn1@motorola.com 
@liguoa@motorola.com 
机器回来后请分析，并放置链接过来
</t>
      </text>
    </comment>
    <comment authorId="7" xr:uid="{585d1281-b4e9-482a-99dc-892c19ae572c}" ref="I63">
      <text>
        <t xml:space="preserve">[Threaded comment]
 Your version of Excel allows you to read this threaded comment; however, any edits to it will get removed if the file is opened in a newer version of Excel. Learn more: https://go.microsoft.com/fwlink/?linkid=870924
Comment:
	@dongjk@motorola.com 
@fanlf@motorola.com 
@liguoa@motorola.com 
Hi 小董
这个项我认为可以close，我先改为monitor 。 你下周看下如果确认可以close ，请更新下status，谢谢
</t>
      </text>
    </comment>
    <comment authorId="8" xr:uid="{58d9c4cc-1e56-46d8-80e4-ac884fe213d4}" ref="H11">
      <text>
        <t xml:space="preserve">[Threaded comment]
 Your version of Excel allows you to read this threaded comment; however, any edits to it will get removed if the file is opened in a newer version of Excel. Learn more: https://go.microsoft.com/fwlink/?linkid=870924
Comment:
	@liguoa@motorola.com 
Any update?
分配给了liguoa@motorola.com
Reply:
	Update, SW log time exception for software causing result to fail.And update software retest pass.
</t>
      </text>
    </comment>
    <comment authorId="9" xr:uid="{6c9b6f66-377b-4215-8cbf-0cc1161e7de2}" ref="G2">
      <text>
        <t xml:space="preserve">[Threaded comment]
 Your version of Excel allows you to read this threaded comment; however, any edits to it will get removed if the file is opened in a newer version of Excel. Learn more: https://go.microsoft.com/fwlink/?linkid=870924
Comment:
	@chenb3@motorola.com 
@liguoa@motorola.com 
@fanlf@motorola.com 
HI bangbang 
Racer 先报的这个问题，这个case这两天触发并进行了一些分析，目前可以复现并抓到波形。故障出现在TOFI2C操作时，NFC 触发IC reset，可能因此强制影响到I2C总线了 。 ST厂家答复 建议将TOF的Xshut维持高电平再试一下，但是没有解释为什么要这样。 先验证，再继续确认为什么
Reply:
	目前软件在racer上复现的主要问题在reset之后很久（大于90ms），也会在TOF数据叠加的时候，出现NFC异常。
</t>
      </text>
    </comment>
    <comment authorId="10" xr:uid="{6f7f7dca-4b79-444c-80de-73c5f300047b}" ref="I56">
      <text>
        <t xml:space="preserve">[Threaded comment]
 Your version of Excel allows you to read this threaded comment; however, any edits to it will get removed if the file is opened in a newer version of Excel. Learn more: https://go.microsoft.com/fwlink/?linkid=870924
Comment:
	@linfenga@motorola.com
@liguoa@motorola.com 
HI 林峰
充电时，电池NTC 温度和电池温度偏差较大的case，我这边建立一个issue ，你更新下 分析link 吧
</t>
      </text>
    </comment>
    <comment authorId="11" xr:uid="{7302a66e-95d9-4df0-a49b-de6103f80f34}" ref="G39">
      <text>
        <t xml:space="preserve">[Threaded comment]
 Your version of Excel allows you to read this threaded comment; however, any edits to it will get removed if the file is opened in a newer version of Excel. Learn more: https://go.microsoft.com/fwlink/?linkid=870924
Comment:
	@changfm1@motorola.com ;把上周的那台给你分析无法显示的，更新到这里
Reply:
	HI 芳梅
这台机器有什么更新？
Reply:
	高低温实验室正在做,下班前更新实验结果.
Reply:
	温冲实验做完了，屏正常亮
Reply:
	先close ，DVT1A如有问题再说。 看起来像是个SW问题
</t>
      </text>
    </comment>
    <comment authorId="12" xr:uid="{7b2763be-1b08-437b-8a16-8cb00ad09ada}" ref="G32">
      <text>
        <t xml:space="preserve">[Threaded comment]
 Your version of Excel allows you to read this threaded comment; however, any edits to it will get removed if the file is opened in a newer version of Excel. Learn more: https://go.microsoft.com/fwlink/?linkid=870924
Comment:
	@wuxm5@motorola.com 
@liguoa@motorola.com 
Hi 学敏
如沟通，同一单的B3出现先自动关机，之后直接不开机。这是个线索，这两台是否PMIC也是有管脚虚焊了，所以建议做冷凌跌落看是否能复现。 之后直接做红墨水实验，然后分析结束。（电池部分闲军已经看了）
</t>
      </text>
    </comment>
    <comment authorId="13" xr:uid="{82cc1863-83c7-4de6-a03d-f2e33b33822a}" ref="I68">
      <text>
        <t xml:space="preserve">[Threaded comment]
 Your version of Excel allows you to read this threaded comment; however, any edits to it will get removed if the file is opened in a newer version of Excel. Learn more: https://go.microsoft.com/fwlink/?linkid=870924
Comment:
	@chenb3@motorola.com
@wuxm5@motorola.com 
HI 邦邦
R5006 直接删除的更改，你看啥时候提一下原理图修改哈， 先提上去避免忘了，提了后告知下
Reply:
	我提交更改了
https://docs.google.com/presentation/d/1fLTIqXaTkvqIms4jaZlirWUwlSutK7Y_JQdWUKgIqME/edit#slide=id.g5c519f5b8e_1_0
</t>
      </text>
    </comment>
    <comment authorId="14" xr:uid="{838ccfcd-72a2-473b-b2bf-4199eff3b608}" ref="I40">
      <text>
        <t xml:space="preserve">[Threaded comment]
 Your version of Excel allows you to read this threaded comment; however, any edits to it will get removed if the file is opened in a newer version of Excel. Learn more: https://go.microsoft.com/fwlink/?linkid=870924
Comment:
	@wuxm5@motorola.com 
HI 学敏
我给你的这两台跌落自动关机一次的，请帮忙填写下 实验编号和机器编号，我去查一下实验的具体结果。（这两台是从KP那边拿过来的）
Reply:
	WH118417 D4,D10
Reply:
	，top side drop
</t>
      </text>
    </comment>
    <comment authorId="15" xr:uid="{8651cb76-9d41-4346-8c41-c75bea99ad9f}" ref="G31">
      <text>
        <t xml:space="preserve">[Threaded comment]
 Your version of Excel allows you to read this threaded comment; however, any edits to it will get removed if the file is opened in a newer version of Excel. Learn more: https://go.microsoft.com/fwlink/?linkid=870924
Comment:
	@liguoa@motorola.com 
@wuxm5@motorola.com 
Hi 李果
这台机器是做完红墨水吗？还是加焊？  分析完建议直接close 转 ME，否则issue太多了、
Reply:
	做红墨水了
Reply:
	那请更新下issue ，然后monitor 或者 close吧。
Reply:
	@学敏
Reply:
	Please update @wuxm5@motorola.com
</t>
      </text>
    </comment>
    <comment authorId="16" xr:uid="{8e973992-35e5-4364-89df-5318ef1df242}" ref="I41">
      <text>
        <t xml:space="preserve">[Threaded comment]
 Your version of Excel allows you to read this threaded comment; however, any edits to it will get removed if the file is opened in a newer version of Excel. Learn more: https://go.microsoft.com/fwlink/?linkid=870924
Comment:
	@liguoa@motorola.com 
@wuxm5@motorola.com 
@fanlf@motorola.com 
EVT ALT后一台不停重启的机器，分析到和modem 相关可能性比较大，由于memory点胶，无法做CPU加焊实验所以做了红墨水。 但是没有发现异常（CPU和 PM6125,PMI632）.  板子无法进一步分析，只能继续跟踪DVT1A的结果。
Reply:
	是否需要把芯片寄给高通分析内部是否有损伤~
Reply:
	红墨水拔下来的，无法分析吧~只能DVT1A再跟踪看
</t>
      </text>
    </comment>
    <comment authorId="17" xr:uid="{a6cf2c5c-d218-477d-a74b-2c3fe9848ae2}" ref="G17">
      <text>
        <t xml:space="preserve">[Threaded comment]
 Your version of Excel allows you to read this threaded comment; however, any edits to it will get removed if the file is opened in a newer version of Excel. Learn more: https://go.microsoft.com/fwlink/?linkid=870924
Comment:
	@liguoa@motorola.com 
@puzhe1@motorola.com 
@fanlf@motorola.com 
滚筒SIM卡断线的case，bb issue 里面update 信息如下，有什么补充请更新下，谢谢
</t>
      </text>
    </comment>
    <comment authorId="18" xr:uid="{a7ec7486-9f84-47e2-9dd7-bbda02836c9c}" ref="I42">
      <text>
        <t xml:space="preserve">[Threaded comment]
 Your version of Excel allows you to read this threaded comment; however, any edits to it will get removed if the file is opened in a newer version of Excel. Learn more: https://go.microsoft.com/fwlink/?linkid=870924
Comment:
	@xiaozh1@motorola.com 
@liguoa@motorola.com
@chenb3@motorola.com 
Hi 志浩
这台机器你也看下，喇叭噪音的，机器应该在邦邦手里（分析camera）
Reply:
	HI 志浩
我放了个link
建议更新信息进来
Reply:
	Hi 志浩
请更新  以及信息进来，包括表格
Reply:
	OK
</t>
      </text>
    </comment>
    <comment authorId="19" xr:uid="{af2c98aa-d4bf-4782-89e3-f5fed357c2a9}" ref="G6">
      <text>
        <t xml:space="preserve">[Threaded comment]
 Your version of Excel allows you to read this threaded comment; however, any edits to it will get removed if the file is opened in a newer version of Excel. Learn more: https://go.microsoft.com/fwlink/?linkid=870924
Comment:
	@puzhe1@motorola.com 
这个描述逻辑再看看
分配给了
Reply:
	@liguoa@motorola.com
故障分析有新的发现，TOF_RST pin CPU端 对地短路 2.5R~3.5R，D1和D2 两台故障一致。 相信目前这个是真的直接失效点位了。结合SPK 做ESD摸底测试无法复现问题， 推测故障是TOF相关引起的，往这边分析和复现中，待更新
</t>
      </text>
    </comment>
    <comment authorId="20" xr:uid="{b7d03757-10b5-4836-b21a-4bda15ae916a}" ref="I58">
      <text>
        <t xml:space="preserve">[Threaded comment]
 Your version of Excel allows you to read this threaded comment; however, any edits to it will get removed if the file is opened in a newer version of Excel. Learn more: https://go.microsoft.com/fwlink/?linkid=870924
Comment:
	@liguoa@motorola.com 
@fanlf@motorola.com 
HI 李果
如沟通，请放个链接，然后close这个issue，谢谢
</t>
      </text>
    </comment>
    <comment authorId="21" xr:uid="{c5e13467-ed2b-4c44-80d9-6a6d1dba603b}" ref="I49">
      <text>
        <t xml:space="preserve">[Threaded comment]
 Your version of Excel allows you to read this threaded comment; however, any edits to it will get removed if the file is opened in a newer version of Excel. Learn more: https://go.microsoft.com/fwlink/?linkid=870924
Comment:
	@xiaozh1@motorola.com 
@liguoa@motorola.com 
Hi 志浩
这个case 请先放置下链接文档，描述更新下，其他分析进展能更新的及时更新下，谢谢
Reply:
	能否放置个链接
Reply:
	志浩，请放置一个链接
Reply:
	OK
</t>
      </text>
    </comment>
    <comment authorId="22" xr:uid="{cc0a3a79-fcb9-4fb3-b27b-6f4b822b3ed5}" ref="I20">
      <text>
        <t xml:space="preserve">[Threaded comment]
 Your version of Excel allows you to read this threaded comment; however, any edits to it will get removed if the file is opened in a newer version of Excel. Learn more: https://go.microsoft.com/fwlink/?linkid=870924
Comment:
	@puzhe1@motorola.com 
@xiongsn1@motorola.com 
@liguoa@motorola.com 
@fanlf@motorola.com 
Hi 浦喆 
请帮忙更新下这两台G-sensor 无作用的机器，目前情况，谢谢
Reply:
	HI  小熊
故障IC 目前ME给的答复是看不出有什么碰到的痕迹。  所以没有线索。  那么就是加紧故障IC的厂家分析，看是否有线索是什么样的力导致的fail。这个case目前PCB上面没有相应的更改可以解决，对吧，马上发DVT2的板子了。
</t>
      </text>
    </comment>
    <comment authorId="23" xr:uid="{cdb44d09-241a-4d0a-954b-e7ee6a1d6f58}" ref="I61">
      <text>
        <t xml:space="preserve">[Threaded comment]
 Your version of Excel allows you to read this threaded comment; however, any edits to it will get removed if the file is opened in a newer version of Excel. Learn more: https://go.microsoft.com/fwlink/?linkid=870924
Comment:
	@linfenga@motorola.com 
@xiaozh1@motorola.com
@puzhe1@motorola.com 
Hi 林峰
USB OVP 的耐电流风险，建议收集信息放个链接备存，谢谢
Reply:
	这边记录，至于数据，请备存在服务器并放个链接过来，issue先close了
</t>
      </text>
    </comment>
    <comment authorId="24" xr:uid="{d61c43ed-bf22-4751-8602-14003dc0447d}" ref="G19">
      <text>
        <t xml:space="preserve">[Threaded comment]
 Your version of Excel allows you to read this threaded comment; however, any edits to it will get removed if the file is opened in a newer version of Excel. Learn more: https://go.microsoft.com/fwlink/?linkid=870924
Comment:
	@puzhe1@motorola.com 
@liguoa@motorola.com 
Hi puzhe
我放了分析链接哈，以便记录，特别是图片，如果你方便就更新图纸进去，如果不方便，我稍后改完线更新
</t>
      </text>
    </comment>
    <comment authorId="25" xr:uid="{e7860a1a-9ec2-4876-8931-aa39590e020b}" ref="G37">
      <text>
        <t xml:space="preserve">[Threaded comment]
 Your version of Excel allows you to read this threaded comment; however, any edits to it will get removed if the file is opened in a newer version of Excel. Learn more: https://go.microsoft.com/fwlink/?linkid=870924
Comment:
	@linfenga@motorola.com 
@liguoa@motorola.com 
Hi 林峰
目前看复测1A能pass ，2A还是fail。请帮看下
</t>
      </text>
    </comment>
    <comment authorId="26" xr:uid="{fb19304c-eae0-4fd3-8b5d-d47c88acc62b}" ref="E1">
      <text>
        <t xml:space="preserve">[Threaded comment]
 Your version of Excel allows you to read this threaded comment; however, any edits to it will get removed if the file is opened in a newer version of Excel. Learn more: https://go.microsoft.com/fwlink/?linkid=870924
Comment:
	@linfenga@motorola.com
@liguoa@motorola.com
@xiongsn1@motorola.com
@chenwt@motorola.com
@dongjk@motorola.com
@xiaozh1@motorola.com
@chenb3@motorola.com
@changfm1@motorola.com
@fanlf@motorola.com
@wuxm5@motorola.com
@puzhe1@motorola.com
@sunyh1@motorola.com
@chenyc4@motorola.com 
BB Issue Severity Principle as Below:
S1:Block Gerber out          &amp;Solution Not Validated 
S2:Not Block Gerber out  &amp;Solution Not Validated 
S3:Not Block Gerber out  &amp;Solution Validated
</t>
      </text>
    </comment>
    <comment authorId="27" xr:uid="{fdd7f843-564a-4c32-9fb9-fdb19b0b009a}" ref="I57">
      <text>
        <t xml:space="preserve">[Threaded comment]
 Your version of Excel allows you to read this threaded comment; however, any edits to it will get removed if the file is opened in a newer version of Excel. Learn more: https://go.microsoft.com/fwlink/?linkid=870924
Comment:
	@wuxm5@motorola.com 
@xiaozh1@motorola.com 
@liguoa@motorola.com 
HI 学敏
主板发声的issue，我这边记录一条哈，有更新请update下 。目前看应该
和背光电路有关
Reply:
	也可能是屏的bias电路，
Reply:
	看起来明确是bias电感发声。 接下来呢？
Reply:
	学敏
这个solution 没写，还有SW是否导入也没描述，请更新
Reply:
	请芳梅更新哈~~
@changfm1@motorola.com
Reply:
	HI 芳梅
如沟通，请放置链接然后close 这个issue。下周一处理就可以
</t>
      </text>
    </comment>
  </commentList>
</comments>
</file>

<file path=xl/comments24.xml><?xml version="1.0" encoding="utf-8"?>
<comments xmlns:r="http://schemas.openxmlformats.org/officeDocument/2006/relationships" xmlns="http://schemas.openxmlformats.org/spreadsheetml/2006/main" xmlns:xr="http://schemas.microsoft.com/office/spreadsheetml/2014/revision">
  <authors>
    <author/>
    <author>tc={1741d71c-c63b-4b20-adbc-ffeaf4cfe8ad}</author>
    <author>tc={240ba66e-8033-43f2-b2f1-dc66afca9502}</author>
    <author>tc={25673c6d-0865-49a0-9c0c-0311e6646155}</author>
    <author>tc={2ecbcf15-f128-4e79-bff7-6318abaca1bf}</author>
    <author>tc={48fc605e-f73f-4d3d-b106-e006717d41ab}</author>
    <author>tc={4b8e49ba-6501-4c5c-b398-c35c37f894f8}</author>
    <author>tc={56e9d288-04e3-4633-b1a7-00e815f4b5c5}</author>
    <author>tc={5df7d963-7858-452a-9a46-9c04e0eef006}</author>
    <author>tc={61a9b639-a1e4-4df2-b797-ddcb7a3774e3}</author>
    <author>tc={87f524f0-db01-4754-8729-23edfd34109e}</author>
    <author>tc={94b750c3-e32e-4acf-b9dd-019d1fa32725}</author>
    <author>tc={9ccb662c-377a-48b7-bfc8-7c043373a5f3}</author>
    <author>tc={b05db406-f10a-416a-bd29-67207414c0aa}</author>
    <author>tc={be9002ca-258d-4c2d-9cd5-c867227328ef}</author>
    <author>tc={c367abf5-127d-47c3-9953-88e3ebe129d3}</author>
    <author>tc={db387339-b50d-4dad-b1ca-a910d67a5dd3}</author>
    <author>tc={e48065d8-22b6-4e78-ae82-3e2b96d46108}</author>
    <author>tc={e58b66ba-853f-4c1e-9a68-c667b42bd633}</author>
    <author>tc={f9726dde-a56c-47ca-ab6f-5c1a4b3e9241}</author>
  </authors>
  <commentList>
    <comment authorId="0" ref="E1">
      <text>
        <t xml:space="preserve">S1 : Block Gerber out          &amp;Solution Not Validated 
S2 : Not Block Gerber out  &amp;Solution Not Validated 
S3 : Not Block Gerber out  &amp;Solution RD Validated </t>
      </text>
    </comment>
    <comment authorId="1" xr:uid="{1741d71c-c63b-4b20-adbc-ffeaf4cfe8ad}" ref="H78">
      <text>
        <t xml:space="preserve">[Threaded comment]
 Your version of Excel allows you to read this threaded comment; however, any edits to it will get removed if the file is opened in a newer version of Excel. Learn more: https://go.microsoft.com/fwlink/?linkid=870924
Comment:
	@xiongsn1@motorola.com 
这个case 请先放置个分析ppt 链接，已经分析的这些内容放上去吧，包括波形测量及一些看法，谢谢
Reply:
	这个case 请补一下今天讨论的信息。 并将分析链接放上来吧，
</t>
      </text>
    </comment>
    <comment authorId="2" xr:uid="{240ba66e-8033-43f2-b2f1-dc66afca9502}" ref="G71">
      <text>
        <t xml:space="preserve">[Threaded comment]
 Your version of Excel allows you to read this threaded comment; however, any edits to it will get removed if the file is opened in a newer version of Excel. Learn more: https://go.microsoft.com/fwlink/?linkid=870924
Comment:
	@wuxm5@motorola.com 
@linfenga@motorola.com 
@fanlf@motorola.com 
Hi 学敏
底电流的case，我先开个issue跟踪哈，你有什么更新请加上去，如有文档建议同步放文档链接，谢谢
Reply:
	底电流的case 你自己更新下哈
Reply:
	@wuxm5@motorola.com
@liguoa@motorola.com 
更新信息后如果觉得可以close 就close
Reply:
	更新完毕，close
</t>
      </text>
    </comment>
    <comment authorId="3" xr:uid="{25673c6d-0865-49a0-9c0c-0311e6646155}" ref="G46">
      <text>
        <t xml:space="preserve">[Threaded comment]
 Your version of Excel allows you to read this threaded comment; however, any edits to it will get removed if the file is opened in a newer version of Excel. Learn more: https://go.microsoft.com/fwlink/?linkid=870924
Comment:
	@linfenga@motorola.com 
HI 林峰
今天我们一起看下Vbus 浪涌测试fail 的issue，谢谢
</t>
      </text>
    </comment>
    <comment authorId="4" xr:uid="{2ecbcf15-f128-4e79-bff7-6318abaca1bf}" ref="G24">
      <text>
        <t xml:space="preserve">[Threaded comment]
 Your version of Excel allows you to read this threaded comment; however, any edits to it will get removed if the file is opened in a newer version of Excel. Learn more: https://go.microsoft.com/fwlink/?linkid=870924
Comment:
	@xiaozh1@motorola.com 
@fanlf@motorola.com 
@linfenga@motorola.com 
Hi 志浩，小范
Audio 的这两个issue ，直接close ？  如要维持 monitor状态，请更新下monitor 的计划并改下状态，谢谢
</t>
      </text>
    </comment>
    <comment authorId="5" xr:uid="{48fc605e-f73f-4d3d-b106-e006717d41ab}" ref="H9">
      <text>
        <t xml:space="preserve">[Threaded comment]
 Your version of Excel allows you to read this threaded comment; however, any edits to it will get removed if the file is opened in a newer version of Excel. Learn more: https://go.microsoft.com/fwlink/?linkid=870924
Comment:
	@linfenga@motorola.com 
@xiongsn1@motorola.com 
@chenb3@motorola.com 
@fanlf@motorola.com 
Hi 林峰，胜男，邦邦
AR core 认证fail的事情，我这边先创建个issue。目前为止了解到的信息我放上去了， 请继续处理，谢谢
</t>
      </text>
    </comment>
    <comment authorId="6" xr:uid="{4b8e49ba-6501-4c5c-b398-c35c37f894f8}" ref="G75">
      <text>
        <t xml:space="preserve">[Threaded comment]
 Your version of Excel allows you to read this threaded comment; however, any edits to it will get removed if the file is opened in a newer version of Excel. Learn more: https://go.microsoft.com/fwlink/?linkid=870924
Comment:
	李果，老板，我把ANT risk放在bb issue这里了
Reply:
	@liguoa@motorola.com 
@fanlf@motorola.com
</t>
      </text>
    </comment>
    <comment authorId="7" xr:uid="{56e9d288-04e3-4633-b1a7-00e815f4b5c5}" ref="G51">
      <text>
        <t xml:space="preserve">[Threaded comment]
 Your version of Excel allows you to read this threaded comment; however, any edits to it will get removed if the file is opened in a newer version of Excel. Learn more: https://go.microsoft.com/fwlink/?linkid=870924
Comment:
	@chenb3@motorola.com 
@fanlf@motorola.com 
@linfenga@motorola.com 
Hi bangbang
关于后摄启动几秒钟后卡住问题。这台机器可以复现，昨天机器在SW分析。如果有更新，请记得更新下信息，谢谢
Reply:
	还没有遭到rootcause。怀疑是mclk配置相关。故障机的mclk在idle状态有250mV的抬高（应该为0V的）。和这个case一样的现象，软件看到是i2c error就认为是硬件问题就关闭了。https://idart.mot.com/browse/IKSWQ-80124。这一单的机器trackid获取不到了，故障机已入库。
Reply:
	HI  邦邦
这个issue 等到有一版正式SW出来后，你验证下并补充SW版本号 就将issue close 吧，谢谢
Reply:
	对我们来说，可以close了。盛麒更新了case：https://idart.mot.com/browse/IKSWQ-80124。他已经验证并提交代码。他的解释是一些版本区分的逻辑判断错误，跑到racer的代码中了。（另外，同时发现他们使用了googlekey的gpio_26作为rf det，也已修改。）
Reply:
	好的，谢谢。 但是一般来说，最好是issue提出方确认issue close才是真正close。
Reply:
	单独BB，确实可以close 。CR 就SW自行跟踪
</t>
      </text>
    </comment>
    <comment authorId="8" xr:uid="{5df7d963-7858-452a-9a46-9c04e0eef006}" ref="H29">
      <text>
        <t xml:space="preserve">[Threaded comment]
 Your version of Excel allows you to read this threaded comment; however, any edits to it will get removed if the file is opened in a newer version of Excel. Learn more: https://go.microsoft.com/fwlink/?linkid=870924
Comment:
	@linfenga@motorola.com 
hi 林峰
这条就先close 了，config issue。 今天导入新的。 等有新的数据有问题再 new 一个 thermal issue。
</t>
      </text>
    </comment>
    <comment authorId="9" xr:uid="{61a9b639-a1e4-4df2-b797-ddcb7a3774e3}" ref="G30">
      <text>
        <t xml:space="preserve">[Threaded comment]
 Your version of Excel allows you to read this threaded comment; however, any edits to it will get removed if the file is opened in a newer version of Excel. Learn more: https://go.microsoft.com/fwlink/?linkid=870924
Comment:
	@xiongsn1@motorola.com 
@linfenga@motorola.com 
@chenwt@motorola.com 
Hi 熊，林峰
这边记录个issue，DVT2 生产的M-sensor 。状态未明，等级先不放。 文档链接我先放置一个，有信息更新 可以一起更新
Reply:
	DVT2 NTF的事情，清理了。改为Vbat供电测试暂时没有问题，跟踪就好，这边先close 。至于 表面划伤，单独开了个issue跟踪
</t>
      </text>
    </comment>
    <comment authorId="10" xr:uid="{87f524f0-db01-4754-8729-23edfd34109e}" ref="H15">
      <text>
        <t xml:space="preserve">[Threaded comment]
 Your version of Excel allows you to read this threaded comment; however, any edits to it will get removed if the file is opened in a newer version of Excel. Learn more: https://go.microsoft.com/fwlink/?linkid=870924
Comment:
	@changfm1@motorola.com 
@linfenga@motorola.com 
@fanlf@motorola.com 
Hi 芳梅
关于低亮度下，有时候背光会闪的问题，这边放个issue. 你补充下具体信息哈，谢谢
</t>
      </text>
    </comment>
    <comment authorId="11" xr:uid="{94b750c3-e32e-4acf-b9dd-019d1fa32725}" ref="I2">
      <text>
        <t xml:space="preserve">[Threaded comment]
 Your version of Excel allows you to read this threaded comment; however, any edits to it will get removed if the file is opened in a newer version of Excel. Learn more: https://go.microsoft.com/fwlink/?linkid=870924
Comment:
	@changfm1@motorola.com 
@linfenga@motorola.com @fanlf@motorola.com 
@chenwt@motorola.com 
Hi  各位，我在BBissue 里面记一条 game performance 的case， 简单summary 目前的信息。便于跟踪
Reply:
	这个case 这周无声无息的了，状态我改为monitor 。  你们看下还有啥跟进的不？或者有信息可以share下？ 然后看是否就close了
</t>
      </text>
    </comment>
    <comment authorId="12" xr:uid="{9ccb662c-377a-48b7-bfc8-7c043373a5f3}" ref="G56">
      <text>
        <t xml:space="preserve">[Threaded comment]
 Your version of Excel allows you to read this threaded comment; however, any edits to it will get removed if the file is opened in a newer version of Excel. Learn more: https://go.microsoft.com/fwlink/?linkid=870924
Comment:
	@xiongsn1@motorola.com 
@linfenga@motorola.com
@dongjk@motorola.com 
@fanlf@motorola.com
HI 林峰
如沟通，这个是这次RD ALT 实验发现的功能性的真问题，我们需要确认ME的更改节奏 并了解验证节奏，后面应该还会要我们进行分析。因为后面报上来的 问题是功能无作用，会先找BB分析确认的。
Reply:
	HI  林峰，胜男 
我刚看项目周报，针对这个case ME的更改描述是 will implement in DVT1 white color build ，所以DVT1 的实验依然会报fail才对，请先知悉并做一定的准备。 比如 ：到时候故障机是否直接由ME直接拆了？（EVT2机器的ME正式实验这周应该就会启动了，故障机是否是实验完成后统一寄到厦门分析？）
</t>
      </text>
    </comment>
    <comment authorId="13" xr:uid="{b05db406-f10a-416a-bd29-67207414c0aa}" ref="G18">
      <text>
        <t xml:space="preserve">[Threaded comment]
 Your version of Excel allows you to read this threaded comment; however, any edits to it will get removed if the file is opened in a newer version of Excel. Learn more: https://go.microsoft.com/fwlink/?linkid=870924
Comment:
	@liguoa@motorola.com 
@linfenga@motorola.com 
@fanlf@motorola.com 
Hi 果子
P-sensor 位置 ME 点胶改善计划如何（主要是针对TCC DVT2 ESD的计划），建议tracking 。 因为DVT2 有类似的风险，如果没有管控到的话。
Reply:
	结构反馈：DVT1壳体之前有发生过Front rim跌落脱胶问题，有优化过胶路和胶量。
DVT2最新壳体的胶路，我看了下都还好。随机测了四个，都在0.6左右。有一个最小的位置是0.56。如下
所以DVT2壳体在Psensor位置胶宽应该都是满足0.5mm。
Reply:
	好的，那我补充 DVT2 import ，monitor的状态
</t>
      </text>
    </comment>
    <comment authorId="14" xr:uid="{be9002ca-258d-4c2d-9cd5-c867227328ef}" ref="G52">
      <text>
        <t xml:space="preserve">[Threaded comment]
 Your version of Excel allows you to read this threaded comment; however, any edits to it will get removed if the file is opened in a newer version of Excel. Learn more: https://go.microsoft.com/fwlink/?linkid=870924
Comment:
	@changfm1@motorola.com 
@dongjk@motorola.com
@linfenga@motorola.com 
Hi芳梅
实验的issue ，你记得更新哈。
预计会由小董 创建issue ，各owner
更新哈，并且最好能附上分析报告link（如果有的话）。 一段时间后还没更新，我也会追一追哈，谢谢
Reply:
	Issue登记的Owner还是专家自己，嘉琨负责测试中心，协助提醒专家那些测试失败但没有记录到Issue进行闭环的问题。
</t>
      </text>
    </comment>
    <comment authorId="15" xr:uid="{c367abf5-127d-47c3-9953-88e3ebe129d3}" ref="G36">
      <text>
        <t xml:space="preserve">[Threaded comment]
 Your version of Excel allows you to read this threaded comment; however, any edits to it will get removed if the file is opened in a newer version of Excel. Learn more: https://go.microsoft.com/fwlink/?linkid=870924
Comment:
	@linfenga@motorola.com 
Please Check the issue status
分配给了linfenga@motorola.com
</t>
      </text>
    </comment>
    <comment authorId="16" xr:uid="{db387339-b50d-4dad-b1ca-a910d67a5dd3}" ref="E11">
      <text>
        <t xml:space="preserve">[Threaded comment]
 Your version of Excel allows you to read this threaded comment; however, any edits to it will get removed if the file is opened in a newer version of Excel. Learn more: https://go.microsoft.com/fwlink/?linkid=870924
Comment:
	@dongjk@motorola.com 
@linfenga@motorola.com 
@fanlf@motorola.com 
hi 小董
这个issue目前 的分析初步指向memory相关。 2pcs 故障memory 寄给厂家三星，待你跟紧下分析情况。   这个问题如果稳定出现，后续工厂维修会有比较大的麻烦。优先级别目前不太好定（暂时不会被追杀，但是如果持续下去无法改进，DVT exit 等关键节点我担心NPI会有卡关动作 ）。
</t>
      </text>
    </comment>
    <comment authorId="17" xr:uid="{e48065d8-22b6-4e78-ae82-3e2b96d46108}" ref="H77">
      <text>
        <t xml:space="preserve">[Threaded comment]
 Your version of Excel allows you to read this threaded comment; however, any edits to it will get removed if the file is opened in a newer version of Excel. Learn more: https://go.microsoft.com/fwlink/?linkid=870924
Comment:
	@chenb3@motorola.com 
@linfenga@motorola.com 
@fanlf@motorola.com 
HI 邦邦 
这个case 你放个分析链接吧，及更新下issue 。  口头沟通，其中一根mipi线P和N反了，1.先确认下SW上面是否能临时单线配反过来用。  2.EVT 肯定也是要改板，建议同步修改。
Reply:
	hI  bangbang 
mipi 反了的这个case，有更新吗？是否放个分析链接？
</t>
      </text>
    </comment>
    <comment authorId="18" xr:uid="{e58b66ba-853f-4c1e-9a68-c667b42bd633}" ref="G64">
      <text>
        <t xml:space="preserve">[Threaded comment]
 Your version of Excel allows you to read this threaded comment; however, any edits to it will get removed if the file is opened in a newer version of Excel. Learn more: https://go.microsoft.com/fwlink/?linkid=870924
Comment:
	@xiaozh1@motorola.com
@wuxm5@motorola.com  
Hi 志浩
请看下这个风险， 电感和二极管的耐受电流，以及测试一下 短路到FLASHLED后的电流。 对比判断下是否有风险，谢谢
</t>
      </text>
    </comment>
    <comment authorId="19" xr:uid="{f9726dde-a56c-47ca-ab6f-5c1a4b3e9241}" ref="H13">
      <text>
        <t xml:space="preserve">[Threaded comment]
 Your version of Excel allows you to read this threaded comment; however, any edits to it will get removed if the file is opened in a newer version of Excel. Learn more: https://go.microsoft.com/fwlink/?linkid=870924
Comment:
	@changfm1@motorola.com 
@wuxm5@motorola.com 
@linfenga@motorola.com 
liberty 的issue，背光电路各种器件概率性烧毁，我们看是否有类似的风险，需要check
</t>
      </text>
    </comment>
  </commentList>
</comments>
</file>

<file path=xl/comments25.xml><?xml version="1.0" encoding="utf-8"?>
<comments xmlns:r="http://schemas.openxmlformats.org/officeDocument/2006/relationships" xmlns="http://schemas.openxmlformats.org/spreadsheetml/2006/main" xmlns:xr="http://schemas.microsoft.com/office/spreadsheetml/2014/revision">
  <authors>
    <author/>
    <author>tc={4c5a7d97-c0fa-44c4-ae92-b20697fc8f10}</author>
    <author>tc={6032a5f1-700f-40f0-9848-0bd5a9559ec7}</author>
    <author>tc={8f910e8b-22b6-4322-bc44-385bd84775a0}</author>
    <author>tc={9c681864-2a36-4b8d-a8a3-ce4e89cfe7a8}</author>
    <author>tc={9f24aa58-bd6a-453d-9b46-0080bb67b1a5}</author>
    <author>tc={a02ee09f-53e7-4a5e-8ee7-6a44e370e612}</author>
    <author>tc={a42db68e-af24-4206-b423-505b1ca64aa3}</author>
    <author>tc={a6606373-bd54-4bb0-bb26-03f9a3282e5b}</author>
    <author>tc={b3464ac7-a66b-4055-a608-a0f53adb8903}</author>
    <author>tc={bca6c993-1930-4c2c-bd12-04066e5dfece}</author>
    <author>tc={c9163cc9-820d-40c2-9891-48dcd8ff2f9a}</author>
    <author>tc={d953dc15-bd96-4cca-af2e-ecff5177696d}</author>
    <author>tc={db6acaf5-115f-4c8b-9384-7d45f3a9367b}</author>
  </authors>
  <commentList>
    <comment authorId="0" ref="E1">
      <text>
        <t xml:space="preserve">S1 : Block Gerber out          &amp;Solution Not Validated 
S2 : Not Block Gerber out  &amp;Solution Not Validated 
S3 : Not Block Gerber out  &amp;Solution RD Validated </t>
      </text>
    </comment>
    <comment authorId="1" xr:uid="{4c5a7d97-c0fa-44c4-ae92-b20697fc8f10}" ref="G8">
      <text>
        <t xml:space="preserve">[Threaded comment]
 Your version of Excel allows you to read this threaded comment; however, any edits to it will get removed if the file is opened in a newer version of Excel. Learn more: https://go.microsoft.com/fwlink/?linkid=870924
Comment:
	@chenbang3@lenovo.com 
Please summary DP compatible issue here.
分配给了chenbang3@lenovo.com
Reply:
	HI 邦邦，信息不对，这只是其中一个cr 。请看下小范转发的邮件，里面有excel 链接，我们的总体看，才能核对，谢谢
Reply:
	@@changfm1@motorola.com 
HI 芳梅
如沟通，请帮忙将我们复制出来的 issue summary link放过来，谢谢
Reply:
	放置了最新的link链接
Reply:
	复制了一份到tahoe issue文件夹 下
Reply:
	暂时先这样了。 兼容性问题总还是有的
</t>
      </text>
    </comment>
    <comment authorId="2" xr:uid="{6032a5f1-700f-40f0-9848-0bd5a9559ec7}" ref="H16">
      <text>
        <t xml:space="preserve">[Threaded comment]
 Your version of Excel allows you to read this threaded comment; however, any edits to it will get removed if the file is opened in a newer version of Excel. Learn more: https://go.microsoft.com/fwlink/?linkid=870924
Comment:
	@xiaozh1@motorola.com 
Please attach link here.
分配给了xiaozh1@motorola.com
Reply:
	HI  志浩
这个issue reopen ，请更新下 最新状态吧，看是否重新放一页 DVT1的状态 以及 几种方案。
Reply:
	Hi 志浩
如沟通，目前对这个case ，有一个更好的方案，基本会导入到风采版本里面。  要更改主板和主FPC。   请summary下case。  如果要更改，建议至少周三就要启动更改。谢谢。   6号主FPC风采，9号主板风采
</t>
      </text>
    </comment>
    <comment authorId="3" xr:uid="{8f910e8b-22b6-4322-bc44-385bd84775a0}" ref="H32">
      <text>
        <t xml:space="preserve">[Threaded comment]
 Your version of Excel allows you to read this threaded comment; however, any edits to it will get removed if the file is opened in a newer version of Excel. Learn more: https://go.microsoft.com/fwlink/?linkid=870924
Comment:
	@linfenga@motorola.com 
Hi  linfeng
BB issue ，加入了 产线 thermal 得这两个问题，请跟进bing update下
</t>
      </text>
    </comment>
    <comment authorId="4" xr:uid="{9c681864-2a36-4b8d-a8a3-ce4e89cfe7a8}" ref="G5">
      <text>
        <t xml:space="preserve">[Threaded comment]
 Your version of Excel allows you to read this threaded comment; however, any edits to it will get removed if the file is opened in a newer version of Excel. Learn more: https://go.microsoft.com/fwlink/?linkid=870924
Comment:
	@fanlf@motorola.com 
DP转HDMI 厂家测试机器出现插充电器重启的case，我先建个 NA状态的case 哈。 试产的故障机正在寄往厦门，收到后分析看看
Reply:
	@liguoa@motorola.com 
HI 果子
合并这两个case ，这个case 分析出啦故障和 售后的那台一样的，USB D+/D- 异常阻抗
</t>
      </text>
    </comment>
    <comment authorId="5" xr:uid="{9f24aa58-bd6a-453d-9b46-0080bb67b1a5}" ref="H38">
      <text>
        <t xml:space="preserve">[Threaded comment]
 Your version of Excel allows you to read this threaded comment; however, any edits to it will get removed if the file is opened in a newer version of Excel. Learn more: https://go.microsoft.com/fwlink/?linkid=870924
Comment:
	@linfenga@motorola.com 
这个issue请关注下，布局限制 ，CPU无法依据热管来布局，不知道是否有优化可能 或者要如何处理，谢谢
</t>
      </text>
    </comment>
    <comment authorId="6" xr:uid="{a02ee09f-53e7-4a5e-8ee7-6a44e370e612}" ref="H4">
      <text>
        <t xml:space="preserve">[Threaded comment]
 Your version of Excel allows you to read this threaded comment; however, any edits to it will get removed if the file is opened in a newer version of Excel. Learn more: https://go.microsoft.com/fwlink/?linkid=870924
Comment:
	@liguoa@motorola.com 
@fanlf@motorola.com
@linfenga@motorola.com
@hankai4@motorola.com 
@xiaozh1@motorola.com 
HI 李果
如当面沟通，目前售后1台故障机到我们手里，从分析线索看，D+、D- TVS应该是坏了，然后CPU D+、D- 也都坏了。 因为阻抗都是异常了。 ESD 应该不至于将TVS搞坏，那么大可能是EOS。  1. 请邓玲帮忙安排下tahoe USB D+D-的EOS 测试   ,其他Action TBD
Reply:
	HI 果子
小板上的TVS 我拆下来给你帮忙寄给厂家分析下？
</t>
      </text>
    </comment>
    <comment authorId="7" xr:uid="{a42db68e-af24-4206-b423-505b1ca64aa3}" ref="H11">
      <text>
        <t xml:space="preserve">[Threaded comment]
 Your version of Excel allows you to read this threaded comment; however, any edits to it will get removed if the file is opened in a newer version of Excel. Learn more: https://go.microsoft.com/fwlink/?linkid=870924
Comment:
	@linfenga@motorola.com 
@@fanlf@motorola.com 
Hi 林峰
thermal 我issue 先放两个哈。  一个是SPK位置的，一个是 LTE datacall fail的，大致描述我放上去了。具体内容你更新下，比如转英文，并看是否有链接。 呵呵
Reply:
	HI  林峰  LTE datacall fail ，之前放置monitor ，这个已经清理了吧。  
还有上次说的CPU 限制频率 bug ，是否也复测pass 了？请帮忙更新下
Reply:
	复测邓玲要正式的SW版本，新的config SW正在code review，预计这周完成复测
</t>
      </text>
    </comment>
    <comment authorId="8" xr:uid="{a6606373-bd54-4bb0-bb26-03f9a3282e5b}" ref="G7">
      <text>
        <t xml:space="preserve">[Threaded comment]
 Your version of Excel allows you to read this threaded comment; however, any edits to it will get removed if the file is opened in a newer version of Excel. Learn more: https://go.microsoft.com/fwlink/?linkid=870924
Comment:
	@wuxm5@motorola.com 
@changfm1@motorola.com 
Hi 学敏，芳梅
这个case，目前为止进展如何？
测试人员反馈，降低电流的版本，有改善。  15%电量不复现。  但是没有尝试更低的。    我们这边呢？
Reply:
	@fanlf@motorola.com 
Hi芳梅
这个case 突出两个问题
1.闪光灯电流2.4A，这个远远超过我们的预期范围。  这个后续和camera team 如何达成一致？  需要考虑下-------芳梅
2. Batfet设定的关闭OCP 是5A。这个是QC默认值，但是其实不太好，后续看下更改为更大的值，比如8A（小于电池最大值*90%？） ---- 学敏
Reply:
	文亭，设计初期KP会和我确认电流最大设置，双l冷灯750+750。KP会把信息传递给camera team, 最大值750+750写进软件。硬件也会然后根据电流，也会去设计Flash的线宽和flash 小板的散热面积。效果调试电流最大电流变更，KP team会通知到。这次是效果调试后期功能增加，突然变更闪光灯电流，且未传递到KP和我。jira 测试例一般会在PVT阶段测闪关灯模式的电流和主闪时间。一次测试并不能监控到各个阶段，我会和生鸿讨论下，流程如何完善，能否防呆。
</t>
      </text>
    </comment>
    <comment authorId="9" xr:uid="{b3464ac7-a66b-4055-a608-a0f53adb8903}" ref="H23">
      <text>
        <t xml:space="preserve">[Threaded comment]
 Your version of Excel allows you to read this threaded comment; however, any edits to it will get removed if the file is opened in a newer version of Excel. Learn more: https://go.microsoft.com/fwlink/?linkid=870924
Comment:
	@wuxm5@motorola.com 
@liguoa@motorola.com 
hi学敏
这个case 放个链接吧，以便记录一些你的分析和判断，谢谢
Reply:
	Hi 李果，学敏
你们看下这个case 及 邮件 沟通下，是否就此close 或者又下一步action
Reply:
	HI 李果，学敏
这个case 邮件没有总结，请看如何结案掉，谢谢
Reply:
	将修正BSP-target,关闭此case
</t>
      </text>
    </comment>
    <comment authorId="10" xr:uid="{bca6c993-1930-4c2c-bd12-04066e5dfece}" ref="H2">
      <text>
        <t xml:space="preserve">[Threaded comment]
 Your version of Excel allows you to read this threaded comment; however, any edits to it will get removed if the file is opened in a newer version of Excel. Learn more: https://go.microsoft.com/fwlink/?linkid=870924
Comment:
	@wuxm5@motorola.com 
HI 学敏
这台机器是个线索，感觉是半坏不坏的状态。  分析线索请帮忙更新下这里，或者放个链接？谢谢
</t>
      </text>
    </comment>
    <comment authorId="11" xr:uid="{c9163cc9-820d-40c2-9891-48dcd8ff2f9a}" ref="H20">
      <text>
        <t xml:space="preserve">[Threaded comment]
 Your version of Excel allows you to read this threaded comment; however, any edits to it will get removed if the file is opened in a newer version of Excel. Learn more: https://go.microsoft.com/fwlink/?linkid=870924
Comment:
	@liguoa@motorola.com 
@hankai4@motorola.com 
@@fanlf@motorola.com 
HI  韩凯，李果
我整理了下下午讨论的模拟试验信息，我们可以尝试模拟来判断底部ESD 后不开机可能的原因。 从目前的结果看VBOB 的可能性很小。
</t>
      </text>
    </comment>
    <comment authorId="12" xr:uid="{d953dc15-bd96-4cca-af2e-ecff5177696d}" ref="I25">
      <text>
        <t xml:space="preserve">[Threaded comment]
 Your version of Excel allows you to read this threaded comment; however, any edits to it will get removed if the file is opened in a newer version of Excel. Learn more: https://go.microsoft.com/fwlink/?linkid=870924
Comment:
	@liguoa@motorola.com 
@fanlf@motorola.com Hi 李果
请更新这个case，谢谢
</t>
      </text>
    </comment>
    <comment authorId="13" xr:uid="{db6acaf5-115f-4c8b-9384-7d45f3a9367b}" ref="G37">
      <text>
        <t xml:space="preserve">[Threaded comment]
 Your version of Excel allows you to read this threaded comment; however, any edits to it will get removed if the file is opened in a newer version of Excel. Learn more: https://go.microsoft.com/fwlink/?linkid=870924
Comment:
	@chenb3@motorola.com 
@hankai4@motorola.com 
Hi 邦邦 ，韩凯
原则上我们评估过及处理过的一些case ，BB issue 上做个存档，便于回查。请更新下这个case 后续的更多实验结果。谢谢
Reply:
	好的，demo 和单样品 都确认过漏电流ok，close 这个 risk 。 如有问题，邦邦 重新起个 issue，谢谢
</t>
      </text>
    </comment>
  </commentList>
</comments>
</file>

<file path=xl/comments26.xml><?xml version="1.0" encoding="utf-8"?>
<comments xmlns:r="http://schemas.openxmlformats.org/officeDocument/2006/relationships" xmlns="http://schemas.openxmlformats.org/spreadsheetml/2006/main" xmlns:xr="http://schemas.microsoft.com/office/spreadsheetml/2014/revision">
  <authors>
    <author/>
    <author>tc={0f4c363e-6584-4279-9a92-2d083d7b4f5b}</author>
    <author>tc={2410d91d-b2c1-47df-a81a-da3ca4891dbb}</author>
    <author>tc={254f449d-c5a8-47f9-81b3-236afb3b581c}</author>
    <author>tc={2b47dedd-64f4-4ec6-93d7-3f17650b248b}</author>
    <author>tc={2f3123d8-ccfa-4265-886c-2a53be16ee5d}</author>
    <author>tc={3224fe55-68c6-46a8-8544-7a94b05a3f90}</author>
    <author>tc={3ef21c9a-e649-46d4-b930-d32dcf17db14}</author>
    <author>tc={48305f72-36ad-49e8-8824-d361f54eadca}</author>
    <author>tc={63227d85-6df1-4075-a205-9561e7e2a522}</author>
    <author>tc={649e06b7-4ba2-4a55-aa3e-8cc0e426107d}</author>
    <author>tc={8068c0ad-5b46-4f7f-be40-cca5f1f9cac5}</author>
    <author>tc={8402dc4e-ed1b-40bf-a612-b7251b32626a}</author>
    <author>tc={86bd4a21-83ef-4da7-a3f9-5b5e53b4438c}</author>
    <author>tc={a3cfc22f-fe63-4af0-880a-6bb16e6e2c13}</author>
    <author>tc={bbf6513c-6080-4a1c-b1a7-70267024495a}</author>
    <author>tc={cbdf52b1-5896-4ddc-ba14-ed16775770b0}</author>
    <author>tc={d10f2f4f-ee6e-4e22-b8b9-12eb806f4736}</author>
    <author>tc={d705723f-1b43-42c3-b359-fa48b120f206}</author>
    <author>tc={e676f6f9-f949-47ec-a1bc-7289ecb02879}</author>
    <author>tc={eefbcf27-2cf5-4428-abfd-71e2c4df3bef}</author>
    <author>tc={f1b848e6-1eac-405f-9434-636c65cfcf91}</author>
    <author>tc={f2199fd9-cb16-417c-9280-c1a9df3e10df}</author>
  </authors>
  <commentList>
    <comment authorId="0" ref="E1">
      <text>
        <t xml:space="preserve">S1 –1.Impact consumer, 2.Program blocking issue, 3.Must fix prior to ship
S2 – 1.Impact consumer, 2.But have plan to fix, 3.Manageable risk
S3 – 1.low risk of getting field returns, 2.Can fix but may not be able to fix due to time or design limitations.
</t>
      </text>
    </comment>
    <comment authorId="0" ref="H32">
      <text>
        <t xml:space="preserve">+liguoa@motorola.com
Please</t>
      </text>
    </comment>
    <comment authorId="0" ref="K32">
      <text>
        <t xml:space="preserve">+liguoa@motorola.com
Please</t>
      </text>
    </comment>
    <comment authorId="1" xr:uid="{0f4c363e-6584-4279-9a92-2d083d7b4f5b}" ref="G26">
      <text>
        <t xml:space="preserve">[Threaded comment]
 Your version of Excel allows you to read this threaded comment; however, any edits to it will get removed if the file is opened in a newer version of Excel. Learn more: https://go.microsoft.com/fwlink/?linkid=870924
Comment:
	this issue should be closed since the Hassel mod can work in DVT2B within OPW28.32 and later version.
@fanlf@motorola.com
</t>
      </text>
    </comment>
    <comment authorId="2" xr:uid="{2410d91d-b2c1-47df-a81a-da3ca4891dbb}" ref="I36">
      <text>
        <t xml:space="preserve">[Threaded comment]
 Your version of Excel allows you to read this threaded comment; however, any edits to it will get removed if the file is opened in a newer version of Excel. Learn more: https://go.microsoft.com/fwlink/?linkid=870924
Comment:
	@liguoa@motorola.com 
@yangwla@motorola.com 
@fanlf@motorola.com 
@chenbang3@lenovo.com 
Hi 李果
这台机器分析结果如何？后续action？
</t>
      </text>
    </comment>
    <comment authorId="3" xr:uid="{254f449d-c5a8-47f9-81b3-236afb3b581c}" ref="I37">
      <text>
        <t xml:space="preserve">[Threaded comment]
 Your version of Excel allows you to read this threaded comment; however, any edits to it will get removed if the file is opened in a newer version of Excel. Learn more: https://go.microsoft.com/fwlink/?linkid=870924
Comment:
	@wangxhl@motorola.com 
@chenbang3@lenovo.com
@weiweij@motorola.com 
HI 仙华
可以帮忙share下目前这个case 的情况 （比如不良率情况）
Reply:
	@chenbang3@lenovo.com 
Is it a real issue or not? SW Solving?
</t>
      </text>
    </comment>
    <comment authorId="4" xr:uid="{2b47dedd-64f4-4ec6-93d7-3f17650b248b}" ref="I75">
      <text>
        <t xml:space="preserve">[Threaded comment]
 Your version of Excel allows you to read this threaded comment; however, any edits to it will get removed if the file is opened in a newer version of Excel. Learn more: https://go.microsoft.com/fwlink/?linkid=870924
Comment:
	@linfenga@motorola.com 
@fanlf@motorola.com 
@xiaozh1@motorola.com 
Hi linfeng
请开一个PPT 整理shelby 的thermal Risk 或者明确是Issue的case. 我们提上项目堆叠issue S1（从目前看应该是S1）
分配给了linfenga@motorola.com
</t>
      </text>
    </comment>
    <comment authorId="5" xr:uid="{2f3123d8-ccfa-4265-886c-2a53be16ee5d}" ref="I67">
      <text>
        <t xml:space="preserve">[Threaded comment]
 Your version of Excel allows you to read this threaded comment; however, any edits to it will get removed if the file is opened in a newer version of Excel. Learn more: https://go.microsoft.com/fwlink/?linkid=870924
Comment:
	@liguoa@motorola.com 
please update the latest status.
Reply:
	No update, EVT2 will update
</t>
      </text>
    </comment>
    <comment authorId="6" xr:uid="{3224fe55-68c6-46a8-8544-7a94b05a3f90}" ref="H32">
      <text>
        <t xml:space="preserve">[Threaded comment]
 Your version of Excel allows you to read this threaded comment; however, any edits to it will get removed if the file is opened in a newer version of Excel. Learn more: https://go.microsoft.com/fwlink/?linkid=870924
Comment:
	@liguoa@motorola.com 
Please initial a Doc.and update timely.
分配给了liguoa@motorola.com
Reply:
	done
</t>
      </text>
    </comment>
    <comment authorId="7" xr:uid="{3ef21c9a-e649-46d4-b930-d32dcf17db14}" ref="I58">
      <text>
        <t xml:space="preserve">[Threaded comment]
 Your version of Excel allows you to read this threaded comment; however, any edits to it will get removed if the file is opened in a newer version of Excel. Learn more: https://go.microsoft.com/fwlink/?linkid=870924
Comment:
	@chenwt@motorola.com 
@linfenga@motorola.com 
Two Issues on ALT.
</t>
      </text>
    </comment>
    <comment authorId="8" xr:uid="{48305f72-36ad-49e8-8824-d361f54eadca}" ref="I42">
      <text>
        <t xml:space="preserve">[Threaded comment]
 Your version of Excel allows you to read this threaded comment; however, any edits to it will get removed if the file is opened in a newer version of Excel. Learn more: https://go.microsoft.com/fwlink/?linkid=870924
Comment:
	@chenw24@motorola.com 
@fanlf@motorola.com 
Hi 陈威
请整理一下SD卡的Risk具体数据，并考虑下应对方案。把链接放上来
谢谢
分配给了
Reply:
	HI  陈威，有什么更新吗？
Reply:
	已经更新啦。ppt里。
Reply:
	应对方案是什么？
Reply:
	1、屏蔽保护好相关的信号线，2、严格按照要求保持信号线宽。等长，阻抗连续性等。我目前也只能想到这些。因为他这个线长限制是根据时延计算出来的，而时延本身就是和线长强相关，可以看下志浩有没什么高招，或者提交一个case给高通。
Reply:
	@chenw24@motorola.com 
What‘s the latest status？’
Reply:
	EVT测试，识别读写没问题，但是性能没有测试，因为系统不稳定，很多功能没有完善。软件建议后推。信号测试因为EVT2板对信号走线又做了优化，机器到了后再做相关信号及性能测试。
Reply:
	目前测试了EVT2的机器，基带一张64G T卡读写ok（时钟运行在200M）（log显示偶尔报错），软件的一张64G T卡读写出现错误（时钟运行在100M），无法完成手机--T卡的拷贝。看log显示数据传输错误，报错很多。（houdini以及eagle拷贝正常）。目前需要测试下这张卡的信号以及对比其他手机信号，需要看下是否还能有什么改善措施。
Reply:
	测试更新：对于100M的高速卡，houdini实际是跑在50M。 而对于200M的卡，主要是上升沿以及下降沿时间有稍微超标。其他spec in
Reply:
	https://drive.google.com/drive/folders/1vP-TmbHOgnEhaSvwPYIrUEd2m8nhV43Q
Reply:
	@chenw24@motorola.com 
调整33R到10R或0R的变化是否有影响？
Reply:
	调整到10R,sd卡端，上升下降时间有优化，cpu端波形变差，我把数据整理下更新到ppt上。
Reply:
	https://drive.google.com/drive/folders/1vP-TmbHOgnEhaSvwPYIrUEd2m8nhV43Q 已更新
</t>
      </text>
    </comment>
    <comment authorId="9" xr:uid="{63227d85-6df1-4075-a205-9561e7e2a522}" ref="C1">
      <text>
        <t xml:space="preserve">[Threaded comment]
 Your version of Excel allows you to read this threaded comment; however, any edits to it will get removed if the file is opened in a newer version of Excel. Learn more: https://go.microsoft.com/fwlink/?linkid=870924
Comment:
	@fanlf@motorola.com 
@linfenga@motorola.com 
@liguoa@motorola.com 
@dongjk@motorola.com 
HI 小范
BB issue list 中我建议增加一条component ，看起来会比较清晰一些，你看ok不？
</t>
      </text>
    </comment>
    <comment authorId="10" xr:uid="{649e06b7-4ba2-4a55-aa3e-8cc0e426107d}" ref="I61">
      <text>
        <t xml:space="preserve">[Threaded comment]
 Your version of Excel allows you to read this threaded comment; however, any edits to it will get removed if the file is opened in a newer version of Excel. Learn more: https://go.microsoft.com/fwlink/?linkid=870924
Comment:
	@changfm1@motorola.com 
请更新这个case 的进展，应该可以close了
Reply:
	更新了，并Close
</t>
      </text>
    </comment>
    <comment authorId="11" xr:uid="{8068c0ad-5b46-4f7f-be40-cca5f1f9cac5}" ref="I79">
      <text>
        <t xml:space="preserve">[Threaded comment]
 Your version of Excel allows you to read this threaded comment; however, any edits to it will get removed if the file is opened in a newer version of Excel. Learn more: https://go.microsoft.com/fwlink/?linkid=870924
Comment:
	@chenw24@motorola.com 
@xiaozh1@motorola.com 
@fanlf@motorola.com 
Hi 陈威
目前 TypeC USB3.0 正反插的控制通过PM660的CC_OUT进行控制，但这个是否是正确的控制逻辑，请从整条USB3.0链路进行确认。 其他相关，比如USB2.0，耳机 的正反插切换逻辑，也请确认 重要！！
分配给了
</t>
      </text>
    </comment>
    <comment authorId="12" xr:uid="{8402dc4e-ed1b-40bf-a612-b7251b32626a}" ref="G29">
      <text>
        <t xml:space="preserve">[Threaded comment]
 Your version of Excel allows you to read this threaded comment; however, any edits to it will get removed if the file is opened in a newer version of Excel. Learn more: https://go.microsoft.com/fwlink/?linkid=870924
Comment:
	@linfenga@motorola.com 
Please update the latest status of thermal
分配给了linfenga@motorola.com
</t>
      </text>
    </comment>
    <comment authorId="13" xr:uid="{86bd4a21-83ef-4da7-a3f9-5b5e53b4438c}" ref="I60">
      <text>
        <t xml:space="preserve">[Threaded comment]
 Your version of Excel allows you to read this threaded comment; however, any edits to it will get removed if the file is opened in a newer version of Excel. Learn more: https://go.microsoft.com/fwlink/?linkid=870924
Comment:
	@linfenga@motorola.com 
hi 林峰
请更新下这个case的进展
Reply:
	这个case 结论是?是否可以关闭，或者monitor？
Reply:
	和邓玲确认了，可以关闭了； 手机充满电之后就不影响ALT测试了~
</t>
      </text>
    </comment>
    <comment authorId="14" xr:uid="{a3cfc22f-fe63-4af0-880a-6bb16e6e2c13}" ref="I8">
      <text>
        <t xml:space="preserve">[Threaded comment]
 Your version of Excel allows you to read this threaded comment; however, any edits to it will get removed if the file is opened in a newer version of Excel. Learn more: https://go.microsoft.com/fwlink/?linkid=870924
Comment:
	@xiongsn1@motorola.com 
@yangwla@motorola.com 
@fanlf@motorola.com 
HI xiong 
请更新该case，请先创建个文档链接
ME ALT分析链接我加了一列放上来了
Reply:
	熊，注意回应一些文档的Comment
</t>
      </text>
    </comment>
    <comment authorId="15" xr:uid="{bbf6513c-6080-4a1c-b1a7-70267024495a}" ref="G85">
      <text>
        <t xml:space="preserve">[Threaded comment]
 Your version of Excel allows you to read this threaded comment; however, any edits to it will get removed if the file is opened in a newer version of Excel. Learn more: https://go.microsoft.com/fwlink/?linkid=870924
Comment:
	@xiaozh1@motorola.com 
@liguoa@motorola.com 
@chenw24@motorola.com 
@fanlf@motorola.com 
Hi 志浩 
请关注 Typec 做耳机接口的设计中，FM如何实现。早上李果问 赵高星，答复660没有这种参考设计，845也相关设计，待更新信息。
分配给了xiaozh1@motorola.com
</t>
      </text>
    </comment>
    <comment authorId="16" xr:uid="{cbdf52b1-5896-4ddc-ba14-ed16775770b0}" ref="I81">
      <text>
        <t xml:space="preserve">[Threaded comment]
 Your version of Excel allows you to read this threaded comment; however, any edits to it will get removed if the file is opened in a newer version of Excel. Learn more: https://go.microsoft.com/fwlink/?linkid=870924
Comment:
	@xiaozh1@motorola.com 
@fanlf@motorola.com 
志浩
请和马超核对具体选择细节，特别关注两个方面：真正充电速度（含温升后）+ 对整机的温升硬性
分配给了xiaozh1@motorola.com
Reply:
	@linfenga@motorola.com
</t>
      </text>
    </comment>
    <comment authorId="17" xr:uid="{d10f2f4f-ee6e-4e22-b8b9-12eb806f4736}" ref="I72">
      <text>
        <t xml:space="preserve">[Threaded comment]
 Your version of Excel allows you to read this threaded comment; however, any edits to it will get removed if the file is opened in a newer version of Excel. Learn more: https://go.microsoft.com/fwlink/?linkid=870924
Comment:
	@yangwla@motorola.com 
@xiaozh1@motorola.com 
Hi 文亮
请确认下shelby 的OVP设计，在充电更改之后
</t>
      </text>
    </comment>
    <comment authorId="18" xr:uid="{d705723f-1b43-42c3-b359-fa48b120f206}" ref="I26">
      <text>
        <t xml:space="preserve">[Threaded comment]
 Your version of Excel allows you to read this threaded comment; however, any edits to it will get removed if the file is opened in a newer version of Excel. Learn more: https://go.microsoft.com/fwlink/?linkid=870924
Comment:
	@liguoa@motorola.com 
please raise a doc.
分配给了liguoa@motorola.com
</t>
      </text>
    </comment>
    <comment authorId="19" xr:uid="{e676f6f9-f949-47ec-a1bc-7289ecb02879}" ref="L2">
      <text>
        <t xml:space="preserve">[Threaded comment]
 Your version of Excel allows you to read this threaded comment; however, any edits to it will get removed if the file is opened in a newer version of Excel. Learn more: https://go.microsoft.com/fwlink/?linkid=870924
Comment:
	@chenwt@motorola.com 
帮忙补充Change的值，可以不用挂链接.
分配给了chenwt@motorola.com
Reply:
	没明白change的 值是什么意思
</t>
      </text>
    </comment>
    <comment authorId="20" xr:uid="{eefbcf27-2cf5-4428-abfd-71e2c4df3bef}" ref="I62">
      <text>
        <t xml:space="preserve">[Threaded comment]
 Your version of Excel allows you to read this threaded comment; however, any edits to it will get removed if the file is opened in a newer version of Excel. Learn more: https://go.microsoft.com/fwlink/?linkid=870924
Comment:
	@xiaozh1@motorola.com 
HI 志浩
耳机插入瞬间的噪声问题，请更新下进展
</t>
      </text>
    </comment>
    <comment authorId="21" xr:uid="{f1b848e6-1eac-405f-9434-636c65cfcf91}" ref="G71">
      <text>
        <t xml:space="preserve">[Threaded comment]
 Your version of Excel allows you to read this threaded comment; however, any edits to it will get removed if the file is opened in a newer version of Excel. Learn more: https://go.microsoft.com/fwlink/?linkid=870924
Comment:
	@xiongsn1@motorola.com 
@yangwla@motorola.com 
@fanlf@motorola.com
@wuxm5@motorola.com 
HI 小熊
shelby 目前天线提出需要上端和下端都可以检测SAR。 SAR cap sensor 目前是有3个通道，目前chicago team 设计是三个通道都用上。但是按照之前的设计，检测的FPC（天线）和sensor 之间距离不宜过远，那么如何设计？
分配给了xiongsn1@motorola.com
Reply:
	HI 小熊，文亮
如沟通，天线更新信息：上端不需要cap sensor ，只要满足下方三个天线都要检测，所以评估1个IC 驱动三个下方天线的方案，谢谢
Reply:
	文亮reply：Semtech过来交流提供的最新Capsensor (SX9325)，可以满足3通道的要求。按照上次讨论的方案，可以满足一个驱动IC提供三个通道的要求。所以，我们还是按照上次的方案往前走
Reply:
	Semtech仅3通道，无法满足shelby需求，SME建议更改为Cypress的多通道方案
</t>
      </text>
    </comment>
    <comment authorId="22" xr:uid="{f2199fd9-cb16-417c-9280-c1a9df3e10df}" ref="G50">
      <text>
        <t xml:space="preserve">[Threaded comment]
 Your version of Excel allows you to read this threaded comment; however, any edits to it will get removed if the file is opened in a newer version of Excel. Learn more: https://go.microsoft.com/fwlink/?linkid=870924
Comment:
	@linfenga@motorola.com 
Please see my comment
分配给了linfenga@motorola.com
</t>
      </text>
    </comment>
  </commentList>
</comments>
</file>

<file path=xl/comments27.xml><?xml version="1.0" encoding="utf-8"?>
<comments xmlns:r="http://schemas.openxmlformats.org/officeDocument/2006/relationships" xmlns="http://schemas.openxmlformats.org/spreadsheetml/2006/main" xmlns:xr="http://schemas.microsoft.com/office/spreadsheetml/2014/revision">
  <authors>
    <author/>
    <author>tc={0996f802-f381-4294-9918-ea51a519b1de}</author>
    <author>tc={0ac3b4d6-bd7f-4e88-bc15-c6c0ed0807ff}</author>
    <author>tc={0ff1ee69-6dda-48ac-9ee7-b218a113fc2e}</author>
    <author>tc={12c64019-bb47-430e-84eb-6b460d96b382}</author>
    <author>tc={365ac459-0d57-4dce-a5e5-bf1dbb1f8e74}</author>
    <author>tc={5db0834a-ccc3-465e-99b4-c50fb2fdfde9}</author>
    <author>tc={6e68cf5f-c1b2-4900-b76d-f1b7e398866c}</author>
    <author>tc={6eabe48d-e6d7-48b7-b3d3-83c2c8d8e877}</author>
    <author>tc={7662b163-39fd-4cb1-b4ce-12ad9a6bdcd8}</author>
    <author>tc={847bcbf4-a0ca-4ddc-b287-fdd7fb8a3c55}</author>
    <author>tc={a9cd659a-9f58-4684-a3d6-1d8911fe8d49}</author>
    <author>tc={bd0a8b7b-6583-4844-84df-600bb8821e0e}</author>
    <author>tc={e74be5df-a9e2-4e16-9825-9f47bd330b1c}</author>
    <author>tc={e94c099e-a29b-4318-9f28-23e77db0cebd}</author>
    <author>tc={fe6a52cc-a0ec-4345-bbec-eabffed72a69}</author>
  </authors>
  <commentList>
    <comment authorId="0" ref="E1">
      <text>
        <t xml:space="preserve">S1 : Block Gerber out          &amp;Solution Not Validated 
S2 : Not Block Gerber out  &amp;Solution Not Validated 
S3 : Not Block Gerber out  &amp;Solution RD Validated 
</t>
      </text>
    </comment>
    <comment authorId="1" xr:uid="{0996f802-f381-4294-9918-ea51a519b1de}" ref="L23">
      <text>
        <t xml:space="preserve">[Threaded comment]
 Your version of Excel allows you to read this threaded comment; however, any edits to it will get removed if the file is opened in a newer version of Excel. Learn more: https://go.microsoft.com/fwlink/?linkid=870924
Comment:
	@linfenga@motorola.com 
帮忙补充Change的值，可以不用挂链接.
分配给了linfenga@motorola.com
Reply:
	change指的是？针对这个Issue，没有改PCB，DVT2A结构在PCB TOP面会有一个大支架来保护屏，看下DVT2A的ALT结果，另外还有一单会把U2400上的导热垫片换成更硬的材质，看是否能缓解crack的风险。如果DVT2A还是出现U2400 crack，那只能点胶了
</t>
      </text>
    </comment>
    <comment authorId="2" xr:uid="{0ac3b4d6-bd7f-4e88-bc15-c6c0ed0807ff}" ref="G36">
      <text>
        <t xml:space="preserve">[Threaded comment]
 Your version of Excel allows you to read this threaded comment; however, any edits to it will get removed if the file is opened in a newer version of Excel. Learn more: https://go.microsoft.com/fwlink/?linkid=870924
Comment:
	@linfenga@motorola.com 
@changfm1@motorola.com 
@wuxm5@motorola.com 
@fanlf@motorola.com 
quattro 这个case的solution 没有被执行，也没有校验，目前ramp 出现问题了，先执行solution，后面再看下如何优化solution的导入跟踪。
</t>
      </text>
    </comment>
    <comment authorId="3" xr:uid="{0ff1ee69-6dda-48ac-9ee7-b218a113fc2e}" ref="H3">
      <text>
        <t xml:space="preserve">[Threaded comment]
 Your version of Excel allows you to read this threaded comment; however, any edits to it will get removed if the file is opened in a newer version of Excel. Learn more: https://go.microsoft.com/fwlink/?linkid=870924
Comment:
	@wuxm5@motorola.com 
@xiaozh1@motorola.com 
Hi 学敏
这边是否文档链接，或者你将上周share 的文档链接放上来也可以？
Reply:
	done!
Reply:
	似乎还是没看到link
Reply:
	学敏，附上Link
</t>
      </text>
    </comment>
    <comment authorId="4" xr:uid="{12c64019-bb47-430e-84eb-6b460d96b382}" ref="I15">
      <text>
        <t xml:space="preserve">[Threaded comment]
 Your version of Excel allows you to read this threaded comment; however, any edits to it will get removed if the file is opened in a newer version of Excel. Learn more: https://go.microsoft.com/fwlink/?linkid=870924
Comment:
	@changfm1@motorola.com 
Hi 芳梅
这个case改板后是否已经ok，请确认并关闭该case
</t>
      </text>
    </comment>
    <comment authorId="5" xr:uid="{365ac459-0d57-4dce-a5e5-bf1dbb1f8e74}" ref="H9">
      <text>
        <t xml:space="preserve">[Threaded comment]
 Your version of Excel allows you to read this threaded comment; however, any edits to it will get removed if the file is opened in a newer version of Excel. Learn more: https://go.microsoft.com/fwlink/?linkid=870924
Comment:
	@puzhe1@motorola.com ,请更新下这个case的分析链接
</t>
      </text>
    </comment>
    <comment authorId="6" xr:uid="{5db0834a-ccc3-465e-99b4-c50fb2fdfde9}" ref="I26">
      <text>
        <t xml:space="preserve">[Threaded comment]
 Your version of Excel allows you to read this threaded comment; however, any edits to it will get removed if the file is opened in a newer version of Excel. Learn more: https://go.microsoft.com/fwlink/?linkid=870924
Comment:
	@linfenga@motorola.com 
@chenb3@motorola.com 
Hi 陈邦，林峰
这边应该有camera相关的issue 吧，无论BB内部是否处理完，应该有个记录，即使Bb内部处理完，还要评估对外部的影响多大。
Reply:
	Impact  部分没有提供 ，那就是DVT1A 所有机器OIS都无法使用？ 更新SW也没用对吧
Reply:
	DVT1A / DVT1B所有机器，Tele OIS Gyro不能用，SW不能控制，无法通过更新SW更改。
</t>
      </text>
    </comment>
    <comment authorId="7" xr:uid="{6e68cf5f-c1b2-4900-b76d-f1b7e398866c}" ref="H7">
      <text>
        <t xml:space="preserve">[Threaded comment]
 Your version of Excel allows you to read this threaded comment; however, any edits to it will get removed if the file is opened in a newer version of Excel. Learn more: https://go.microsoft.com/fwlink/?linkid=870924
Comment:
	@changfm1@motorola.com ,ALT 跌落花屏的问题请将分析链接update
</t>
      </text>
    </comment>
    <comment authorId="8" xr:uid="{6eabe48d-e6d7-48b7-b3d3-83c2c8d8e877}" ref="G26">
      <text>
        <t xml:space="preserve">[Threaded comment]
 Your version of Excel allows you to read this threaded comment; however, any edits to it will get removed if the file is opened in a newer version of Excel. Learn more: https://go.microsoft.com/fwlink/?linkid=870924
Comment:
	@linfenga@motorola.com 
@fanlf@motorola.com 
Hi 林峰
建议，如果这个case 明确DVT1A&amp;1B机器OIS都不能用，建议通知一下HPM和PI， DVT1B 会启动DF的。
Reply:
	@chenb3@motorola.com 
Hi 林峰  ，这个issue 重新改为monitor ，因为Impact 没清理完，今天HPM提出来（1.说清缘由和后续建议防护方案  2. 给出rework的支持 ，包括国内 返工支持 和国外 返工说明提供），清理完了后再close
Reply:
	Hi 邦邦 
这个case 算是都过去了吧，该通知的以及后续 流程优化，是否都ok了？
</t>
      </text>
    </comment>
    <comment authorId="9" xr:uid="{7662b163-39fd-4cb1-b4ce-12ad9a6bdcd8}" ref="G41">
      <text>
        <t xml:space="preserve">[Threaded comment]
 Your version of Excel allows you to read this threaded comment; however, any edits to it will get removed if the file is opened in a newer version of Excel. Learn more: https://go.microsoft.com/fwlink/?linkid=870924
Comment:
	@xiongsn1@motorola.com ,DVT1A 厂线发现几天P-sensor 无作用的，怀疑硅胶套偏移，请跟进
分配给了xiongsn1@motorola.com
Reply:
	这个case 有update？ 如果没有直接close ，后续万一有问题再reopen
Reply:
	如沟通，没有相关反馈，先close，有问题再开启
</t>
      </text>
    </comment>
    <comment authorId="10" xr:uid="{847bcbf4-a0ca-4ddc-b287-fdd7fb8a3c55}" ref="G38">
      <text>
        <t xml:space="preserve">[Threaded comment]
 Your version of Excel allows you to read this threaded comment; however, any edits to it will get removed if the file is opened in a newer version of Excel. Learn more: https://go.microsoft.com/fwlink/?linkid=870924
Comment:
	@chenwt@motorola.com ,滚筒实验后不开机的，帮忙建一个link 跟踪下，谢谢~
分配给了chenwt@motorola.com
Reply:
	done
</t>
      </text>
    </comment>
    <comment authorId="11" xr:uid="{a9cd659a-9f58-4684-a3d6-1d8911fe8d49}" ref="G33">
      <text>
        <t xml:space="preserve">[Threaded comment]
 Your version of Excel allows you to read this threaded comment; however, any edits to it will get removed if the file is opened in a newer version of Excel. Learn more: https://go.microsoft.com/fwlink/?linkid=870924
Comment:
	@chenb3@motorola.com 
Please inform ME.
分配给了
</t>
      </text>
    </comment>
    <comment authorId="12" xr:uid="{bd0a8b7b-6583-4844-84df-600bb8821e0e}" ref="I36">
      <text>
        <t xml:space="preserve">[Threaded comment]
 Your version of Excel allows you to read this threaded comment; however, any edits to it will get removed if the file is opened in a newer version of Excel. Learn more: https://go.microsoft.com/fwlink/?linkid=870924
Comment:
	@wuxm5@motorola.com 
@changfm1@motorola.com 
Hi 芳梅，学敏
1.这个case 是否有分析报告，请放上来下。 2.更新下结论，不应该还在S2 应该已经解决方案导入的阶段了吧
Reply:
	先置close，文档这两天补上
Reply:
	报告文档完成
</t>
      </text>
    </comment>
    <comment authorId="13" xr:uid="{e74be5df-a9e2-4e16-9825-9f47bd330b1c}" ref="I44">
      <text>
        <t xml:space="preserve">[Threaded comment]
 Your version of Excel allows you to read this threaded comment; however, any edits to it will get removed if the file is opened in a newer version of Excel. Learn more: https://go.microsoft.com/fwlink/?linkid=870924
Comment:
	@chenb3@motorola.com 
@linfenga@motorola.com 
Hi bangbang
Quattro USB DVT1A 产线发现个问题：9008 和 fastboot 两个模式下都无法识别USB3.0 ，请知悉并处理
Reply:
	我自己用林峰留在这的板子试了下确实如此
Reply:
	已知问题，bootloader(fastboot mode)下还没有配置DP/USB开关的电源。所以导致USB3.0不通。跃才正在处理。
</t>
      </text>
    </comment>
    <comment authorId="14" xr:uid="{e94c099e-a29b-4318-9f28-23e77db0cebd}" ref="I12">
      <text>
        <t xml:space="preserve">[Threaded comment]
 Your version of Excel allows you to read this threaded comment; however, any edits to it will get removed if the file is opened in a newer version of Excel. Learn more: https://go.microsoft.com/fwlink/?linkid=870924
Comment:
	@xiaozh1@motorola.com
@linfenga@motorola.com 
Hi 志浩  
这个case 的分析lync 请放上来，issue 内容可以一起更新
Reply:
	[S2]Issue:  40℃关机充电出现一次误识别为USB充电的问题
</t>
      </text>
    </comment>
    <comment authorId="15" xr:uid="{fe6a52cc-a0ec-4345-bbec-eabffed72a69}" ref="I42">
      <text>
        <t xml:space="preserve">[Threaded comment]
 Your version of Excel allows you to read this threaded comment; however, any edits to it will get removed if the file is opened in a newer version of Excel. Learn more: https://go.microsoft.com/fwlink/?linkid=870924
Comment:
	@linfenga@motorola.com 
Hi 林峰
这边的仿真描述完全看不懂，是指哪个IC有大应力 需要关注的呢?
Reply:
	第12页，pixworks和Audio codec 那个区域风险最大。
Reply:
	目前为止没有发现这边的问题。 反倒是PMIC 和CPUmemory部分有问题。 等待正式屏蔽盖的ALT和滚筒来确认吧，下周初应该就会有结果，一起关注下
</t>
      </text>
    </comment>
  </commentList>
</comments>
</file>

<file path=xl/comments28.xml><?xml version="1.0" encoding="utf-8"?>
<comments xmlns:r="http://schemas.openxmlformats.org/officeDocument/2006/relationships" xmlns="http://schemas.openxmlformats.org/spreadsheetml/2006/main" xmlns:xr="http://schemas.microsoft.com/office/spreadsheetml/2014/revision">
  <authors>
    <author/>
    <author>tc={57737e94-cbbb-4958-8388-0d905fa2640b}</author>
    <author>tc={63f1721d-2827-424e-926a-c87e2e9db9a3}</author>
  </authors>
  <commentList>
    <comment authorId="0" ref="E1">
      <text>
        <t xml:space="preserve">S1 – impact consumer, program blocking issue, must fix prior to ship
S2 – impact consumer, but have plan to fix, manageable risk
S3 – low risk of getting field returns, can fix but may not be able to fix due to time or design limitations.
</t>
      </text>
    </comment>
    <comment authorId="1" xr:uid="{57737e94-cbbb-4958-8388-0d905fa2640b}" ref="G3">
      <text>
        <t xml:space="preserve">[Threaded comment]
 Your version of Excel allows you to read this threaded comment; however, any edits to it will get removed if the file is opened in a newer version of Excel. Learn more: https://go.microsoft.com/fwlink/?linkid=870924
Comment:
	@liguoa@motorola.com 
Please update Issue Timely
分配给了liguoa@motorola.com
Reply:
	done
</t>
      </text>
    </comment>
    <comment authorId="2" xr:uid="{63f1721d-2827-424e-926a-c87e2e9db9a3}" ref="G5">
      <text>
        <t xml:space="preserve">[Threaded comment]
 Your version of Excel allows you to read this threaded comment; however, any edits to it will get removed if the file is opened in a newer version of Excel. Learn more: https://go.microsoft.com/fwlink/?linkid=870924
Comment:
	@yangwla@motorola.com 
Please update the RE Issue Status
分配给了
</t>
      </text>
    </comment>
  </commentList>
</comments>
</file>

<file path=xl/comments29.xml><?xml version="1.0" encoding="utf-8"?>
<comments xmlns:r="http://schemas.openxmlformats.org/officeDocument/2006/relationships" xmlns="http://schemas.openxmlformats.org/spreadsheetml/2006/main" xmlns:xr="http://schemas.microsoft.com/office/spreadsheetml/2014/revision">
  <authors>
    <author/>
    <author>tc={1151a8c1-a74d-40d1-a3d9-65349d1e68c9}</author>
    <author>tc={294330c1-32b1-43c4-9dac-983f2342f42c}</author>
    <author>tc={4b6e845c-6fcf-4ddf-8ff5-55aae583073d}</author>
    <author>tc={694a6e63-e83e-4038-9372-000bb61fedc8}</author>
    <author>tc={fc7083f4-09fa-41a0-aa2a-fb7953d215be}</author>
  </authors>
  <commentList>
    <comment authorId="0" ref="E1">
      <text>
        <t xml:space="preserve">S1 – impact consumer, program blocking issue, must fix prior to ship
S2 – impact consumer, but have plan to fix, manageable risk
S3 – low risk of getting field returns, can fix but may not be able to fix due to time or design limitations.
</t>
      </text>
    </comment>
    <comment authorId="1" xr:uid="{1151a8c1-a74d-40d1-a3d9-65349d1e68c9}" ref="A6">
      <text>
        <t xml:space="preserve">[Threaded comment]
 Your version of Excel allows you to read this threaded comment; however, any edits to it will get removed if the file is opened in a newer version of Excel. Learn more: https://go.microsoft.com/fwlink/?linkid=870924
Comment:
	@yangwla@motorola.com 
@linfenga@motorola.com 
Please create the Cert ESD Issue.
分配给了
</t>
      </text>
    </comment>
    <comment authorId="2" xr:uid="{294330c1-32b1-43c4-9dac-983f2342f42c}" ref="H6">
      <text>
        <t xml:space="preserve">[Threaded comment]
 Your version of Excel allows you to read this threaded comment; however, any edits to it will get removed if the file is opened in a newer version of Excel. Learn more: https://go.microsoft.com/fwlink/?linkid=870924
Comment:
	@yangwla@motorola.com 
Please Attach the FA Report on this link.
分配给了
</t>
      </text>
    </comment>
    <comment authorId="3" xr:uid="{4b6e845c-6fcf-4ddf-8ff5-55aae583073d}" ref="G5">
      <text>
        <t xml:space="preserve">[Threaded comment]
 Your version of Excel allows you to read this threaded comment; however, any edits to it will get removed if the file is opened in a newer version of Excel. Learn more: https://go.microsoft.com/fwlink/?linkid=870924
Comment:
	@linfenga@motorola.com 
Please update Issue Timely
分配给了linfenga@motorola.com
</t>
      </text>
    </comment>
    <comment authorId="4" xr:uid="{694a6e63-e83e-4038-9372-000bb61fedc8}" ref="H5">
      <text>
        <t xml:space="preserve">[Threaded comment]
 Your version of Excel allows you to read this threaded comment; however, any edits to it will get removed if the file is opened in a newer version of Excel. Learn more: https://go.microsoft.com/fwlink/?linkid=870924
Comment:
	@xiongsn1@motorola.com 
Please Attach the FA Report on this link
分配给了xiongsn1@motorola.com
Reply:
	FA report had been uploaded
</t>
      </text>
    </comment>
    <comment authorId="5" xr:uid="{fc7083f4-09fa-41a0-aa2a-fb7953d215be}" ref="G3">
      <text>
        <t xml:space="preserve">[Threaded comment]
 Your version of Excel allows you to read this threaded comment; however, any edits to it will get removed if the file is opened in a newer version of Excel. Learn more: https://go.microsoft.com/fwlink/?linkid=870924
Comment:
	@yangwla@motorola.com 
Please update ESD Design Rule&amp;Review Content,Share me with the link.
分配给了
</t>
      </text>
    </comment>
  </commentList>
</comments>
</file>

<file path=xl/comments30.xml><?xml version="1.0" encoding="utf-8"?>
<comments xmlns:r="http://schemas.openxmlformats.org/officeDocument/2006/relationships" xmlns="http://schemas.openxmlformats.org/spreadsheetml/2006/main" xmlns:xr="http://schemas.microsoft.com/office/spreadsheetml/2014/revision">
  <authors>
    <author/>
    <author>tc={5506672a-e229-405c-ac35-f85e181f228b}</author>
  </authors>
  <commentList>
    <comment authorId="0" ref="E1">
      <text>
        <t xml:space="preserve">S1 : Block Gerber out          &amp;Solution Not Validated 
S2 : Not Block Gerber out  &amp;Solution Not Validated 
S3 : Not Block Gerber out  &amp;Solution RD Validated </t>
      </text>
    </comment>
    <comment authorId="1" xr:uid="{5506672a-e229-405c-ac35-f85e181f228b}" ref="H12">
      <text>
        <t xml:space="preserve">[Threaded comment]
 Your version of Excel allows you to read this threaded comment; however, any edits to it will get removed if the file is opened in a newer version of Excel. Learn more: https://go.microsoft.com/fwlink/?linkid=870924
Comment:
	@xiaozh1@motorola.com 
EVB 模拟开关漏电，建议放一个分析结果，以便闭环哈，呵呵
</t>
      </text>
    </comment>
  </commentList>
</comments>
</file>

<file path=xl/sharedStrings.xml><?xml version="1.0" encoding="utf-8"?>
<sst xmlns="http://schemas.openxmlformats.org/spreadsheetml/2006/main" count="19094" uniqueCount="1458">
  <si>
    <t>Date</t>
  </si>
  <si>
    <t>Phase</t>
  </si>
  <si>
    <t>Block</t>
  </si>
  <si>
    <t>Source</t>
  </si>
  <si>
    <t>Severity</t>
  </si>
  <si>
    <t>Status</t>
  </si>
  <si>
    <t>Issue</t>
  </si>
  <si>
    <t>Doc</t>
  </si>
  <si>
    <t>Owner</t>
  </si>
  <si>
    <t>Assistant</t>
  </si>
  <si>
    <t>Sheet</t>
  </si>
  <si>
    <t>Change?</t>
  </si>
  <si>
    <t>C.RAMP</t>
  </si>
  <si>
    <t>6.Display/Touch</t>
  </si>
  <si>
    <t>5.6 User Feedback</t>
  </si>
  <si>
    <t>S2</t>
  </si>
  <si>
    <t>Closed</t>
  </si>
  <si>
    <t xml:space="preserve">Issue：India market 
When put the “Fail headset”  JBL PUREBASS T150A into Moto G5 plus ，there will be some action similar to Ghost Touch.   Jira link:https://idart.mot.com/browse/IKSWN-27437 
</t>
  </si>
  <si>
    <t>SW/chenwt</t>
  </si>
  <si>
    <t>7.DVT2</t>
  </si>
  <si>
    <t>2.Power</t>
  </si>
  <si>
    <t>5.3 EE DVT</t>
  </si>
  <si>
    <t>S3</t>
  </si>
  <si>
    <t>Issue:ALT DVT2B发现正面朝下自动关机
Root Cause:
Analysis:
Solution:
Verification:
Plan:</t>
  </si>
  <si>
    <t>肖志浩/Chenwt</t>
  </si>
  <si>
    <t>B.PVT</t>
  </si>
  <si>
    <t>1.Platform</t>
  </si>
  <si>
    <t>4.Build</t>
  </si>
  <si>
    <t>下载工位出现概率性不下载（faboot 识别不到USB）</t>
  </si>
  <si>
    <t>xiaozh/chenwt/chenhy</t>
  </si>
  <si>
    <t>4.Audio</t>
  </si>
  <si>
    <t>GSM buzz in DVT2B units found</t>
  </si>
  <si>
    <t>肖志浩/李燚</t>
  </si>
  <si>
    <t>11.Thermal</t>
  </si>
  <si>
    <t>DVT Mdu30 ：thermal test ,Video recording reach 44.2 degree</t>
  </si>
  <si>
    <t>陈文亭/吴学敏</t>
  </si>
  <si>
    <t>3.Charging</t>
  </si>
  <si>
    <t>DVT EDu14- Surge test (L)，charge 按印度规fail，90V无法开机。需要过120V</t>
  </si>
  <si>
    <t>肖志浩</t>
  </si>
  <si>
    <t>Description :Turbo charger always not charging after charging a little time</t>
  </si>
  <si>
    <t>陈文亭/肖志浩</t>
  </si>
  <si>
    <t xml:space="preserve">ALT Battery current drain out of spec.
</t>
  </si>
  <si>
    <t>陈文亭</t>
  </si>
  <si>
    <t>5.DVT1</t>
  </si>
  <si>
    <t>5.2 BB Test</t>
  </si>
  <si>
    <t>Weak 5W charger can not charge</t>
  </si>
  <si>
    <t>S1</t>
  </si>
  <si>
    <t xml:space="preserve">ALT &amp; DVT滚筒实验出现 LTE no camp </t>
  </si>
  <si>
    <t>范立锋/chenwt</t>
  </si>
  <si>
    <t>7.Sensor</t>
  </si>
  <si>
    <t>3rd P-sensor CT too low and can not pass APK test</t>
  </si>
  <si>
    <t>陈文亭/陈怀玉</t>
  </si>
  <si>
    <t>George Issue</t>
  </si>
  <si>
    <t>Analysis&amp;Solution</t>
  </si>
  <si>
    <t>Report date</t>
  </si>
  <si>
    <t>武汉实验室 失效分析汇总</t>
  </si>
  <si>
    <t>4.EVT</t>
  </si>
  <si>
    <t>12.EMC</t>
  </si>
  <si>
    <t>5.4 ALT</t>
  </si>
  <si>
    <t>Open</t>
  </si>
  <si>
    <r>
      <rPr>
        <rFont val="Georgia"/>
        <sz val="11.0"/>
      </rPr>
      <t>Issue: EVT 一供 WH208009，AD: -15kV Zone1 Proximity &amp; Front Light Sensor No Function, 实验室反馈重启未恢复。
Analyze: 1. 机器收到校验CQA中：Proximity 闪退, Front Light 不刷新，现象一致，从现象来看像是器件不识别到I2C设备。</t>
    </r>
    <r>
      <rPr>
        <rFont val="Georgia"/>
        <color rgb="FFFF0000"/>
        <sz val="11.0"/>
      </rPr>
      <t>但是重启后可以恢复。</t>
    </r>
    <r>
      <rPr>
        <rFont val="Georgia"/>
        <sz val="11.0"/>
      </rPr>
      <t xml:space="preserve">
                 2. 抓机器Log，给软件分析：IKSWW-203359，分析结果是I2C通讯异常，</t>
    </r>
    <r>
      <rPr>
        <rFont val="Georgia"/>
        <color rgb="FF0000FF"/>
        <sz val="11.0"/>
      </rPr>
      <t>判断IC被干扰异常导致无法进行I2C通讯，需要下电才能复位</t>
    </r>
    <r>
      <rPr>
        <rFont val="Georgia"/>
        <sz val="11.0"/>
      </rPr>
      <t>（I2C总线没问题）
                 3. XM实验室尝试复现：Zone1/通话/-15kV 200次暂未复现，但是发现实验室回来这台机器，打Zone1容易触发屏幕Recovery机制。
                 4. 测量VIO18_PMU，发现reboot过程确实不会下电，只有PowerOff会下电；—— 提交CR给软件，看能否实现reboot过程VIO1.8下电。
                 5. Vendor 分析，出现这个问题有两种可能：</t>
    </r>
    <r>
      <rPr>
        <rFont val="Georgia"/>
        <color rgb="FF0000FF"/>
        <sz val="11.0"/>
      </rPr>
      <t>a) 芯片I2C被干扰到其他ADDR；b) 芯片假死无响应;</t>
    </r>
    <r>
      <rPr>
        <rFont val="Georgia"/>
        <sz val="11.0"/>
      </rPr>
      <t xml:space="preserve">
RootCause：高压空气放电，干扰PUD，reboot过程中VIO1.8也没有下电，导致重启也没有恢复，下电重启才恢复。（高压重启可恢复，属于可接受）
Solution：1. 实现reboot过程VIO1.8下电。-- MTK确认不能实现；
                   2. 增加PUD LDO下电方案，增加控制的IO口，需要软件提前确认导入； -- </t>
    </r>
    <r>
      <rPr>
        <rFont val="Georgia"/>
        <color rgb="FFFF0000"/>
        <sz val="11.0"/>
      </rPr>
      <t>直接DVT1导入；</t>
    </r>
  </si>
  <si>
    <t>link</t>
  </si>
  <si>
    <t>廖哲霖</t>
  </si>
  <si>
    <t>1.SCH</t>
  </si>
  <si>
    <t>NA</t>
  </si>
  <si>
    <t>Issue: EVT有个板子无法下载，板号NAAA020317 
Analyze: 1.Blankflash 的log 发给MTK，待回复。（下载完DA后，无法进入DAmode，拔掉数据线后，板子处于关机状态，没电流）
                2.FAE换了  U2001（MT6363））/U2601（MT6375）/U1001（CPU）/U1009(DDR)/U1392(UFS)，发现还没恢复正常。U1392测量底部pad阻抗ok，通断正常
               3.按开机键再松开，电流停在200mA左右。说明主时钟已经有了。
              4. 硬件测量上电时序，确认时序已经都满足了，也就是板子关键的电都已经上来了。    
              5.log MTK 分析结果：U1301 初始化失败，返回错误。
RootCause：产线SMT 用错器件，U1301 用错成U1701的器件。U1301  用正确的器件后，ok了。
Solution： SMTowner</t>
  </si>
  <si>
    <t>文亭</t>
  </si>
  <si>
    <t>敏敏</t>
  </si>
  <si>
    <t>6.No Change</t>
  </si>
  <si>
    <t>Issue: EVT 可靠性有两台机器SIM无作用，重启概率性恢复。
Analyze: 
RootCause： VCC 电容和中框短路 （绝缘实验临时验证ok，不复现）
Solution： 中框DVT1 做避让</t>
  </si>
  <si>
    <t>李果</t>
  </si>
  <si>
    <t>5.SW/ME/RF/ANT/Component/MFG/Vendor</t>
  </si>
  <si>
    <t>9.Memory</t>
  </si>
  <si>
    <r>
      <rPr>
        <rFont val="Georgia"/>
        <sz val="11.0"/>
      </rPr>
      <t xml:space="preserve">Issue: EVT 二供BR157907  128 UFS 尺寸太大，造成连焊。（贴了4pcs 板子）
RootCause：   二供 SM38F05190        BWU3AKG16D128G </t>
    </r>
    <r>
      <rPr>
        <rFont val="Georgia"/>
        <color rgb="FFFF0000"/>
        <sz val="11.0"/>
      </rPr>
      <t xml:space="preserve">        U1392        BIWIN，尺寸11.5*13</t>
    </r>
    <r>
      <rPr>
        <rFont val="Georgia"/>
        <sz val="11.0"/>
      </rPr>
      <t xml:space="preserve">  VS 一供三星的11*13
 Solution： EVT二供试产 及 DVT1 备料临时更换回一供三星memory
    长期：1.跟进厂家更改尺寸为11*13情况（可行，但是要2027年才能改好，咱们项目用不上了） 
                2.项目上将三供pull in ，预计DVT2二供来得及导入验证
            </t>
    </r>
  </si>
  <si>
    <t>嘉琨</t>
  </si>
  <si>
    <t>3.PEL</t>
  </si>
  <si>
    <t>5.Camera</t>
  </si>
  <si>
    <t>5.1 Bring up</t>
  </si>
  <si>
    <t>Issue: 4/3 front camera 22 pin connect error
RootCause：  NEW SPEC is NC，Old SPEC is power 。 没有用新SPEC进行设计
 Solution：EVB rework 割断连接器上22pin-- camera bringup的板子done
                     EVT 更改SCH，VIN和VBIAS  纠正过来，  -- changmf1 done</t>
  </si>
  <si>
    <t>芳梅</t>
  </si>
  <si>
    <t>Issue: 4/3 已知DVDD LDO U3161有点问题，EVB2 ，已经rework板子 bringup。EVT 更改进入主线
RootCause：VIN和VBIAS 连接反了，没有识别出来。
 Solution：EVB rework 让LDO能正常输出-- camera bringup的板子done
                     EVT 更改SCH，VIN和VBIAS  纠正过来，已提交修改，待导入 --wuxm5</t>
  </si>
  <si>
    <t>3.Review/Simulation</t>
  </si>
  <si>
    <t>RISK: Display power 和SPK power 的输入端VSYS 过孔只有一个，有风险
Impact：EVB板子不适合 Display 和SPK 最大功率使用，可能会烧毁板子。
RootCause： review没有识别出来。
 Solution：EVB rework 让LDO能正常输出-- camera bringup的板子done
                     EVT 更改SCH，VIN和VBIAS  纠正过来，已提交修改，待导入 --wuxm5</t>
  </si>
  <si>
    <t>10.USB-C</t>
  </si>
  <si>
    <t>Issue：CPU和redriver 之间没有串接电容 in EVB1
Impact：EVB1板子USB3.0 没法工作
RootCause：设计错误
 Solution：EVB1 rework for DFC 方案（去掉redriver）--ongoing  chenwt
                   EVB2 主板上串联电容 --已更改进板子，待EVB2板子到达后bringup。预计4/8 SW收到板子</t>
  </si>
  <si>
    <t xml:space="preserve">                                </t>
  </si>
  <si>
    <t>Monitor</t>
  </si>
  <si>
    <t xml:space="preserve">RISK：ROW ，无线充的DET信号 发现没有下拉电阻，无线充 检测状态可能会不稳定。
发现来源：PRC（没有接无线充电板子的）PVT后期有出现一台机器开机就显示充电图标。分析是因为DET 中断检测到导致判断 无线充电 被检测到。
前置问题的解决方法：PRC样机没有无线充，禁断所有无线充的GPIO及相关功能响应。已经导入主线，从 36.65-11 导入了更改。
前置问题的扩展评估：那么有带无线充的板子，是否也可能存在这个风险？ review 后发现该RISK
Impact：
可能1 ：没有无线充 的时候 有极小概率被检测到无线充在位，显示充电图标，实际没有在充电  
可能2： 无线充电器拿下来后，可能还会显示充电图标？  
Anaysis: 1. DET信号没有外部下拉，内部也不能做下拉（CPU下拉会影响DET拉高，电平不够。 无线充IC默认状态没有上电，所以也不能配置下拉）。所以DET信号就比较接近悬空了，仅有 CPU和无线充IC 默认的连接，下拉能力非常有限。
     2. 请无线充IC厂家确认， 有很微弱下拉，小于1uA
RootCase： DET信号没有外部下拉，内部也不能做下拉导致 DET中断可能会误触发。（DET是高电平有效。）
Solution:     
proposal 1. SW workaround ：当DET检测到的时候， 通过其他组合条件进行确认再判定是有效的无线充电。临时版本0519 验证ok，会提交进入主线。 待有正式版本后，再确认下。
 For 后续长期： HW方案 ，在stack板子上增加一个47K下拉电阻靠近无线充IC端。后面Pike ，Artura 都这样进行更改（Pike EVT修改要改进去，Artura DVT1 要改进去。） ---chenwt tracking
</t>
  </si>
  <si>
    <t>Issue:PRC 样机试产时候，反馈有1台机器，重启后就一直显示充电图标。插拔充电器后恢复。
Impact：    异常出来充电图标   
Anaysis:   DET信号没有外部下拉，内部也不能做下拉（CPU下拉会影响DET拉高，电平不够。  无线充IC默认状态没有上电，所以也不能配置下拉）。所以DET信号就比较接近悬空了，仅有 CPU和无线充IC 默认的连接，下拉能力非常有限。
RootCase： PRC机器没有无线充IC，所有接口都是悬空。需要将相关部分的功能关闭。
solution: PRC机器 SW上去掉所有无线充的相关信号响应。  36.65-11 导入了更改，验证ok</t>
  </si>
  <si>
    <t>5.5 Certification</t>
  </si>
  <si>
    <t>Issue：CB认证反馈低温0~-20度之间，充电电流达到1.92A,大于电池SPEC的691mA
Impact：认证，电池安全
Anaysis: 1. RD复测，常态状态下是654mA，小于691mA
2. 测试过程发现，插入充电器后几秒钟内，会先电流爬坡到4A左右再降低下来到654mA. 推测是这个爬坡过程被拆机到电流，然后判断为fail
3. 发现2 ：开机后的这个4A是SW可以配置的，所以查到哪里的逻辑申请4A电流 尝试优化逻辑来让 安全机制优先级别更高，就有机会优化开机状态下的结果。
4. SW log 分析 4A是SW初始过程中将FCC设配置为5A拉载出来 。
RootCase：  问题1 开机状态 先到4A左右 3-5秒后降到安全范围内。 
原因 ： SW为保证可以正常拉载到大电流，先将FCC设为默认5A，然后配置目标ICL，最后将FCC配置为目标电流，低温场景测试，对充电电流要求较低，会触发一个高于电池SPEC要求阈值脉冲电流
                          问题2 关机状态插入充电器，会先有default 的5V1.5A的配置（非SW上层配置，是 底层配置） 两秒左右就会过去，然后SW起来开始后续配置。 这个点如果认证不放过，就要 看底层是否有机会优化。
solution: proposal 1. 优化初始FCC配置值，将默认最大值与目标值取小作为最终配置值，保证全程拉载电流不超过电池SPEC要求-验证有效，去掉了 4A左右的脉冲。
              proposal 2. 关机 充电5V1.5A脉冲QC答复无解，只能优化速度。 修改XBL加载顺序，将脉冲宽度从1.9s改为1.2s同时压低691mA设置到500mA ，来降低其他抖动带来的可能出现的超过一点儿门限的概率。  --待验证有效性后提交修改进入主线，然后安排复测</t>
  </si>
  <si>
    <r>
      <rPr>
        <rFont val="Georgia"/>
        <sz val="9.0"/>
      </rPr>
      <t>Issue：PVT CQA测试发现，2台机器出现过OTG问题
N4AC420027  4/17/2026 5:10:29 PM         UCT pass 。没有抓log ，直接ABA 交叉验证随芯片PMIH0104  （U3700））</t>
    </r>
    <r>
      <rPr>
        <rFont val="Georgia"/>
        <color rgb="FFFF0000"/>
        <sz val="9.0"/>
      </rPr>
      <t xml:space="preserve"> QC初步分析IC异常了，更进一步消息，预计要到5月底出完整报告</t>
    </r>
    <r>
      <rPr>
        <rFont val="Georgia"/>
        <sz val="9.0"/>
      </rPr>
      <t xml:space="preserve">
N4AC4H000</t>
    </r>
    <r>
      <rPr>
        <rFont val="Georgia"/>
        <color rgb="FF1155CC"/>
        <sz val="9.0"/>
        <u/>
      </rPr>
      <t>5   CR https://idart.mot.com/browse/IKSWW</t>
    </r>
    <r>
      <rPr>
        <rFont val="Georgia"/>
        <sz val="9.0"/>
      </rPr>
      <t xml:space="preserve">-198501 ，4/28/2026 6:15:57 PM UCT pass 。软件分析是已经检测到时OTG设备，然后电输出，之后枚举数据没有枚举上。   </t>
    </r>
  </si>
  <si>
    <t xml:space="preserve">Issue：PVT UCT测试发现，主充测试fail，电流非常小
N4AC4C0057  （4/28 下午2点38发现 ，BT是pass的）这台已经更换芯片之后测试Pass了，交叉验证随芯片PMIH0104  （U3700））
N4AC4C0060（4/28 下午2点45发现 ，BT是pass的）这台已经更换芯片之后测试Pass了，交叉验证随芯片PMIH0104  （U3700））
N4AC4E0002 （4/28 下午3点20发现  ，BT是pass的）保留板子 （这个机器OTG复测是pass的）
 clue：   1   UCT拦截的不能主充的问题，是4/28 下午2点38发现到4/28 下午3点20发现 突然出来3台。 评审会上请产线查这三台的IC批次，以及产线这个时间段有啥特殊性。（整机测试集中性这么明显，可能产线那时候有出现什么我们未知的情况。板级测试查过是pass的，并且没有集中时间），故障IC刚寄出去给 QC  。 需要较长时间才有分析结果回来。 ）
              2.log分析第一台，发现是AICL 一直被限制到0，导致没有电流。（一开始插入瞬间有电流，然后被限制下来），推测是PC的AICL相关模块不正常了。
Rootcause： 主充电IC 故障，待产线寄送故障品给QC分析。这是其他项目MP物料。            
CT62275/RMA-113099 : #1 failed in C/Tracer as pin QPH1D (177,190) short to QPH1S (176,189). The detail C/T result attached. 
CT62276/RMA-113100 : #2 failed in C/Tracer as pin QPH1D (177,190) short to QPH1S (176,189). The detail C/T result attached.
The failures are indicate of EOS/ESD damage issue. Please review the application and test conditions. If necessary, open CE case for review.
</t>
  </si>
  <si>
    <t xml:space="preserve">Issue：PVT 增加UCT站点的FW版本检测，确认是否升级版本成功。 产线反馈有约30%NTF。重启机器测试pass
Impact： FW升级是工厂动作，不会影响用户。影响产线的直通率。                  
Anaysis: 1.  通过log分析，在启动FW检测和升级后100+ms 范围内，就返回读写状态失败，并没有启动真正的FW写入。
                 2. RD机器测量供电，这段时间内供电电压是稳定的。但是没有抓到复现问题的波形
                3.下一步：先飞线，继续压测，尝试抓到故障时候的更多波形做进一步根因分析。
RootCase： 推测：是否供电后，需要等待较长时间IC才能稳定工作？                        
solution:   1  ： 同时读写状态加上retry  5次的动作（如果失败，下电，再重新上电再读取），来提高成功率。  临时版本提供了， 产线压测30次，ok 。BB 压测27次，ok （确认log 确认触发了retry 的机制，每次触发1次retry 后pass了），所以看起来solution 有效果。  </t>
  </si>
  <si>
    <t>20.NFC</t>
  </si>
  <si>
    <t>6.Issue</t>
  </si>
  <si>
    <t>Issue: 
During Qingdao Wallet field testing, a failure was observed where card payment does not work when the device is powered off (IKSWW-191864 ).
Impact：
 Wallet card emulation tests fail in the powered-off state, affecting offline NFC payment verification.
Analysis / Root Cause：
When the device is powered off, the NFC power supply BOB experiences a voltage drop, causing the NFC supply voltage to fall below the minimum requirement of 2.5 V specified by the spec.
The FMD feature was not enabled. As a result, during the power-off sequence, a vote triggers a BOB reset (RST) action, which further contributes to the BOB voltage drop.
Action / Solution：
Apply the QC patch to correct the configuration at register address 0x719A,Waiting for QC  release patch.</t>
  </si>
  <si>
    <t>Link</t>
  </si>
  <si>
    <t>Issue：DVT2有一条机器出现CapSensor ESD后 无功能-所有通道 ，AD:8kV</t>
  </si>
  <si>
    <t xml:space="preserve">       </t>
  </si>
  <si>
    <t>Issue：SMT反馈stack 板有锡珠，几乎每台都有，位号Q2603,Q2604,Q2801
solution:  DVT2 钢网从1：1更改为焊盘中间加0.2mm间距，不良率 12/172
                   PVT继续减薄锡膏</t>
  </si>
  <si>
    <t>SMT yanlin</t>
  </si>
  <si>
    <t xml:space="preserve"> </t>
  </si>
  <si>
    <r>
      <rPr>
        <rFont val="Georgia"/>
        <sz val="11.0"/>
      </rPr>
      <t xml:space="preserve">Issue：DVT1二供 EDU14出现一台机器Fail，一台200V Fail，一台250V Fail（实验室标准250V）
Anaysis: 1. 两台机器，拆机分析VBUS浪涌管都未烧毁。
                 2. 测量机器发现USB充电快充/慢充均没有电流，且OVP MOS后端都没有电，判定OVP MOS没有开启。
                 3. CP-IC U6400是二供南芯，分析发现VUSB SNS的R6401电阻击穿（22Ω），且VUSB管脚对地电阻异常15Ω，判定是浪涌实验中，CP-IC的VUSB引脚先被浪涌击穿对地，然后再烧毁电阻，进而导致芯片内的OVP模块损坏或无法工作，导致充电故障。
                 4. EVT1 一供400V，二供300V； DVT1一供400V，二供200V&amp;250V, 判定二供CP-IC在Aviator现有架构下可能抵抗能力不如一供；
                 5. DVT1二供 浪涌测试 采用的机器是复用跌落的；
RootCase：二供南芯CP-IC 的VUSB管脚抵抗浪涌能力不如一供。
solution:   1. DVT2 R6401 更换成33R电阻（0613952X37），加大电阻，已和供应商确认50欧以内都OK；
                   2. 损坏的两颗CP-IC已经给到Southchip分析中；
                   3. TODO: Rework机器33R，回归测试：
</t>
    </r>
    <r>
      <rPr>
        <rFont val="Georgia"/>
        <color rgb="FF0000FF"/>
        <sz val="11.0"/>
      </rPr>
      <t xml:space="preserve">                         3/23日复测结果，两台Rework二供机器 到33R的均Pass(250V)，但是余量不够；
</t>
    </r>
    <r>
      <rPr>
        <rFont val="Georgia"/>
        <sz val="11.0"/>
      </rPr>
      <t xml:space="preserve">                       </t>
    </r>
    <r>
      <rPr>
        <rFont val="Georgia"/>
        <color rgb="FF00FF00"/>
        <sz val="11.0"/>
      </rPr>
      <t xml:space="preserve">  </t>
    </r>
    <r>
      <rPr>
        <rFont val="Georgia"/>
        <color rgb="FF0000FF"/>
        <sz val="11.0"/>
      </rPr>
      <t>3/26日复测结果，两台Rework二供机器 到47R的均Pass(400V)，且未出现漏电，判定方法有效。</t>
    </r>
  </si>
  <si>
    <t xml:space="preserve">Issue：SME tuning 磁吸充电时候发现，死电池的机器，用磁吸充电器无法激活，屏幕没有任何反应。
Impact：Apple Q2.2 磁吸充电器无法激活aviator 死电池的机器。（其他WLC 目前测试都可以激活 ，更新3/17 的FW版本0073之后的结果）
rootcause: suspect :1 WLC RX IC 输出电压不稳定，导致主充电PMIC无法稳定走死电池激活流程。  为什么输出不稳定？  
                               suspect :1-1 推测是 WLC 输出驱动力太低 以及 手机瞬态 吃电较大导致的 WLC输出电压不稳定。 （系统耗电，这时候电还没进电池）
solution:   proposal1: 带SME tuning Apple Q2.2 磁吸充电器 default 模式下的驱动力。 3/30  临时版本FW确认ok了。待SW导入主线后继续跟踪。
</t>
  </si>
  <si>
    <t xml:space="preserve">Issue： DVT1 ，实验室一些机器返回分析后，放置一段时间，再开机无法开机，插充电器，没法正常充电。有时候屏幕先亮一下，然后就只有5V80mA左右。
clue：1.之前有一台，插着充电器无法开机，长按开机键几十秒后开起来了，不确认是否同一个问题。  目前针对第二台进行拆解分析
          2.第二台机器 N4AC130165 ，屏幕先亮一下，然后就只有5V80mA左右。拆机测量Vbat~=0V ，所以电池死电池了。拆下电池连接器，电池电压0V，死电池了电池本体变形严重，确认电芯异常了，转KP分析。（这台机器经过多轮可靠性，包括2.5米跌落）。
    后面又回来两台，都和第二台一样的结果，转KP
 RootCause：闲军 owner （大概是电池内部防护不够，造成漏液了）
solution：闲军 owner（大概概括是更改电池内部保护，DVT2整批导入，DVT2 厂家和 咱们同步验证，看是否ok了）
</t>
  </si>
  <si>
    <r>
      <rPr>
        <rFont val="Georgia"/>
        <sz val="11.0"/>
      </rPr>
      <t xml:space="preserve">Issue： DVT1产线出现4pcs烧毁VBAT-TVS(FR：4/86)，请软件导入降低电流软件后，3pcs烧毁(FR:3/553)
RootCause：从TVS烧毁现象怀疑是Peak电压导致TVS异常开启后短路，电源常电进而烧毁TVS管。
Analyze: 
</t>
    </r>
    <r>
      <rPr>
        <rFont val="Georgia"/>
        <b/>
        <sz val="11.0"/>
      </rPr>
      <t>差异对比：</t>
    </r>
    <r>
      <rPr>
        <rFont val="Georgia"/>
        <sz val="11.0"/>
      </rPr>
      <t xml:space="preserve">
 - Aviator: SF68D39333(Will)+8845; 烧TVS
 - Horizon: SF68D39333(Will)+8845;
 - Urus: PTVSHC2EN4V8UF + 8845;  未出现烧TVS
</t>
    </r>
    <r>
      <rPr>
        <rFont val="Georgia"/>
        <b/>
        <sz val="11.0"/>
      </rPr>
      <t>36.12版本：</t>
    </r>
    <r>
      <rPr>
        <rFont val="Georgia"/>
        <sz val="11.0"/>
      </rPr>
      <t xml:space="preserve">（进入Homescreen大电流）
 - 4pcs板子，D3500,D3501均烧毁(FR：4/86)，实测电流在进入Homescreen瞬间有一个7A的值，经实验确认是CPU限频解除导致。
</t>
    </r>
    <r>
      <rPr>
        <rFont val="Georgia"/>
        <b/>
        <sz val="11.0"/>
      </rPr>
      <t>36.16版本：</t>
    </r>
    <r>
      <rPr>
        <rFont val="Georgia"/>
        <sz val="11.0"/>
      </rPr>
      <t xml:space="preserve">(限制CPU频率，确保没有大电流)
  - 请软件导入不解除全程限频的措施，截至到2/11出现3pcs烧毁，其中2pcs烧D3500,1Ppcs烧D3501。(FR:3/553)
</t>
    </r>
    <r>
      <rPr>
        <rFont val="Georgia"/>
        <b/>
        <sz val="11.0"/>
      </rPr>
      <t xml:space="preserve">产线测试波形：
</t>
    </r>
    <r>
      <rPr>
        <rFont val="Georgia"/>
        <sz val="11.0"/>
      </rPr>
      <t xml:space="preserve"> - 36.12版本下，产线夹具上测试，3pcs 产线主板 3个板子36次压测，均未烧毁，最高Peak电压抓到4.8V （VBR:4.9V），继续在武汉基带用为准电源压测，也未发现明显异常。
 - 36.16版本下，烧毁的1pcs板子产线夹具上测试，未发现故障波形。</t>
    </r>
  </si>
  <si>
    <t xml:space="preserve">RISK：Vendor 调试时候发现 无线充Vout 飞线出来测试，发现有一个NFC 工作频率的电源纹波。NFC关闭后就没有。
impact：如果真实存在，可能会影响到无线充 通讯解码稳定性。具体待确认
Rootcause：    1. 飞线压到NFC天线上导致，误测问题                         
</t>
  </si>
  <si>
    <t xml:space="preserve">RISK：Qi 2.2  认证预调试时候SME 发现：前置线圈切换电路的Mos 控制端GS 电压 在低频阶段有大于1V的纹波，有可能会误触发 mos 打开（打开门限是1.0~2.5V）
impact： 反复打开关断mos会让功率存在波动，影响的是bpp模式Qi 2.2 认证的
Rootcause： 当前的 S 信号是通过AC（线圈信号）耦合过来，其VGATE是IC内部自举电路基于AC基础上升压的，目前看起来内部有 谐振频率附近的干扰 （频率在低频段128KHZ）。 
solution： 在GS之间加一个10nF电容 来进行滤波。 
                       临时验证：实际rework 验证有效果，将原来超过1V的纹波，降低到只有0.3V左右，处于安全区间。
                      项目上：需要在DVT2 发板上改进去。已提交，待发板时候更改 --chenwt
加滤波电容是否会有负面影响？：  SME comment 没有负面影响 </t>
  </si>
  <si>
    <t xml:space="preserve">RISK：Qi MPP 15W CE : SME  反馈 ICL步进 在1A左右突然功率跳变太大，不符合需求。
Rootcause：QC 答复是 QC IC PMIH0104 SPEC范围内的行为，无法确认不跳变。无法从根上面解决（其他竞品厂家也要面临这个问题）
solution：寻找其他解决方案 by SME
</t>
  </si>
  <si>
    <t xml:space="preserve">Issue：DVT MDu94.A - Extreme Drop Test        WH202994        D5        N4AE060004        Post check:No front camera viewfinder:D2/D5
Post check:Unable to find NFC device
Rootcause：前置摄像头脱落，结构泡棉问题。 </t>
  </si>
  <si>
    <t xml:space="preserve">Issue: 
- ANT7 N77&amp;N78 interface Front camera leads camera MIPI error  on EVT  3/3PCS
Analysis/Root Cause:
- The logger shows mipi error.
- 翻起前置camera模组头部，干扰消失，模组头部的铜箔从主PMIC屏蔽盖下地，ANT7天线回流产生的磁场干扰从camera模组头部进入到sensor本体。
- Camera deco 接地不良，主板上螺丝孔挖露铜后+ 去掉ANT7 LDS天线，只有ANT N78 MCH 有mipi error, 概率降低50%以下
- camera 模组头部贴铜箔到Receiver后，2台测试ok，改变了天线ANT7的回流路径产生的磁场干扰
Action/Solution：
主板上Deco弹片接地区域露铜并增加过孔，确保Deco接地良好。EVT后期Deco下地弹片检查已镀金； —— DVT1已改入；
去掉ANT7备用 LDS天线
更改camera背面石墨片和receiver连起来，改变ANT7的回流路径，测试2台pass---导入DVT1 二供
Verfication：
DVT1 自测三台 pass
</t>
  </si>
  <si>
    <t>LINK</t>
  </si>
  <si>
    <t>Issue：SW细节bringup 发现 没有放到TX上的时候DET 信号有时候高电平有时候低电平。（这原本是用来作为放到TX上枚举成功的判断中断）
impact:没放到无线充时候，有小概率会意外识别为有无线充？
rootcause：1.外部没有加下拉电阻，导致GPIO浮空 （平台内部下拉电阻阻抗范围太大 10K~50K，不稳定）
                      2.厂家的GPIO输出电平配置没有按照我们需求配置为1.8V（当前测量是1.2V）
solution：  1. DVT1 是SW配置 GPIO no pull  +HW 外加47K下拉电阻+FW配置1.8V GPIO输出。    （HW 发版 1/16 已经改入stack 板子）    
                    2.  EVT ： 是SW配置 GPIO no pull  +HW 没有外加下拉电阻+FW配置1.8V GPIO输出  。这样的情况是，EVT机器当刚关闭无线充时候，有可能会有残留电压，导致GPIO 还继续判断到高电平。 大部分情况是ok的。
 长期：后续项目默认Det 信号都增加47K 下拉电阻。</t>
  </si>
  <si>
    <t xml:space="preserve">Issue： EVT  ALT WH202971  PRC 
1:Accelerometer failed functional parametric test,Recovered after reboot:A1/B2(1)-TH/TC 抓log分析
EVT ALT WH203016 APEM testing 1/17
Accelerometer failed functional parametric test,recovered after reboot:A1/A2/B1/B3(1)-TH/TC,B2(1)-post drop,A3(1)-post shake
分析 ：1. 温冲异常在升级A+G三轴正确方向后不复现。
 loop3振动完做全部检查时发现1pcs A2 (XY正常，Z保持-79左右)，loop4跌落新增2pcs B1 B2(XYZ值不变化)
 SW说TCC使用的测试版本太旧，交给vendor去分析。继续跟踪。
 2. 和邓玲确认EVT是否还有实验可以复测？需要确认能使用的版本。
</t>
  </si>
  <si>
    <t>小熊</t>
  </si>
  <si>
    <t xml:space="preserve">EVT Tumble WH202942 PRC
Flicker sensor no function,recovered after 100 tumbles:D1(80)
EVT Tumble WH202981 APEM
2:Flicker sensor no function,recovered after reboot:D1(200)D3(60)D4(100)-CR129483
分析 ：问题分析需要抓有效log，TCC  加滚2pcs各100次，不复现，所以未抓到有用的log。先monitor。
</t>
  </si>
  <si>
    <t>ISSUE：EVT ：TCC ESD 中发现机器自动关机 ，厦门自测发现自动重启1次。
Rootcause：是场干扰模型而非直接击中信号线或者器件。  
场干扰故障模型的原因推测：1.这个场大概率是 由于大金属块接地不好导致的场太强 。  2.周围的地贯通速度不足以吸收  当前很强的场干扰。 
优化方向：临时加强deco 接地，压测pass
solution：1.改变场 ，加强大金属块的Grounding。2.增加 PMIC 本体区域及周围的Grounding，板子多打地孔，特别是贯穿孔（ 要有大孔，大孔附近也要有好的小孔，才能形成贯穿导通）</t>
  </si>
  <si>
    <r>
      <rPr>
        <rFont val="Georgia"/>
        <sz val="11.0"/>
      </rPr>
      <t xml:space="preserve">Issue：ESD在CD:8KV下，在Deco区域和侧边出现Flicker Sensor软失效、auto-recycle。
Analyze：1. 厦门摸底机器，已导出Ramdump —— </t>
    </r>
    <r>
      <rPr>
        <rFont val="Georgia"/>
        <b/>
        <sz val="11.0"/>
      </rPr>
      <t xml:space="preserve">软件分析是触发了PMIC（PMIC_B_E0） OCP保护，导致PMIC触发RST复位。
</t>
    </r>
    <r>
      <rPr>
        <rFont val="Georgia"/>
        <sz val="11.0"/>
      </rPr>
      <t xml:space="preserve">                  2. Deco弹片主板EVT无露铜 —— </t>
    </r>
    <r>
      <rPr>
        <rFont val="Georgia"/>
        <b/>
        <sz val="11.0"/>
      </rPr>
      <t>DOE实验：原始状态 CD:6kV下就复现Flicker无功能；刮开露铜, CD:8kV，AD15kV各打100次均无出现问题。</t>
    </r>
    <r>
      <rPr>
        <rFont val="Georgia"/>
        <sz val="11.0"/>
      </rPr>
      <t xml:space="preserve">
                  3. ANT0 Cable 测试CD 8kV下ESD波形，Peak电压有491V，对比Equator ANT0为250V —— Aviator天线小板是新的设计，馈点弹片和下地弹片很近且取消侧弹，相较于Equator天线小板上路径会短一些。
RootCause：1. Camera Deco 两个接地弹片主板对应区域没有露铜, 增大了Flicker板上Deco下地弹片的泄电压力，进而导致I2C干扰。 —— Flicker软失效；
Solution： Flicker 软失效：
                    1.  主板请结构输出Deco对应弹片接地区域(已增加到CheckList) —— DVT1已改入；
                    2.  增加Flicker弹片过孔下地过孔 —— DVT1已改入；
                    3. 确认Flicker Sensor  Recovery机制 —— 目前已确认有这个功能，现在软件是否打开正在确认。
                    Auto PowerOff/Cycle：
                    1. 增加ANT0天线小板过孔下地过孔  —— DVT1 已导入；
                    3. ANT0主板RF端预留TVS位置，加强下地。</t>
    </r>
  </si>
  <si>
    <t xml:space="preserve">Issue: 产线报有4pcs机器主板，在4GBT站点出现浪涌管D3500,D3501烧毁；
Analyze：1. 和产线TE确认，用的是为准K6206-V20  20V 5A的电源，和之前北京Team遇到的浪涌管烧毁问题一样。
                  2. 高通SM8845平台开机过程电流大，会超过为准电源的5A输出能力，导致突然有大电流抽电时，电源会顺势加大功率补偿，进而导致电压异常抬升，触发EOS浪涌管导通烧毁。
                  3. Urus 02版本VBAT浪涌管选用ESD56201D04-2_TR（性能较差，我们已启用），最终选用Prisemi-PTVSHC2EN4V8UF（看Spec参数，和我们ESD56301D04基本一致）；
RootCause：产线为准K6206程控电源输出能力和控制速率不够，导致电源异常抬升，触发EOS浪涌管导通烧毁。
Solution：1. 产线增加浪涌防护板；—— 目前产线有1pcs样品，批量至少需要4周，估计要到年后才能上产线。
                    2. 优化开机电流到5A以下： 目前软件确认是有导入Urus的降电流Patch，但是实测开机电流还是有6A， 已反馈请软件评估进一步优化机会。（工厂build kernel 配置文件没有走perf配置, 走的是debug配置）—— Owner：Jichao Zou；
                    3. 调整程控电源控制程序，取消VBAT电压调整； —— 修改中；
</t>
  </si>
  <si>
    <t xml:space="preserve">Issue: Alt 3台滚筒 不开机，1台MIL不开机.
    故障现象：开机了反应速度也比较慢，关机后，插充电器充电5V/0.3A
RootCause：电池连接器松了， 甚至主FPC也松了
Solution：ME </t>
  </si>
  <si>
    <t>4.EVB</t>
  </si>
  <si>
    <t xml:space="preserve">Issue：后置camera SOIS I2C 读写不成功
rootcause：SW i2C 端口设置不成功
Solution：软件setting                  </t>
  </si>
  <si>
    <t xml:space="preserve">Issue：前置bringup camera不出图
rootcause：MIPI timming THS-settle(ns) 不满足协议要求
Solution：修改MIPI timming
                     </t>
  </si>
  <si>
    <t>Issue：bringup 发现快充IC插入USB时候能识别到，拔掉USB就识别不到。
rootcause：快充IC的Vbat 和 主系统的Vbat_Plus 没有连接上。（还有B_plus  等网络名接一起，但是VBAT 没有和VBAT_PLUS接一起，由于都有电容，所以不会自动报单端网络。 
Solution：EVB ， C6425电容的左侧 飞线到 C3808 电容上端.  ongoing
                     EVT 及之后，原理图更改，Vbat 和Vbat_Plus 连接上。 done
长期：checklist 里面专门特别加一条，Vbat 和Vbus 需要确认和主网络连接。（因为这两个网络板子上会多个地方使用，原理图上有很多的网络名，而且基本都有电容导致不会报单端，相对容易漏过。）</t>
  </si>
  <si>
    <t>13.Discrete</t>
  </si>
  <si>
    <t>Issue：OK2P发现2pcs 电容C2620与屏蔽盖SH1002短路造成大电流，F/R 2/3000=0.0066%
Analyze: 1.C2620使用器件21014016001，包含村田，太诱，三星三家物料，村田&amp;太诱 高度为0.8±0.2mm/0.8+0.2mm，三星高度为0.8±0.25mm，且三家物料均走上公差。
2.21014016001 实际高度应为1.05mm，而结构建模该料号器件高度为0.88mm
3.C2620处于屏蔽盖边缘，屏蔽盖在C2620附近有个斜坡，器件与屏蔽盖斜坡之间gap=0.14，器件走上限容易干涉
4.OK2P 使用的物料为高度最高的三星物料
Soltion：1.屏蔽盖改模，取消斜坡，增大与电容之间的Gap
                  2.处于屏蔽盖边缘的C2620等6pcs器件更改为不含三星物料的新料号:SC48E75627
                 3.屏蔽盖改模前，21014016001,SC48E75627只发murata物料给Terrain，以满足生产需求</t>
  </si>
  <si>
    <t>院长</t>
  </si>
  <si>
    <r>
      <rPr>
        <rFont val="Georgia"/>
        <sz val="11.0"/>
      </rPr>
      <t>Issue： CB 认证反馈 2.        Q.1测试，电流超了8A （具体代表什么意义待 和battery KP确认）
Impact：推测：不能宣称满足Q.1 LPS ，只能宣称PS2
Rootcause：因为电池的对外输出能力越来越大，所以自身不能限制到能pass 8A的这个放电限制 。
                      （测试方法是 短路充电IC的输入和输出，就是将Vbus 和Vbat 短路 ，多少个充电IC就分别短路多少次，分别测试，用来判断整个系统在异常情况下 外部能抽到的电是安全范围的。</t>
    </r>
    <r>
      <rPr>
        <rFont val="Georgia"/>
        <color rgb="FFFF0000"/>
        <sz val="11.0"/>
      </rPr>
      <t>标准8A 或者100W 是个认证固定标准</t>
    </r>
    <r>
      <rPr>
        <rFont val="Georgia"/>
        <sz val="11.0"/>
      </rPr>
      <t xml:space="preserve">）
Solution：      两个选择 
                                   2.1   尝试正向解决：在OTG场景，监控Ibat ，当Ibat 大于某个值（比如6A ），就关闭OTG （包括OTG 对外输出的OVP mos 管 ） 。 原理上推断有机会可以解决这个case  。需要SW进行逻辑更改 ，请SW评估下是否进行更改以及更改plan @Wei Wei9 Xu
                                   2.2  选择放弃这个项 的符合，宣称不支持 。 负面影响是什么，RD无法判断 ，需要请  认证同事 帮忙多确认下  @Xingxing XX18 Wang@Weiting Wt1 Sun
</t>
    </r>
  </si>
  <si>
    <t>IKSWW-163405</t>
  </si>
  <si>
    <t xml:space="preserve">RISK : 加州能效测试，临界fail 了TMO要求的70% 的加严标准
Impact：对Terrain项目本体无影响，因为没有NA SKU，作为内部测试参考项，不强制pass。
                扩展：Artura 同平台，推测会有面临这个问题，所以需要提前触发给SW 研究解决方案，但是非紧急事件
rootcause：第一阶：关机充满电后，还有5V100mA。这个满电维持电流太高了，一版要稳定过加州能效，在60mA以内比较有机会。  为什么满电后维持功耗这么大？
                      第二阶：memory 是否配置低功耗模式？           
</t>
  </si>
  <si>
    <t xml:space="preserve">RISK : MTK 要求这个项目增加SPMI在不同地方进行尝试（CPU，PMIC ，以及PMK 都测试）， 并且增加 glitch 指标。 当前刚完成该测试，发现SPMI 靠近CPU端的Glitch 指标严重超标。
</t>
  </si>
  <si>
    <t>范南</t>
  </si>
  <si>
    <t xml:space="preserve">Issue：BB和SW 测试发现最近的SW版本，手机低电量 1%~2% 开始充电，充几分钟后无线充电大概率异常 ， 故障现象有三种
1. 充电图标一直在，但是充电电量不上涨反而降低最后没电关机了，变成关机充电 
2. 充电提醒反复出现  
3. 提示位置放偏了 
Impact：低电量的手机+moto 15W 无线充电器充电 无法正常工作（充电到2%~5%会停充 或者 出现一些异常提醒 ）。以及推测一些第三方有类似保护功能的TX 也会出现无法工作的问题。
Rootcause：    根因1 ：主充电IC MT6375 检测到 IC端的Vbat=3.6V的时候短时间关闭batfet再打开   -》电池端能吃下的负载瞬断1.5ms左右-》无线充IC输出功率瞬间出现一个大约14W的功率骤然下降 
 根因2：无线充IC 功率骤然下降-》  MOTO 15W TX 触发 OVP-》TX 主动降 VPA--》TX降频 + 拉满 duty 补功率-》TX IPA 超限触发 OCP 》TX 切断输出》RX 侧 vout/iout 骤降甚至关闭。
solution：
           Action1：MT6375 batfet转换节点电压 从3.6V改为3.4V （降低可能出现问题的电量比例 ） 
Action2：无线充开始枚举的时候，如果判断到电量低于10%的时候 就限制无线充功率到10W ,如果判断到电量大于 10%的时候按照15W工作 。
         两个Action 在1月28号进入SW主线。
 长期：MTK平台建议选择  使用类似的方式，低于10%的时候降低功率到10W 来规避风险。  
        高通平台目前看PMIC没有类似MTK的这个特性（ 高通PM8350B看到的点是Vbat~=3.05V就已经将batfet 完全打开了） 对应项目最好也再确认下
</t>
  </si>
  <si>
    <t xml:space="preserve">Issue：IKSWW-111442 Vertical streaks appear on cameras 1X-2X (摄像头1X-2X出现竖纹) B2GID:328394128
Analyze: 1. DVT1 样机插联通SIM卡，户外，开NFC，开WIFI（未连接有效网络），预览或者录像时发现有偶发竖条纹。
                 2. 隔天不复现; 
                 3.拿到样机后，复测主camera天线干扰测试4次，均pass
                 4.联通注册网络为LTE B1，B3,  NR N1和N78 ， 只在这四个频段切换。从天线结构看，N78在camera周围的ANT5和ANT7，按照最大功率26dbm发射测试多次，ANT8 B1 24.5dbm 发射多次也未出现，并未出现异常。B3, N1 在ANT8在，远离camera deco, 远离camera，从理论上不存在干扰主camera的问题。
                 5.NFC待验证
</t>
  </si>
  <si>
    <t>Issue1：DVT1B ESD 报两台D1,D3机器ANT6 Fail(RX3 B3 B41 B66) ，D4一台 ANT0 Fail(RX0 B28);
Analyze: 1. ANT6 ：Tuner NG；
                 路径：SideKey处进入；
                 Diff：Sikekey音量上按键天线包塑处露金属；
                2. ANT0：Tuner NG；
                路径：SPK开孔处进入；
                Diff：SPK口密封胶圈装配偏位；
                 共同差异是天线TVS换成二供Walsin-TLE1020。
Action: 1. 设计DOE实验判断更换Panasonic ATVS是否有效；
              2. 验证新ATVS: TUE10201V06B0性能，是否能完全做一二替代；
              3. 请结构判断是否有机会拉齐二供的质量 
                       1）天线塑胶完全包住；
                       2）确保SPK密封胶圈装配正确；
Solution：1. op1：更换性能更好的二供ATVS - TUE10201V06B0 ； op2： ANT0/AN6点位用松下ATVS，其他点位用二供ATVS；
                    2. MB/SUB板 TVS以及下地电容走线优化，Sidekey FPC增加露铜吸引静电；——DVT2B发板已改入</t>
  </si>
  <si>
    <t xml:space="preserve">Issue1：产线反馈DVT1 试产中部分中途整机升级的机器中出现不识别NFC,更个stack 板子后可以识别，再装回去也都可以正常识别，直接板测阶段升级软件的机器没有出现过。
Analyze: 
1.验证硬件通路是否正常。---从Stack 板测量，开始时候有I2C 信号和NFC_CLK。说明NFC 硬件通路是正常。
2.若SW FWDL流程后，NFC 芯片可以恢复，可以正常工作。
Rootcase：
发送以下的reset指令后，因为一直收不到IRQ, read就会失败，然后就读不到信息， 驱动层面nfcc_hw_check 就不能成功的获取chip type，然后nxpnfcinfo 尝试从驱动获取 nfcc info 的时候 获得的就是0， 然后就不会去 设置 vendor.qti.nfc.chipid.  当前因为涉及到PN560 和SN2260的混用，只有 vendor.qti.nfc.chipid 被设置之后 NFC hal才会真正开始工作。第一次发送 nci_reset_cmd 之后， IRQ 一直没有被拉高，然后即使用polling mode也 read失败 目前从我们抓到的波形以及log看，还是芯片不响应。
Solution ：
在NXP的I2C 驱动这边加一个逻辑，如果probe的时候  nfcc_hw_check 没有成功获取信息，  nxpnfcinfo 尝试通过IOCTL获取 nfc info的时候，驱动再次去和芯片交互。     </t>
  </si>
  <si>
    <t>Issue: 产线出现2pcs Slave 快充测试fail主板，X-RAY无问题， ABA 交叉确认故障跟随 快充IC U2651 。 total 600pcs
Analyze: 1. 一供快充IC SC8586A寄给vendor 分析，   Vendor 分析结果是IC没有问题 
                       12/18 返回IC，产线安排复测故障不复现，如果按照以往的逻辑判定，这个可能就是焊接性问题。
                    2. 通知产线如果再发现同样问题，需要抓取log 分析下线索。
Solution： DVT2 没有复现问题，close</t>
  </si>
  <si>
    <t>[s1]Issue ：Terrrain EVT 自测天线干扰camera拍照时，EVT1 2台/6台 主camera 被ANT7 N77&amp;N78干扰
Clue:  1. camera模组和FPC远离主板 ok
            2. 和天线无关，将主板拆出，camera FPC贴在主板器件上，EVT1和EVT2整机搭配一二供模组都会出现条纹干扰
 Root cause:
    Camera FPC装配后，FPC贴在主板上ANT7的通道上，当ANT7 N77和N78发射时camera 被干扰
Solution：Add copper foil on FL3304 ，Shield the source of interference
Verification： DVT1 一供 base  2/ 66pcs 
                           DVT1 二供  copper  100 pass</t>
  </si>
  <si>
    <t>[s1]Issue ：Terrain EVT 自测手电筒亮着时，强制关机，这时候闪光灯会一直亮着，直到开机后，软件初始化再关闭手电筒
Clue:强制关机时未走完整的下电流程，导致没有ENpin 控制的闪光灯驱动IC AW36518 ，长亮着
Solution： Terrain没有实际的用户场景，不做修改。
                   针对日本SKU有强制要求的，需要使用有ENpin的闪光灯驱动IC
后续项目： 1. 选用带ENpin的闪光灯驱动，继续寻找一颗用于替代AW36518
                      2. 目前AW36518如果要使用，新的硬件接线方式需要给TX增加一个GPIO控制，并和软件确认闪光灯寄存器设置</t>
  </si>
  <si>
    <t xml:space="preserve">
[s1]Issue ：Terrrain wide camera 预览可以看到有竖条纹。
Clue:  1. wide  Camera 远离主板竖条纹消失，越靠近主板现象越明显
            2. wide Camera 下方有PMIC器件，去掉隔磁片，图像上有非常明显的干扰条纹
 Root cause:
 Wide camera放在PMIC屏蔽盖下，电源干扰到camera sensor，EVT整机camera下方有贴隔磁片在PMIC屏蔽盖上，
但是装配后，未完全覆盖camera头部，导致有磁泄露
Solution：
 EVT2更改隔磁片贴到wide camera模组上，隔磁片尺寸和wide  camera一致，待EVT2整机导入
Verification
EVT1 导入次方案后，效果ok
EVT2 2供模组依然还有问题。因为一二供模组有差异，隔磁片有包边后，实际有效面积内缩单边0.5mm+
DVT1方案： 结构优化隔磁片，不算包边，需要隔磁片能覆盖住模组底部。手工检查7台ok，2台实测RCN pass</t>
  </si>
  <si>
    <r>
      <rPr>
        <rFont val="Georgia"/>
        <sz val="11.0"/>
      </rPr>
      <t xml:space="preserve">Issue: 产线出现2pcs无触屏主板，X-RAY无问题，测量Touch_VCI_3P3无电压，Touch_VIO_1P8开机过程中会有1.8V，5s左右掉电，测量TP所有线路二极体阻值正常;
Analyze: 1. 请产线重新刷27软件，没有解决问题；
                 2. 1#主板更换LDO和PMIC，故障依旧，通过ADB命令回读GPIO状态，没有grep到对应PIN，
                 3. 1#主板产线自行更换了CPU，不重刷软件，TP电压和功能均恢复正常。
                 4. 1#主板 怀疑是CPU问题，但是没办法交叉验证（CPU是POP的，EVT没有钢网，产线没办法将故障CPU重新焊接到OK的主板上）。2# 故障主板直接抓Log，软件判断是AP读不到TouchIC的ID，导致初始化流程没有跑下去。且Log中没有看到OCP或者其他的保护类报错。
                 5. 请产线X-RAY照了下2# 故障机器SPI部分的焊点，未发现明显问题。
                 6. 2#主板对比测量NG-CPU SPI阻抗，发现CLK  MOSI 这两组稍微偏大了点。
RootCase：怀疑可能和CPU有关？
Solution：1. 确认无法交叉验证方法后，2#主板也更换CPU确认下故障是否消除。
                    2. CPU寄给MTK确认—— 已经请wenting帮忙和MTK沟通，邮件已经反馈了我们这里的分析信息，2pcs主板；
                    3. MTK反馈管脚IV曲线测试没有发现异常，返回武汉处上板验证，依然不良，已重新寄回MTK处返回台湾ATE进行分析；—— 12/1
更新： 12/19 MTK返回分析报告，判断2pcs CPU分析结果为EOS损坏 </t>
    </r>
    <r>
      <rPr>
        <rFont val="Georgia"/>
        <color rgb="FF1155CC"/>
        <sz val="11.0"/>
        <u/>
      </rPr>
      <t>link</t>
    </r>
  </si>
  <si>
    <r>
      <rPr>
        <rFont val="Georgia"/>
        <sz val="11.0"/>
      </rPr>
      <t>issue：After 150V surge pulse test,fast charging no function,OTG no function,headset no fuction:D1/D2(Vbus)-
推测：可能1.快充IC的OVP控制模块坏了。如果是这样，有预留串联电阻可以加上电阻进行复测。 
Analyze：1. D1机器测量VBUS对地，D2:正向45.5K，反向5.1K，D2：正向
分析：插入充电器，有电压，没电流。插入OTG，看到输出电压只有3V。 拆机测量 OVP 前后的Vbus 电压波形，发现两端电压不等，插入充电器，OVP后端只有1V电压，所以不能正常充电，虽然OVP前端检测到有充电器插入了。 OTG时候，发现后端电压5V，但是接口端3V。 根据以上信息，可以判定，快充IC的OVP控制模块坏了。 根据历史经验评估，OVP模块 坏了，就是浪涌从vbus sens pin 进入，超过了IC的耐受度而损坏了相关OVP控制模块。
解决方向：快充IC的OVP串联电阻，提高这个pin的抵抗力。根据经验以及vendor的信息看，希望加10R~22R之间的电阻。 目前项目上建议直接上最大值22R。 然后尽量小板浪涌管加强接地和走线尽量优化（具体看板子的情况）
Rootcase： 浪涌太大，超过快充IC的OVP sens pin 的耐压36V，导致这部分电路烧毁。OVP 模块无法工作导致充电相关都异常，包括OTG。
Solution ：1. 小板浪涌管下地加强——DVT1已导入
                    2. 快充IC Vbus 侦测pin  预留的串联电阻R2600，从0R改为22R，料号：0613952X33 .---</t>
    </r>
    <r>
      <rPr>
        <rFont val="Georgia"/>
        <b/>
        <sz val="11.0"/>
      </rPr>
      <t>EVT rework 验证，11/24出结果，一台250V Fail，一台500V Pass，结果均Pass（高于200V）</t>
    </r>
    <r>
      <rPr>
        <rFont val="Georgia"/>
        <sz val="11.0"/>
      </rPr>
      <t xml:space="preserve">
                           DVT 1 原理图已提交对应的更改。
                    3. 二供两台机器EOS Fail，分析发现一样是OVP控制模块的问题，测量发现OTG可以工作，但是死电池没办法充电，判断还是VBUS SENS PIN损坏导致。（OTG输出时，VCHG有电，OVP模块可以正常工作。死电池时，OVP模块没办法从VBUS SENS PIN取电，所以打不开OVP）
                    4. 一供250V Fail的机器，分析问题同二供机器。
DVT1 pass</t>
    </r>
  </si>
  <si>
    <t>RPA FA link</t>
  </si>
  <si>
    <t>3.BOM</t>
  </si>
  <si>
    <t>Issue：产线反馈，CQA1  有些机器无线充测试fail ，情况2
Analyze: 1. FW 升级成功后，有些机器测试依然fail 。数量不明。（因为被FW升级失败的前置case 给掩盖了）
 杨楠的机器证明是这种情况，拆开机器后，弹点上基本上没有压痕。飞线焊接后ok
                    更多故障机还在筛选返回，预计11/24 会有2台类似故障机器到厦门 ME ， ME分析定位为后壳被顶起，导致接触不好（按压后壳后，可以无线充了）（同批机器切片发现，后壳有顶起 大约0.27 ,更具体数据见ME的报告）
Rootcase： 弹片和coil 接触性问题。 推测  是小A壳变形导致的接触不上（可能是边上泡棉顶起来了）
Solution ：ME 主导
DVT1 ok</t>
  </si>
  <si>
    <t>IKSWW-75804</t>
  </si>
  <si>
    <t>Issue：产线反馈，CQA1 32.3% 机器无线充测试fail
Analyze: 1.情况1FW 升级失败，这个对应CR 。拿到两台机器功能都恢复了。 针对这个情况下一步：出临时FW版本来回刷，看下是否可以复现故障。然后分析具体原因和电压波形情况
                 2.情况2 有1pcs机器可能真有问题， N0TI050112 这台的故障是stack 小板弹片由于首板焊接过导致的问题。 这个已经手写首件，没想到还是拿来装配了。 （这明显外观不良。忽略 ） 。         
Rootcase：FW 升级失败：1.1  由于无线充再stack 板子上，所以BT站点测试无法给无线充IC升级FW 
                                                  1.2目前开机升级FW，是一开电，IC供电电压不稳，就立刻进行FW操作，导致概率性失败，电池电量低的时候fail概率越大 。 （而EVT产线就是不插充电器直接开机的，没有一次插充电器再开机的操作，电量又比较低，因为前面的站点也没测试来卡控电量，恶化了这个情况）
Solution ：1.1 FW操作在给电源后，delay 25ms ，然后再进行FW操作。（这样更保险，避免供电不稳就开始操作引起失败）--待SW更改后测量波形确认 。plan 11/25 
                      1.2 站点测试看是否可以双保险，自动化测试，直接执行强制升级命令  并回读FW版本来确认升级成功 ---SW 和 factory 沟通完成，DVT1 正式导入
DVT1 ok</t>
  </si>
  <si>
    <r>
      <rPr>
        <rFont val="Georgia"/>
        <sz val="11.0"/>
      </rPr>
      <t xml:space="preserve">Issue：产线反馈，出现1pcs闪屏，交叉验证故障跟随主板。（周六反馈CQA1检出来2PCS，产线检出来3PCS，待确认）
Analyze: 1. 请产线在白屏状态下调节屏幕亮暗，发现闪屏频率没有改变，调整分辨率也没有改善。感觉和ELV关联性不大
                 2. 抓Log给软件分析中；
                 3. 已经请产线寄一台故障机N0TR050117回来分析。
               11/10：log软件分析，闪频是触发了ESD Recovery机制，等待周一新版本复测看看 —— 测试30min，无出现闪屏；
                 4. 通知工厂故障机刷96的版本验证
Rootcase：VTDR的DDIC的ESD Revovery机制需要在HS mode下读取，之前的版本是在LS mode下读取导致。
Solution：1. </t>
    </r>
    <r>
      <rPr>
        <rFont val="Georgia"/>
        <b/>
        <sz val="11.0"/>
      </rPr>
      <t>产线工厂模式验证了4台故障机刷了新版本，CQA跑了一遍循环，未再复现闪屏；</t>
    </r>
    <r>
      <rPr>
        <rFont val="Georgia"/>
        <sz val="11.0"/>
      </rPr>
      <t xml:space="preserve">
                   2. ESD检测模式修改成HS mode改入主线。—— Done</t>
    </r>
  </si>
  <si>
    <t>ISSUE: VBAT D2751反馈异常，EVT Bringup文亭手头板子大电流，以及芳梅手头一台机器都有出现。
Analyze：1.测量电阻，没看出异常，反向19.85K，正向∞，和正常的比对差不多？
            2.产线去掉CPU 屏蔽盖后故障消失
           3.发热点位置在快充IC附近，而且是靠近左下角slave 快充IC附近 
Rootcause： 推测：CPU 屏蔽盖有些金属造成短路 和 快充IC大电容 短路造成大电流透过快充IC。非常临界，加热等操作都有可能破坏现象
Solution： 1.ME 主导确认屏蔽盖本体问题和解决。 2. Impact：EVT的机器随时可能会自动关机。</t>
  </si>
  <si>
    <t>ISSUE： MCHG NTC 温度读值不对？（AUXADC_MT6375_NTC）
rootcause:  双贴了NTC
solution：EVT change SCH &amp; CPB&amp; BOM ，remove 1 pcs NTC</t>
  </si>
  <si>
    <t>德太加</t>
  </si>
  <si>
    <t xml:space="preserve">Issue ： "Micron UFS doorbell time out(IKSWW-100968)：问题出现在2台DVT机器，1台PVT机器
 Log分析，出问题时，UFS无反应，只有等watch dog time out reset才能恢复，所以QC的增加timeout方法不能解决问题，重点还是需要推动Micron分析原因。 
 Micron 分析：初步给的结果是 log 看到VCCQ 低于器件SPEC门限的log信息。电压最低到达1.12V ，低于器件SPEC 低门限 1.14V 。                          
Rootcause：Suspect1：VCCQ 电压低于器件SPEC 低门限 1.14V。
                       2.但是是推测，不能确认是否是rootcause ，需要micron 继续分析。
Solution： Action1：SW 更改VCCQ电压输出设置，从1.08V~3.04V 改为 1.14V~1.26V ，initial 电压1.2V  要更改才有效 
                    Action2 ：相关的电源  更改LPM mode 为NPM mode               </t>
  </si>
  <si>
    <t>issue 汇总页面</t>
  </si>
  <si>
    <t>Issue ：Dallas 故障现象，runin 过后，有的机器插入快充充电器 就出现 反复出现充电图标的故障现象。   插入 USB 和10W充电器，没有故障，可以正常使用。 重启机器后恢复  。 DVT1 RUIN 后的机器出现2pcs （1.27%），PVT RUIN 出现15pcs （2.11%）（截止11/27 统计数据）
Rootcause： dallas 电量计从NFG1000A升级到MPC8011B  ，主要优势是 MPC8011B的运行内存加大。但是 ，FW设计的时候I2C控制逻辑部分的代码运行空间 从 原来空间 转移到 新扩散的空间中，而新空间的运行速度慢一些， 和 I2C timeout的逻辑 存在逻辑冲突， 存在逻辑漏洞，有低概率导致芯片进入deepsleep模式。一旦进入这个模式会拉住I2C总线，进而导致开机的时候快充IC初始化失败，就出现了接快充充电器插入的时候 反复出现充电图标。
其他线索：目前从fail log 中发现，这种情况下，反复读取电量计后，I2C总线会恢复过来。所以就有了workaround的思路。                      
Solution：  1 Workaround ：开机的时候对电量计先进行持续读取让I2C总线能活过来，然后再进行快充IC初始化。---plan SW 11/28 进入主线。
               2.根除方法：Vendor 将I2C控制代码改回到和NFG1000A 一样的空间，来保证电量计本身不存在这个bug。 
                2.1 PVT末段的剩余电池，协调厂家过来对电池本体升级后再装机， 并安排压测确认没问题 了---- close
2.2 量产来的电池需要更改过来----ongoing，KP 闲军跟踪中
其他信息：Avenger 也同时出现一样的问题。解决逻辑和dallas 目前安排的一样。</t>
  </si>
  <si>
    <t xml:space="preserve">Issue：近期生产线与测试环节出现大量的eSIM概率性掉卡问题。经初步分析，软件层面发现有接收中断（Rx Break） 的异常记录。
CR：IKSWW-60856/ IKSWW-61451 / IKSWW-57936，其现象与本问题一致，但缺乏关键的Modem日志。需要安排重启后进行压力测试，复现问题并抓取Modem日志。
Analysis:
1.工厂环境下的“假性”掉卡：现象：在工厂版本的软件上，执行 -w 命令（恢复出厂设置）后均会出现掉卡现象。本质：底层Modem实际仍能识别到eSIM，但系统UI界面未能及时刷新状态，从而显示为无卡。
2.真实待机下的“真性”掉卡：现象：设备在待机状态下，eSIM会彻底掉卡，无法识别EID。此问题在原有机型上概率约为1-2天出现一次。触发条件：当SIM卡槽1（SIM 1）插有实体卡时，eSIM掉卡的概率显著提升。其触发率遵循：实网卡 &gt; 测试白卡 &gt; 无卡。
根本迹象：通过逻辑分析仪抓取波形发现，在eSIM掉卡前，其通信波形（CLK, I/O, RST）均正常，但eSIM芯片本身无响应，疑似进入“死锁”状态。
临时恢复手段：只有重启设备才能正常识别。此外，实验发现通过NFC向eSIM发送一个复位（RST）信号，可触发Modem重新为eSIM上电并识卡，也能实现恢复。
Root Cause: 经深入排查，问题的根本原因锁定在Modem与eSIM芯片的初始化流程上：Modem复位时，未向eSIM芯片发送必要的 Terminal Profile 指令。由于该eSIM芯片（Thales供应商）默认开启了 UAP（USAT Application Pairing） 功能，此功能若未收到Terminal Profile，会在255个周期后自动关闭eSIM，导致其进入 Mute（静默/无响应）状态。
Solution:
1.SW :      向高通（Qualcomm）提交案例，申请修改Modem底层代码，确保在卡复位流程中必须发送Terminal Profile指令。   
2.eSIM :       Thales获取默认关闭UAP功能的eSIM芯片或配置文件。 
3.HW:       在PVT 2nd 阶段，修改PCB板设计，在eSIM的VSIM供电线路上串联电阻，以隔离来自SIM2的潜在电源干扰。 </t>
  </si>
  <si>
    <t xml:space="preserve">ISSUE：case3 DVT1 BT 站点测试 有7pcs（截止10/13）二供主板slave Chargepump 固定fail 在 ACCESSORY_CURRENT_CAPSWITCH_Slave，至少包含：N1DA1D0187，N1DT170182，N1DT170181
N1DA1D0103，N1DN1V0101。N1DA1D0170 和N1DT170148 （10/11 增加）
Rootcause： 1. double 确认结果：板子装机，用68W充电器功率到不了68W，只到30+W就重新从0W开始了，这个是slave CP fail 的一种表现。
2.抓log 正向分析--slave CP I2C不成功，初始化时候就开始不成功
3.故障板子N1DA1D0170产线 测量R2837=6.24KR左右，和中值6.19K差不多，地址选择电阻看起来没问题。
    【10/27】：1.故障厂家确认可以拦截。现在加入拦截机制，并且要留出一定的margin。11/1 前提供1000pcs ok 物料给到moto 做验证。（目前我们外部设置的地址选择电阻在6.19KR，新加拦截机制检测门限在6.4KR 以上pass。）
                  2. 根因分析：目前推测是制程问题导致 的 地址选择pin 的电流检测门限偏差（最后等效为 电阻检测范围偏差）
                      10/28 会和厂家第二沟通会议，待更进一步确认厂家 更深层次的根因。（包括 不同批次的偏差情况，以及后续长期拦截的门限值是否要调整 等相关问题讨论。）
Solution：【10/30】：Action 1.厂家确认增加拦截，拦截到6.5KR for这批物料，第一批1000pcs for Dallas，计划 10/30 发出，预计11/1 到达武汉。
                   2.设计上我们选用4.99KR 1%进度电阻来加大margin （根据供应商的整体数据仿真，最低容许电阻门限在6KR左右，咱们选择小于这个范围的值就没问题），确认不会再出现类似故障。（寄过去的故障品用这个阻值试过也都ok了的）  PVT 8+256 的BOM 试产这个物料，  PVT试产结果- 301 pcs ，all pass
close </t>
  </si>
  <si>
    <r>
      <rPr>
        <rFont val="-apple-system, BlinkMacSystemFont, &quot;Segoe UI&quot;, Roboto, Oxygen, Ubuntu, &quot;Fira Sans&quot;, &quot;Droid Sans&quot;, &quot;Helvetica Neue&quot;, sans-serif"/>
        <color rgb="FF1155CC"/>
        <sz val="11.0"/>
        <u/>
      </rPr>
      <t>IKSWW-59901</t>
    </r>
  </si>
  <si>
    <t xml:space="preserve"> ISSUE：4G BT 站点 shipping mode 电流测试项fail ，retry pass 。IKSWW-51092 ，复现概率极低（2%左右）
Clue：0. dallas Vbat 就连着两个快充IC和PM8350B。也就是板级测试执行shipping mode后，只有这些能漏电
             1.从故障板子看，测试到的电流有时候小，有时候变动
             2. 故障板子拿到后，测试漏电流，底电流正常
             3. 故障板子拿到后，测试shipping mode ，电流正常
             4. 故障板子拿到后，先操作快充的ADC后，直接测试shipping mode ，Ibat 电流再900~1200uA之间跳变，和产线反馈的故障机的400+uA 和 70uA之间跳变的结果不匹配。 
Rootcause：suspect ，4G BT 站点测试后，某个器件没有正常关闭，导致漏电流过大。（而且是波动的电流）---怀疑方向就三个：  两个快充IC 和PM8350B
                  下一步：1.临时测试包，去掉4G BT站点所有充电相关测试项，压测，看是否会复现问题。 
                         方向2：同步评估去掉shipping mode，看下存储时间。 如果满足不了12个月，考虑参考Houston将出货电量改为60%。 
solution：去掉shipping mode，看下存储时间。 如果满足不了12个月，考虑参考Houston将出货电量改为60% 
IKTM-13379
Dallas remove shipping mode &amp; change storage battery capacity from 50%to 60%</t>
  </si>
  <si>
    <t>IKSWW-51092</t>
  </si>
  <si>
    <r>
      <rPr>
        <rFont val="Georgia"/>
        <sz val="11.0"/>
      </rPr>
      <t>5.Camera        4.Build        S3        Closed        "Issue:  IKSWW-54362台报主摄拍照dump。 （3台1100台一供）
Clue：
1.均是主摄测试fail，且log均提示的MIPI error
Root cause：
MIPI cphy参数和目前硬件搭配不是最优
Solution：
优化MIPI cphy参数(  修改后EQ=0x0B，  CDR PGM=0x40，CDR Coarse=0x0B)，待软件提供版本给产线。"</t>
    </r>
    <r>
      <rPr>
        <rFont val="Georgia"/>
        <color rgb="FFFF0000"/>
        <sz val="11.0"/>
      </rPr>
      <t xml:space="preserve">  
---10/13 retest fail ，reopen ，软件参数未提交。
</t>
    </r>
    <r>
      <rPr>
        <rFont val="Georgia"/>
        <color rgb="FF0000FF"/>
        <sz val="11.0"/>
      </rPr>
      <t xml:space="preserve"> 10/15  新参数有效导入产线故障机后验证pass</t>
    </r>
    <r>
      <rPr>
        <rFont val="Georgia"/>
        <color rgb="FFFF0000"/>
        <sz val="11.0"/>
      </rPr>
      <t xml:space="preserve">
</t>
    </r>
    <r>
      <rPr>
        <rFont val="Georgia"/>
        <sz val="11.0"/>
      </rPr>
      <t>长期：houston 上的参数到dallas 参数为什么就不生效？  SW主导确认</t>
    </r>
  </si>
  <si>
    <t>7. sensor -M-sensor  受到干扰影响
clue：隔磁片规格更改for hac 优化。可能影响到M-sensor 了。
 solution：  DVT1 1供机器通过优化参数解决了，测试5台都pass了。</t>
  </si>
  <si>
    <t>4.Parameter</t>
  </si>
  <si>
    <t>ISSUE：DVT1 整机AR站点测试 个别机器slave Chargepump 固定fail 在Cap_Switch_Turbo_Acc_Curr_Cap_30W_01_slave
Clue： 1.用真充电器68W，可以看到功率是出来了的，没有fail  。共5台
             2.Case1 ：其中4台（分析机器是N1DV110139），在使能快充前 控制电源电压后 增加delay 1秒钟 ，4台复测pass 了 
             3. case2 ：但是还有1台N1DA120231 fail ，现象一模一样（没有cp的电流）
       更改测试程序为每次生压后都再次EN，case2 也pass 了。 转入monitor</t>
  </si>
  <si>
    <t>ISSUE：IF 有些板子不良后，需要强制下载才能恢复。
Clue：SW 先主导看，这边只做一条记录。</t>
  </si>
  <si>
    <r>
      <rPr>
        <rFont val="Georgia"/>
        <sz val="11.0"/>
      </rPr>
      <t>ISSUE："EVT ATT tumble WH195778 1st
6:Cap/SAR sensor Ch2 no function:D8(450)- 0901已返回厦门，分析中  
7:Cap/SAR sensor Ch2 no function(Recovered after reboot :D10(500)" 。已恢复
坐压试验 也出了一台SAR sensor Ch2 no function 分析结果一样。 合并处理
Clue：0. 二供机器实验也出现一台450滚出现无作用，重启后恢复了的。
           1.机器回来的时候，故障复现。重新开关机依然复现。
           2.插入USB后，故障消失
           3.装成整机，跌落压测，复现1次。这时候用WIFI adb 查看，发现CH2 没有读值。（所以看起来非门限fail问题）
           4. 跌落后又复现了。加热焊接也还能复现。 而且这时候插入USB 无法再恢复了，判断为IC彻底坏了。</t>
    </r>
    <r>
      <rPr>
        <rFont val="Georgia"/>
        <color rgb="FFFF0000"/>
        <sz val="11.0"/>
      </rPr>
      <t xml:space="preserve">
</t>
    </r>
    <r>
      <rPr>
        <rFont val="Georgia"/>
        <sz val="11.0"/>
      </rPr>
      <t xml:space="preserve">           5. Houston 是没问题的。 capsesnor没改，可能是其他变化导致的应力发生变化
Rootcause：推测是  IC 被应力破坏，处于半坏不坏的状态。 </t>
    </r>
    <r>
      <rPr>
        <rFont val="Georgia"/>
        <color rgb="FFFF0000"/>
        <sz val="11.0"/>
      </rPr>
      <t xml:space="preserve">将这个IC寄给厂家分析内部情况，预计9/10 返回分析报告。
</t>
    </r>
    <r>
      <rPr>
        <rFont val="Georgia"/>
        <sz val="11.0"/>
      </rPr>
      <t xml:space="preserve">                    ME 确认dallas 和 houston的结构应力情况。
Solution：建议移动capsensor ，来优化作用到capsensor应力。 
              Option1  可实现的是往左上角移动，最后移动到屏蔽盖外， DVT1 一供跟踪                  
               DVT1 一供都测试完了  pass，先close</t>
    </r>
  </si>
  <si>
    <t>分析PA</t>
  </si>
  <si>
    <t>2.PCB</t>
  </si>
  <si>
    <t xml:space="preserve"> ISSUE：EVT二供机器自测，发现1台机器，关机充电后，出现PD充电器会出现fail 。最后不充电。1#机器一直fail 。
另外借了2台机器 ，补充复测了8次左右，2#机器概率性出现2次，重新开机会恢复，不好复现。3#机器一直无法复现。
clue：1. 1#2#机器的log 分析 都是BAT OVP 被触发了，关闭了CP。但是实际上电池电量都基本没电了（小于10%，电量计读到的电压才3.7V左右），快充IC就触发高电压保护，门限是4.8V左右，这不正常。
	  2. 拆机测量波形，确实有 Vbat 高压出来，Vbus 也抬高了电压，但是Ibus是先下降的。  推测是因为充电电流停下来导致的Vbus电压提升，然后导致Vbat 电压过高。
Rootcause：根因是在二供电池端的OCP值偏低，和SPEC不符合 ，导致的 SGM41606S 触发OCP过充行为而后会连带触发OVP行为，停止充电了。
Solution ：DVT1 二供电池修复</t>
  </si>
  <si>
    <t>RISK：PEN current test ，EVT 截止8/26早上 数据看，有一些读值0的情况出现。 出现一次65高数据，复测pass。
概率性出现0值的机器，推测可能是FPC 或者触点接触问题。 需要ME特别关注。
线索：有发现个别机器明确接触问题。 其他机器需要找到机器跟踪，看下是否会复现。
rootcause：TBD
solution：  组装部分：DVT1 增加MMI测试，避免机壳没有测试就留到装配。（EVT处于调试阶段，一些机壳没有严格管控就流下去了）
      UCT 测试部分：DVT1 增加 hall IC的检测，来判断工装笔B是否在位，来进一步确认是否漏装笔就进行测试了。</t>
  </si>
  <si>
    <t>RISK：ANT 上面 ATVS 的方案 
BOM 评审结论：提出验证通过后加二供
咱们只有一次DVT，要如何验证？
8/4 结论：
EVT 先用华新科 主要验证一供（样机 EVT BB申请了6台一供for TCC ESD）。 松下放到二供中的试产，并和邓玲沟通做两台ESD作为备用。（样机要和邓玲沟通好）
DVT1 根据EVT的情况来定。 
结果是都pass。</t>
  </si>
  <si>
    <t>RISK：主动笔充电相关电路（包括ADC 检测）被打坏的风险
     1. ESD期望设计方案：1最优 在机壳外挡住，2.优 挡不住尽量能接地 或者 3.次优放个间接接地（就是笔身周围给出一小块GND，不接触，但是有露出来。） 4.最差就是悬空金属块（当前状态）。
基于ESD 防护， 尽量不要让ESD进入到电路。请ME 帮忙再想想方法，看是否有机会。
       2.EVT试产前，用EVB 飞线进行摸底，看加了TVS后，能抗住多少KV ESD冲击。（充电部分和 电流ADC检测部分）
action：
1.实体笔  样品，ESD摸底，ESD轻松的就从笔身传递到触点。  所以目前推测的ESD进入risk 是真实存在的，而且较高。8/4 done  
2. 采取了很多措施，已经处理的。 主板端EVT 就会导入TVS 来防护两个弹点对应的电路。（电源正极  和 ADC 采集口，分别各加一个TVS 器件在主板）。done  in EVT MB PCB 。具体型号优化选择，EVT 发BOM 前完成 --BB 8/8
3.一些否决了的优化方向：笔身金属 在任何一个位置坐间接空气放电的可能性 ：  ME 评估 完全没有办法，IP68防水要求，需要用塑胶完全堵死。不能露出任何一点点 导电金属体。  直接接地就更不用说了----目前为止没有可行方案。 ---ME chenjianxi comment ，没有方案。
 4. 备用方案1：将主动笔FPC 上增加加强版，然后加两个TVS，再防护一道。   ---ME yuming 评估是这个导致弹片压力增加，有风险，不建议直接进主线。建议作为备用方案。    增加一版V02 FPC。增加加强板和TVS 以及点胶。具体待发板，plan ： --ME/BB 8/8
 "
9/1       
        BB ESD摸底两台数据都打完了，充电和非充电状态下都有打，15kV/18kV压测下，未发现有Fail的状态，目前摸底结果感觉还行，会继续Monitor下TCC的数据
    TCC数据：6 台机器，15KV实验完，笔都是ok的。  补测18KV的笔位置ESD实验。  测试手机ok，1支笔fail。厂家分析。手机ok ，close risk</t>
  </si>
  <si>
    <t>D.SHIP</t>
  </si>
  <si>
    <t>Issue ：PRC 售后故障机 356070750758578，不开机不充电</t>
  </si>
  <si>
    <t>Issue ：IKSWW-69570 Equator 充电只显示"充电已连接但是不充电“// 新品X70Air DOA申请
clue：第一台IMEI 356070750759253，寄存器看PMIV0102 有些寄存器不对。 该机器重启不会恢复。最后是刷机后恢复了。机器返回武汉，11/11 ETA 武汉工厂 ，shatong2 手上。初步看是可以充电的。  
          第二台  IMEI：356070750876016 ，11/4 签收，当天反馈充电中但是持续掉电，更换充电器无效，退机。
next ：第一台故障机寄往SW。第二台确认在哪里，以及故障情况。</t>
  </si>
  <si>
    <t xml:space="preserve"> [s1]Issue ：   Equator  1725 认证fail，低温下提前停止充电 （一供-2度，二供-10度 。期望值是在-20度+/-3 度）
clue：1.log 分析看到，是充电带载电池电压达到4.2V了，走停充流程了。 
           2.低温下电池内阻看起来很大，-2度之后ATL的内阻258MR，-10度时候CSMOX的内阻458MR。导致的压降很大，一下子就到4.2V了。这内阻正常吗？低温下的电芯内阻曲线如何？---待KP 确认
Analysis/Root Cause:
HW根因：低温下电池的内阻会很大，到几百mR，温度越低，就内阻越大，当固定电流下，压降会越大，就会导致提前触发4.2V的低温停充电压。
当前问题1：在-1度左右触发fail的，推测原因是0度以上电流是很大的，电压也很高（带载电压可以到4.5V），转到-1度时候，转换策略会立刻触发判定已经充满（实际电芯电压在3.7V左右）
当前问题2：在-1度这个位置没出问题，继续往下降温，由于限流后还持续充电，温度也越来越低，内阻越来越大，所以电压持续上升，最后再-10度左右（这个值和电池电量有关系）达到了4.2V，然后没有办法继续走完CV 很快就停充了（从log 看到的信息是几秒钟就停了，原因不明）。
当前问题3：当触发充满的状态后，即使温度恢复了，也不会再重新启动充电。就是低温停充恢复机制这种情况下失效了。
当前问题4：插入充电器一瞬间电流很大，然后再变成目标电流。这个会大大加大触发停充的概率
Action/Solution:   
        push_new_image3.zip 主要修改：低于0度的充电电流限制为350mA（ 降低问题2机会 ）。更改FCC来达到一上来的电流不会过大。（解决了问题4）.  
         前提条件:低温验证不要从0度开始插入充电器测试，要低一些，建议-10度插入充电器，然后继续降温验证。（用操作手法规避问题1）
         机器初始电量要低于5%比较保险过。  最多也不能超过10%（越高越可能fail。）这些值是基于厦门温箱环境得出来的结果哈。
         摸底by chenwt：这个版本初步验证ok了，低温可以到-21度才停充，-19度恢复充电。 （不触发停充就不会触发问题3）
10/9 认证发出 ：push_new_image3.zip  这个版本给UL 进行复测，根据自测要求 。
         反馈测试pass了。 SW 10/9 改进主线 wave1 </t>
  </si>
  <si>
    <t xml:space="preserve"> [s3]Issue ：   Equator 关机不充电 问题IKSWW-51939
线索：1.一次QC3+33W充电器故障后，不充电的时候，看到Vbus5V Ibus80mA左右。D+D- 电压3.05V
   从这些信息推测：1.CP的OVP是打开了的。这样才有80mA这么多的电流。  2. 
  补充模拟实验：1 ：正常关机的时候，DP DM 外部强拉3V，再插入QC3+充电器，看一下波形和机器的表现。 </t>
  </si>
  <si>
    <t xml:space="preserve"> [s1]Issue ：PVT 批量发现USB/充电不识别的整机（之前各轮试产未发现）
（TCC 4台，工厂2台，预备送媒体机7台，据不完全统计， 不良发生概率在7%左右）
故障现象：无法识别USB/无法快充（可以5V慢充），关机重启故障依旧存在（软重启）
Root Cause:1. 误识别成uUSB接口，导致Type-C 识别异常。关键点是这个寄存器及相关初始化流程只在系统VBAT硬上电时候更新一次，后续不会再进行更新。
                  2.shipping mode的方式有问题导致的概率性PMIV0102 异常掉电，导致下一次上电瞬间检测错误。 
Solution:
            1. Workaround Patch机制：在开机时候立即读下2b70寄存器，如识别是uUSB，会重新做一次硬开机后再检测一次option接口，确认是否是Type-C  导入用户版本和工厂版本主线--done
            2.Equator 项目取消shippingmode，按照60%电量出货来保证一年以上存储时间。（来不及验证更改稳定性，为避免奉献，不导入新的变更）
           3. QC 提供NEW shipping mode entry flow ，待正确的导入MOTO 项目（需要开发 及 压测来验证有效性）---SW plan 9/23 ，压测 Plan TBD
QC 新的PMIC 需要新的进入shipping mode的流程来保障不会出现该问题，包括PMIV010X, PM7550B, PMIH010X 这三个系列的PMI器件，原因是这三个系列的PMI在进入shipping mode前需要正确的下电配置后才能保证下次上电硬检测是稳健的。而旧的shipping mode流程是adsp直接写寄存器断了电池的电，无法保障PMIC正确完成下电。 NEW shipping mode entry flow 是将配置标志位给到PMK器件，然后由PMK来负责执行所有PMIC的下电流程完成然后再发起断开Qbat 的操作来断电池的电。（特别说明:SM7635/SM6650/QCM6690, SM7550, SM8635 这些平台的SW架构不支持新的shipping mode方案，只能走Workaround方案）
</t>
  </si>
  <si>
    <t xml:space="preserve"> [s1]Issue ： 
M21 Shock Method 516.8 Procedure IV        WH196390
D1        NEQR480147        Unable to read SIM Card:D1(26,Bottom right Back Corner)-
TA-LotX Tumbler Test        WH196385
D2        NEQR480203        Unable to read SIM Card：D2(300)
</t>
  </si>
  <si>
    <t xml:space="preserve">[s1]Issue ：Equator Rear main camera OTP Validation Test，EEPROM error FR 0.96%  8/900
Clue:   1. DVT2 2供首次出现EEPROM I2C读取error log, 实测不良波形，确认是EEPROM无响应地址。
             2.  测量读EEPROM之前的波形，开机时camera i2C平台内部上拉，硬件上在I2C上做了外部上拉，会往VIO上漏电
 Root casue:
I2C平台内部上拉2.2K, 和外部上拉1.5K（1M clk）互相漏电，这个漏电压会影响兼容性差的eeprom 内部逻辑异常
Solution：
软件去掉内部上拉2.2K，外部上拉改为1K (来保证I2C 在1MHz clk 情况下的信号质量）
LL:
改进EEPROM测试方法，开机测量，并关注EEPROM读取之前的供电电压
开机阶段测量camera时序
</t>
  </si>
  <si>
    <t xml:space="preserve">issue: equator 地磁精度受接地影响很大，需要调整螺丝的锁付力矩
       Equator项目目前地磁在高功率充电下，地磁的角度偏转会比较不稳定。
       分析下来，和主板的接地情况关系比较大。
       下图标记的③的位置位于充电IC边上，充电时，它会从接地良好的最短路径回流，也就是②和①通过中框回流。
       因为螺丝锁的情况及主板的接地差异，导致从②和①处回流的电流值有差异，从而影响到地磁的性能。
       我们建议加强如下③的接地，减弱①和②的接地，从而减小地磁在高压充电下收到影响。
       也就是在可接受范围内，尽量增加③的锁付力矩，减小①和②锁付力矩。
       明天如果有组装，帮忙直接调整一下力矩。
</t>
  </si>
  <si>
    <t xml:space="preserve">目前大致情况为： 1. 昨天又找了一台CT超10000的切片分析，看各部分高度是否符合设计 2.周二ME分析了3台13000的机器，都只拆掉了主板，重新按压PUD板的中部，数据就能到5000（这个怀疑是中框上的泡棉是否贴合有问题） 3.再之前，上周ME拆除过10000+机器的屏幕，然后重新装贴中框泡棉，也没有保压，屏幕掩在中框上，CT就正常了。从这点ME认为泡棉问题也不大。最初的100多PCS机器，泡棉是手工装贴，没有治具。可能影响精度。当初有泡棉贴歪（非治具贴）的，外边缘破损（ME认为是某道工序造成，但是排查没有找到具体工序）的。 4. FAE今天会到现场协助分析，看下有没有进展。晚点或者明天更新。
目前，P SENSOR的CT还是高（设定limit 8000，超门限的有约6.5%），并且ME没有找到清晰的调整方向。 今天Vendor那边的FAE会过去武汉现场看一下情况，明天我再和你更新一下情况。
 </t>
  </si>
  <si>
    <t>Issue：ISSUE: Back pressure automatic shutdown/Unexpected auto power off:D3(NEQE220145)(250N/300N)21:00pm 8/5/2025 D4(NEQE220240)(300)，https://idart.mot.com/browse/IKSWW-30027
Clue：1. 机器带回无法复现问题， 等待软件log分析
           2. 单板实验结果待测？
屏蔽盖内绝缘纸被顶破</t>
  </si>
  <si>
    <t>Issue：UCT站点的 OTG测试10%左右不良 （包括后续 模仿数字耳机测试同步也大概率会fail，都是走Host USB 通道）
Clue：1.“故障机器”用手工U盘测试，没有问题。测试眼图也没有问题。说明手机本身没有用户使用端的问题。
2. 只有UCT站点有问题，包括USB也有问题。其他站点USB没有问题，推测UCT这个站点环境USB需要比较苛刻的参数。
3. 调整了 Option 8 参数 （host mode 的USB 电平降到最低），故障机可以pass 了。 但是最终DVT2正产末期，还是拦截到2台fail
4.最后这两台fail的机器，手工测试OTG 还是pass。盲调9,10,11 三组参数，还是不能pass
5.SM8750 （Orion 项目）需要类似问题，没有解决。取消UCT站点的OTG测试项，用数字耳机测试项来cover 硬件通道正确性。
rootcause： UCT站点（包括夹具，cable ，U盘）---整机（主板 -主FPC-小板 – USB软参数 ） 合起来的匹配兼容性问题
solution ：
1. IKTM-13189   Equator PAT 增加 OTG 测试 和 数字耳机测试 ，PVT导入， monitor PVT情况（同时先保留UCT测试，确认fail的机器继续往下go ， 看PAT是否可以pass。）
2. 协调一套UCT设备，提供给QC 寻求帮助，尝试寻找可能的优化方案。 毕竟UCT OTG 测试失败是从 SM8750 （Orion 项目）和7750（equator项目） 两个平台的项目第一次遇到。
其他信息：Orion 项目 处理方式是 去除UCT的OTG测试项。 用PAT 和UCT的数字耳机测试项来测试相关通道。（USB host 功能）。</t>
  </si>
  <si>
    <t>IKTM-13189</t>
  </si>
  <si>
    <t>Issue：UCT站点，USB 不识别率很高
Clue： DVT2 新增加UCT站点的USB连接需求。 
            拦截的机器再其他原有的站点，目前测试判断没有识别不到的问题。
           PC to  夹具的线换成放大线，暂时不能解决
 其他idea：是否可以再调整下USB参数？ --RD comment 不建议，其他站点DVT1到DVT2 调整了参数好不容易稳定下来。 现在新增加UCT 站点的需求进来，没法针对性调整，一旦调整，所有站点要重新确认，不排除变差的可能性。  建议维持现状，如果其他站点能继续维持正常
solution： 更改会DVT1的方案，用无线WIFI 链接方案，做UCT站点测试</t>
  </si>
  <si>
    <t xml:space="preserve">Issue：NEQE140204 USB接口异常，
现象： 正反面插入经常不识别充电，偶尔识别出来有5V充电，但是马上断开。请结构和熊雄接下来看下一步怎么分析，谢谢！
分析步骤：1.  拆开后壳，不拆usb小板，外面接到另一个ok的usb小板，充电功能，识别口都正常。判断问题在usb小板上
                  2．拆除usb小板，测量typec口舌片上信号到小板pin不通
                  3．显微镜下观察到typec口左侧小耳朵和信号pin脱焊
                  4．按压typec 铁壳时，焊接pin能看到脱焊
Rootcause： typec口左侧小耳朵和信号pin脱焊，导致信号不通。
下一步：交于结构和KP分析.
</t>
  </si>
  <si>
    <r>
      <rPr>
        <rFont val="Arial"/>
        <sz val="11.0"/>
      </rPr>
      <t xml:space="preserve">Issue:  泡水测试后到下一步复用机器实验前，发现显示充电图标 但是充不进去电。Mxc04 WH193926 2nd source lily pad， D1 initial
Clue：1.关机充电到开界面前可以充电，而且当系统起来进行判断后就不让充电。 无线充电也类似结果。电池电压，温度，PD协议功率识别，都是正确的。 以上信息推测不是CC1 或者CC2 的问题
            </t>
    </r>
    <r>
      <rPr>
        <rFont val="Arial"/>
        <color rgb="FF1155CC"/>
        <sz val="11.0"/>
        <u/>
      </rPr>
      <t>2. CI</t>
    </r>
    <r>
      <rPr>
        <rFont val="Arial"/>
        <sz val="11.0"/>
      </rPr>
      <t>D pin 上有0.3V电压，所以看起来也不是CID pin电路问题。fastboot boot mode 可以充电一小段时间（可以用来做临时补电然后抓log用）。 
           3.Log 给SW分析：</t>
    </r>
    <r>
      <rPr>
        <rFont val="Arial"/>
        <color rgb="FFFF0000"/>
        <sz val="11.0"/>
      </rPr>
      <t>给的判断是PMIV0102 的充电状态不变，aicl是0 （意思是否指向说就是PMIV 出现异常了？），充电状态一直是not charging--继续跟踪</t>
    </r>
    <r>
      <rPr>
        <rFont val="Arial"/>
        <sz val="11.0"/>
      </rPr>
      <t xml:space="preserve">
           4. EXP：长按开机键1分钟来确认是否可以复原。</t>
    </r>
    <r>
      <rPr>
        <rFont val="Arial"/>
        <color rgb="FFFF0000"/>
        <sz val="11.0"/>
      </rPr>
      <t>结果是依然fail</t>
    </r>
    <r>
      <rPr>
        <rFont val="Arial"/>
        <sz val="11.0"/>
      </rPr>
      <t>。（ 9秒和15秒的时候都各自重启一次，之后就开机了）
下一步：信息share给QC，看下是否有什么分析建议。等待回应
   这台机器 ：确认 主FPC连接器上有一些导电材料导致 USB NTC 信号对地短路，进而导致USB NTC 温度过高导致保护了不让充电。  进一步分析： 外观看：主FPC连接器端有个 导电材料  ？ 不像是盐水导致，更像是一种生产材料，非外物进入机器。颜色和焊锡很像，银灰色，但又不是实的而是像棉花絮的，碰触就会变形的导电体（有点像导电泡棉的细碎？ ）
其他的：SUB端的一个pin腐蚀了（但是这是个GND pin，不是导致故障的直接原因）。
板子上我没见过这种材料，建议大家及产线进行下一步确认这是什么，以及怎么进入主FPC连接器的。
Rootcause：  确认 主FPC连接器上有一些导电材料导致 USB NTC 信号对地短路，进而导致USB NTC 温度过高导致保护了不让充电。
                       板子上我没见过这种材料，建议大家及产线进行下一步确认这是什么，以及怎么进入主FPC连接器的。
Solution：TBD</t>
    </r>
  </si>
  <si>
    <t>RPA分析</t>
  </si>
  <si>
    <t>Issue; 滚筒180后，上SMART PA无声
分析：从寄存器看，CLK信号未送到SMART PA,重新加热SMART PA 恢复正常
RootCase: SMART PA右下角虚焊
Solution： 结构反馈非大应力区，继续监控</t>
  </si>
  <si>
    <t>Issue; no main display:D4(26)-按压连接器可显示，松开不显示。共三台，
分析：屏幕连接器大电流PIN Solder脱焊，测量导通性异常，按压可连通，显微镜下观察到缝隙，分析结果一样
RootCase: 焊盘受外力导致的断开，断开位置结合力不足，焊盘开窗0.45, 实际溢胶后，有效焊接面积0.3mm
Solution： 2供Kingwong内部修改焊盘加大覆盖膜开窗，焊盘原设计0.45mm加大到0.6mm,去除完溢胶，有效焊接面积0.45mm, 同一供DVT1数据。
   2供封样时间需要等到二供FPC DVT2实验全部合格后，才能启动封样工作，需要项目同采购提前沟通。</t>
  </si>
  <si>
    <t>Issue: 打完ESD TIS/TRP，D1/D2/D3/D5机器，B20/28有问题,B42一台变差问题，ANT0/ANT1-Fail
Clue：返回D1机器，分析
1：ANT7: D1异常Band42机器复测TIS，确认ANT7无异常；
2：ANT0: D1机器ANT复测，发现ANT0异常，无源下观察波形和之前摸底出现Tuner损坏的故障现象一致，cmd切Tuner波形也没有变化，判定是ANT0的Tuner器件损坏；
3：ANT1: D1机器ANT1, 更换损坏的电容后，天线测试TIS依然异常，RF测试传导OK。判定是ANT1的Tuner损坏, 今天天线测试发现SW5通路损坏，判断是从主通路进入；</t>
  </si>
  <si>
    <t>Issue: DVT1B ESD 报一台机器15kV后capsensor全部无功能，ANT很多通道Fail；
Clue: 1. CapSensor I2C地址变了，12-&gt;13；
          2. 一供机器没有此问题，SAR芯片/TVS是二供；
          3. 拆机分析发现电容被击穿，CS0通道直接通过电感下地，影响I2C地址，SAR芯片和通路都没有损坏
RootCase: 天线馈点串联隔离电容被击穿
Solution: 1. 25V耐压电容-&gt;更换为50V -&gt; 周一天线确认
                2. TVS确认，是否是二供影响(一供没有此问题，且走线先经过TVS)</t>
  </si>
  <si>
    <t>issue:Initial check:Headset no function/OTG no function/USB charging is normal, but fail to connect computer:D4-D4知勇带回厦门分析
Clue: 快充测试ok, 连接电脑不识别口。判断D+,D-有异常。
Rootcause：D4 这台是共模滤波器 FL500 掉件
 查看FAEDVT1不良板分析，至少发现7PCS FL500掉件
ME 主导和产线装配沟通，修改装配手法和增加治具。 DVT2 导入</t>
  </si>
  <si>
    <t>RPA 分析链接</t>
  </si>
  <si>
    <r>
      <rPr>
        <rFont val="Arial"/>
      </rPr>
      <t>issue：MXC06        WH193914        D1        NEQE1B0126        USB  one side no function:D1(225)-
clue ：1.CC1 线路 open ，断路点在PMIC 屏蔽盖下边沿底下 layer11，具体看链接截图。 （CC线已经走0.2mm宽度了，但还是断了）
        2.WIFI_THERM 这个在CC1 边上的线也断了。 再更边的CID_DET没断（断了就直接没法充电了），另外一边的CC2 也没断，所以可以单面充电。
      3. 一供机器没有问题，二供还有另外3台类似故障机器，等待返回后确认。 第二台是：WH193919        D1        NEQE1B0131        USB function intermittent:D1(26,Bottom right Back ) ，现象类似 
Rootcause：结构应力太大，导致PMIC 屏蔽盖脱开，并拉动L11 的CC线。（ 推测：二供PCB的抗拉拔力可能比较弱</t>
    </r>
    <r>
      <rPr>
        <rFont val="Arial"/>
        <color rgb="FFFF0000"/>
      </rPr>
      <t xml:space="preserve">导致出现多台断线。 ）
</t>
    </r>
    <r>
      <rPr>
        <rFont val="Arial"/>
      </rPr>
      <t xml:space="preserve">solution：  PMIC右下角L11走线都改到L10 &amp; L9 </t>
    </r>
    <r>
      <rPr>
        <rFont val="Arial"/>
        <color rgb="FF0000FF"/>
      </rPr>
      <t>，DVT2 二供PCB导入修改</t>
    </r>
  </si>
  <si>
    <t>Issue：MIC2气密性问题
Rootcause: MIC 焊盘镀金，需要更换为OSP
Solution: 更改主板和小板MIC焊盘为OSP，DVT2更新器件库
LL:MIC器件库修改为OSP，库里已经把项目中不用的MIC器件库删了，目前器件库里存在的MIC器件库全部为新的OSP器件库。</t>
  </si>
  <si>
    <t>川叔</t>
  </si>
  <si>
    <t>Issue：TCC报一台机器VBAT端EOS-150V Fail，另一台，机器复测后Pass；
Clue：EOS走线Review，未发现问题；
RootCase: 机器正在寄回，收到后分析 —— D4样机收到后，测试正反OTG都OK，故障无法复现，继续Monitor
Solution: 1.DVT2主板，VBAT端浪涌管增加下地打孔；2.继续Monitor 3. 寻找更好的浪涌管，型号: ESD56301D04-2_TR（晓云推荐）—— Prado上有验证过</t>
  </si>
  <si>
    <r>
      <rPr>
        <rFont val="Arial"/>
      </rPr>
      <t xml:space="preserve">Issue：死电池激活场景 ，在电池保护电路还没完全激活开之前，就开始转到5V1.5A快充，电流超过电池的期望3V以下上限电流0.1C 。 </t>
    </r>
    <r>
      <rPr>
        <rFont val="Arial"/>
        <color rgb="FFFF0000"/>
      </rPr>
      <t>可能有安全风险。</t>
    </r>
    <r>
      <rPr>
        <rFont val="Arial"/>
      </rPr>
      <t xml:space="preserve">
rootcause：3.1V 是5V600mA 切换到5V1.5A设置点。 而死电池内部保护后，mos的前向二极管有0.5~0.6V。 
补充说明：以前项目没有关注这个转换瞬间是否会有超过的电流，因为这个测试难准确监控到电流，log 也无法记录。 需要再排查下，以及风险如何。
solution：Option1 ：调高转换的电压点（负面作用是：低电量电池 充到能开机的时间会拉长，具体值需要 KP 主导 take CR）
                option2：电池内部是否可以优化？（ 充电时候默认就直接激活电池？ 需要KP 主导评估，项目上基本没机会，只能长期看）</t>
    </r>
  </si>
  <si>
    <r>
      <rPr>
        <rFont val="-apple-system, BlinkMacSystemFont, &quot;Segoe UI&quot;, Roboto, Oxygen, Ubuntu, &quot;Fira Sans&quot;, &quot;Droid Sans&quot;, &quot;Helvetica Neue&quot;, sans-serif"/>
        <color rgb="FF1155CC"/>
        <sz val="11.0"/>
        <u/>
      </rPr>
      <t>IKSWW-19238</t>
    </r>
  </si>
  <si>
    <t>Issue： CT偏高，和Prado相同的参数，当前CT的max接近12000
Clue： 1.交换前壳组件，不良跟随前壳组件。
            2. ME对前壳组件灌胶切片，发现泡棉高度稍微高出SPEC。
RootCase: 前壳组件隔离不良
solution：ME增加泡面厚度，新泡棉机器预计07/16组装，跟踪试产数据
next: 跟踪DF数据</t>
  </si>
  <si>
    <t>Issue： 60W充电情况下，地磁输出的方位角度会被干扰，最大可能偏转60度。PRC版本表现很明显，EMEA相对正常
Clue： 1.地磁附近的螺丝孔，锁紧后地磁角度偏转明显，拧松后角度偏转很小。
            2.DVT1(V05)版本相比EVT(V04)，ANT增加了BOT面地磁附近螺丝孔的露铜。
RootCase:充电场景下，地磁附近的地通过中框回流到GND。回流电流产生的磁场影响到地磁感应到的磁场，造成精度偏差。
solution：和ANT确认，螺丝孔露铜去掉，回到EVT状态</t>
  </si>
  <si>
    <t>Issue: DVT1 ESD三台机器CapSensor后CH0无功能，重启后不恢复(硬性故障)；另外也在损坏前出现ESD时无功能，重启后恢复(软性故障);
Clue: 
1. 分析发现是CapSensor硬损坏ESD机器，熊姐分析发现是在主板SAR芯片附近的100R电阻被打穿，测量阻值为开路，更换后ANT0处功能恢复正常。但是USB处感应失灵，进一步测量发现小板上R806击穿，更换新小板恢复OK；
2. 和EVT对比，发现M802的下地电容被天线DNI了，导致M802处静电直接进入SAR通路，击穿100R和1K电阻；
3. 测量隔直电容，发现没有短路【EVT复测二供Recovery机制时，有一台机器在高压下也出现了隔直电容击穿短路的问题，经核查电容耐压为25V，由于只寄回一台样机，无法确认其他样机是否存在类似问题，因此也在DVT1B导入50V耐压电容】；
RootCase: M802下地电容C806被DNI导致静电损失下地通路；
Solution: 1. DVT1B 小板C002处手工Rework TVS, C806是否可以Rework待天线确认影响;
               2. DVT1B 小板C001/C006已确认更换为50V耐压的电容；
               3. 针对软性故障，一二供供应商会确认下Recovery机制，并合入(实测若C001/C806处都加上TVS，打ESD时软失效问题基本不会再出现)</t>
  </si>
  <si>
    <r>
      <rPr>
        <rFont val="Arial"/>
      </rPr>
      <t xml:space="preserve">         QBOOT_BLANK_FLASH_01（9008 SW下载），NTF，FR 3.07%  -----SW：志龙   BB 文亭  
Rootcause: </t>
    </r>
    <r>
      <rPr>
        <rFont val="Arial"/>
        <color rgb="FF1155CC"/>
        <u/>
      </rPr>
      <t>1.</t>
    </r>
    <r>
      <rPr>
        <rFont val="Arial"/>
      </rPr>
      <t xml:space="preserve"> PCB 上介于repeater 和CPU之间的USB 线路阻抗没有设置阻抗控制线，导致阻抗控制偏差及离散。
                    2.测试夹具整体环境和板子USB 兼容性不好叠加让问题更加突出
solution：DVT2 对PCB 上介于repeater 和CPU之间的USB 线路进行差分 90ohm  阻抗管控。  monitor DVT2 结果。
lesson learn：优化checklist ，对USB阻抗review项 ，描述出各个段都需要考虑到阻抗设置。</t>
    </r>
  </si>
  <si>
    <t xml:space="preserve"> Issue         FASTBOOT_FLASH_01（ SW 大包下载），NTF，FR 2.42%  -----SW：志龙   Open
Rootcause: 1. PCB 上介于repeater 和CPU之间的USB 线路阻抗没有设置阻抗控制线，导致阻抗控制偏差及离散。
                    2.测试夹具整体环境和板子USB 兼容性不好叠加让问题更加突出
solution：1.DVT2 会特别提出对这段线进行阻抗 90ohm 中值管控。
                2.调整FASTBOOT 模式底下的USB参数：Squelch Detector Threshold Adjustment. 静噪检测电压门限调到一个中间值 （112.5mv） option4
monitor DVT2 结果。
lesson learn：优化checklist ，对USB阻抗review项 ，描述出各个段都需要考虑到阻抗设置。</t>
  </si>
  <si>
    <r>
      <rPr>
        <rFont val="&quot;微软雅黑&quot;,sans-serif"/>
        <color rgb="FF1155CC"/>
        <sz val="9.0"/>
        <u/>
      </rPr>
      <t>IKSWW-16177</t>
    </r>
  </si>
  <si>
    <r>
      <rPr>
        <rFont val="Arial"/>
      </rPr>
      <t xml:space="preserve"> Issue: EQUATOR DVT1 eBT （板级测试）概率性无法识别 端口,交换站点有时候pass ，不固定。 约7.7% NTF
clue：1. APEM 一开始数据还好 0.39%，但是后面的其他3个SKU测试数据看就又不理想了 （15+9+2）/(228+95+13) = 26/336 = 7.7%
          2.目前信息：这些fail的站点都是夹具上加了各种延长线和开关，非用户场景，用USB直连电脑 是没有问题。 
Rootcause: 1. PCB 上介于repeater 和CPU之间的USB 线路阻抗没有设置阻抗控制线，导致阻抗控制偏差及离散。
                    2.测试夹具整体环境和板子USB 兼容性不好叠加让问题更加突出
Solution:    
                   1.DVT2 会特别提出对这段线进行阻抗 90ohm 中值管控。
                    2.调整所有devices 模式底下的USB参数：Squelch Detector Threshold Adjustment. 静噪检测电压门限调到一个中间值 （112.5mv） option4
                     monitor DVT2 结果。
其他一些做过的验证：1.建议产线再尝试下加信号放大器的线，并调整下放大器的参数。</t>
    </r>
    <r>
      <rPr>
        <rFont val="Arial"/>
        <color rgb="FFFF0000"/>
      </rPr>
      <t xml:space="preserve">（产线反馈没有明显改善，看最后的情况看哪个站点需要导入 ）    </t>
    </r>
    <r>
      <rPr>
        <rFont val="Arial"/>
      </rPr>
      <t xml:space="preserve">    
                                2.   尝试Option1 将眼图改为最大 ，以及option2 将眼图改为最小。</t>
    </r>
    <r>
      <rPr>
        <rFont val="Arial"/>
        <color rgb="FFFF0000"/>
      </rPr>
      <t>实际结果都不理想，没有明显改善。不适合</t>
    </r>
    <r>
      <rPr>
        <rFont val="Arial"/>
      </rPr>
      <t xml:space="preserve">
                               3.Squelch Detector Threshold Adjustment. 静噪检测电压门限，从默认的87.5mV改为137.5mV （可配置的最大值） option3 ---结果：故障板好了</t>
    </r>
    <r>
      <rPr>
        <rFont val="Arial"/>
        <color rgb="FFFF0000"/>
      </rPr>
      <t>，但是正常板fail了</t>
    </r>
    <r>
      <rPr>
        <rFont val="Arial"/>
      </rPr>
      <t>。所以 这组参数不能批量使用，再优化下参数。
lesson learn：优化checklist ，对USB阻抗review项 ，描述出各个段都需要考虑到阻抗设置。</t>
    </r>
  </si>
  <si>
    <t>QC CR ：7969230</t>
  </si>
  <si>
    <t xml:space="preserve">IKSWW-16494  [Equator][Factory][CQA1][DVT1] OTG intermittent failure
solution：调整OTG 断连门限到最大值，初步压测ok。IKSWW-18561 导入主线后monitor DVT2 </t>
  </si>
  <si>
    <t xml:space="preserve"> Issue: EQUATOR EVT eBT 概率性无法识别 端口,交换站点有时候pass ，不固定。 约10% NTF
clue：1.交叉测试夹具和USB测试板，有些变化，但是没法完全解决。EVT2 留下两个板子，一个大概率fail，一个较容易pass的做验证。--TE
         2. DVT1 USB 眼图测试pass的参数 V01导入后，对保留的两个板子验证，结果没有改善 --BB&amp;SW done。 
        3.顶针从细针改为粗针，没有明显改善。 （但是也作为后续主要方案，避免因为细针的干扰因素不好排查）--TE
       4.   用USB线直接连接最后夹具和电脑试一下（跳过中间的一些开关测试板）是ok的。 用个人笔记本电脑直连也是ok的。--TE
             检查电脑前后端口：有变化，但是无法解决问题。      
        5. DOE 尝试各种眼图参数，先看下是否对该结果是否有改善。--BB&amp;SW
         6.  继续尝试换各种线看下结果  --TE
Rootcause: 测试夹具整体环境和板子USB 兼容性不好。（电脑端口，USB线，开关板，板夹具 等加起来的综合影响）
Solution:以上确认可以导入的先导入，monitor DVT1的实际数据。
DVT1 还是fail ，重新创建一次问题</t>
  </si>
  <si>
    <t>Issue: 【自测Risk】使用EVT机器，摸底ANT0-Tuner ESD过程中，发现有概率损坏Tuner；
Clue: 1. 之前测试EVT实验室回来的一供D1/D5，二供D4，三台机器，天线没有发现问题；
          2. 本周天线那里软件tunner-code ready，找邓林协调了一台没打过ESD的机器进行验证，前测ANT0无源，采用天线常用的B28 B5 B8三个频段的code组合，在ANT0区域打了 ±8kV，±15kV，±17kV三组ESD结果，天线复测无源结果Fail(Tuner切换通路失效)；
          3. 走线上由于空间限制，ANT0部分TVS是预留在与弹片同面，而Tuner的天线路径线是在TVS路径上穿孔到背面，经过下地电感后进入Tunner。因为Tunner到弹片的位置很近，下地电感和背面的TVS可能保护效果比较有限，存在Risk；
Rootcase：空间限制导致走线不佳，前期布局没有预留第二颗TVS位置；
Solution: 1. 关注TCC-DVT实验结果，看是否也会出现Tunner损坏的情况；
               2. 尝试直接在Tuner面手工Rework再加一颗TVS，然后加上接地导电泡棉，看能否保护住Tunner；
               3. DVT2改板，和天线沟通，天线尝试取消Tunner前端的下地电感，让位给TVS，周末Ruiming会调试，下周一左右会有结果；否则就是走外加TVS改版方案；—— Ruiming已确认无法删除下地电感，走外加TVS路线；
               4. 让结构DVT1B先导入接地泡棉，增加小板的接地；</t>
  </si>
  <si>
    <t xml:space="preserve">Issue：12GB DDR can not run up to 4.2Ghz，only3.2G
Clue：8GB OK.
Rootcause: 高通在代码中限制12G频率跑到3.2G
Solution: 高通提供patch，8-14号软件包含patch，确认已经跑到4.2G。SI启动测试。
</t>
  </si>
  <si>
    <t>Issue：EVT  USB eye test fail 
Solution：import  0xfd57-0x5-0xfd51-0xa  ,test ok .  import CR :IKSWW-12700  。</t>
  </si>
  <si>
    <t>Issue：（定义为无线充电问题4） EVT2 板级测试 TURBO_CHARGE_OVERALL_STATUS 不良 5/58
Clue:   1.无线充电IC读到的电压电流值异常大（10+A ，70V ），这明显是异常ADC值。（然后导入其他后续的逻辑错误）
2. 5PCS 不良。 有1pcs retry 后pass。 有3pcs 更换无线充IC SC9624后OK，还有1pcs 重复写入FW后pass
Rootcase： FW 升级过程异常打断（AP申请dump 寄存器）导致升级fail，并且没有再次触发升级的机制。
Solution： SW 更改FW 升级过程，确保升级稳定性。DVT1 验证</t>
  </si>
  <si>
    <t>CR ：IKSWW-10183</t>
  </si>
  <si>
    <r>
      <rPr>
        <rFont val="Arial"/>
      </rPr>
      <t xml:space="preserve">Issue: TCC实验室二供EVT1报CAP-Sensor ±8kV下无功能，重启后恢复；D2 Cap sensor no function(CH0,CH4), recovery after reboot.
Clue: 
1. 观察到D2机器Intital测试中，CapSenor也有无功能的问题Cap sensor no function(CH1,CH2,CH3)；
2. EVT1二供贴二供厂家的SAR IC，邮件厂家沟通提示公司的驱动可能没有合入软复位模块，已经通知厂家联系对应负责软件同事;
</t>
    </r>
    <r>
      <rPr>
        <rFont val="Arial"/>
        <color rgb="FF3D85C6"/>
      </rPr>
      <t>3. 周一收到样机，检测CH1/CH2/CH3无功能，确认是校准参数问题；6/17日刷入校准参数后，ESD测试后，SAR-Sensor参数丢失，软件确认软复位机制还没有合入。此外出现了软失效后第一次开机SAR芯片识别不到的问题，第二次开机OK，已经提交CR给软件分析；</t>
    </r>
    <r>
      <rPr>
        <rFont val="Arial"/>
      </rPr>
      <t xml:space="preserve">
Rootcause: 目前推测软件驱动未合入软复位机制可能性较大，另外前测capsensor也有部分问题，推测软件驱动还不完善，进一步monitor；
Solution:
1. 检查二供sensor的recover机制；—— </t>
    </r>
    <r>
      <rPr>
        <rFont val="Arial"/>
        <b/>
        <color rgb="FF6FA8DC"/>
      </rPr>
      <t>确认6/23日可以完成，DVT前可以导入，已验证；</t>
    </r>
    <r>
      <rPr>
        <rFont val="Arial"/>
      </rPr>
      <t xml:space="preserve">
2. 加强CH0-capsensor部分tvs接地;  ——</t>
    </r>
    <r>
      <rPr>
        <rFont val="Arial"/>
        <color rgb="FF3D85C6"/>
      </rPr>
      <t xml:space="preserve"> DVT已导入；</t>
    </r>
  </si>
  <si>
    <r>
      <rPr>
        <rFont val="Arial"/>
      </rPr>
      <t xml:space="preserve">Issue: TCC实验室二供EVT1报PUD低压下出现无功能，重启后恢复；D4 后测发现 After +8KV air discharge at post check, Proximity sensor no function, recovery after reboot.(2025/6/9,14:00)
Clue: 
1. 实验室软件版本：user 272版本；
2. 导出LOG结构分析，对应时间点bug report显示功能是正常的，有接近远离状态变化，但是这个时间点没看到打开cqa测试的操作；
</t>
    </r>
    <r>
      <rPr>
        <rFont val="Arial"/>
        <color rgb="FF3D85C6"/>
      </rPr>
      <t>3. 使用D2机器，在厦门实验室打ESD ±18kV，200次，无复现PUD无功能故障；</t>
    </r>
    <r>
      <rPr>
        <rFont val="Arial"/>
      </rPr>
      <t xml:space="preserve">
Rootcause: 软件定位以及实验，推测是TCC误判；
Solution：1. 请邓林安排复测，判断问题； ——</t>
    </r>
    <r>
      <rPr>
        <rFont val="Arial"/>
        <b/>
        <color rgb="FF3D85C6"/>
      </rPr>
      <t xml:space="preserve"> </t>
    </r>
    <r>
      <rPr>
        <rFont val="Arial"/>
        <color rgb="FF3D85C6"/>
      </rPr>
      <t>机器复用其他测试，实验室暂无资源安排复测，同时观察到该问题不仅在ESD出现，在微跌等其他场景也有出现，存在共性，目前没有稳定软件版本；使用155稳定软件版本，厦门复测结果OK；</t>
    </r>
  </si>
  <si>
    <r>
      <rPr>
        <rFont val="Arial"/>
      </rPr>
      <t xml:space="preserve">Issue: TCC实验室二供EVT1再次报报两台机器低电压下ESD重启/关机：After -8KV air discharge at zone9 (Aging 10 ), Unexpected auto power off,recovered after reboot (2025/6/8 23:09).
After -8KV air discharge at zone4(Aging 10), Unexpected auto power cycle , recovery after power on.(2025/6/9,14:54)；
Clue: 
</t>
    </r>
    <r>
      <rPr>
        <rFont val="Arial"/>
        <color rgb="FFE06666"/>
      </rPr>
      <t>详细分析过程见后面文档连接</t>
    </r>
    <r>
      <rPr>
        <rFont val="Arial"/>
      </rPr>
      <t xml:space="preserve">
- 更新：
</t>
    </r>
    <r>
      <rPr>
        <rFont val="Arial"/>
        <color rgb="FF3D85C6"/>
      </rPr>
      <t xml:space="preserve">1. 6/17日，软件确认D4机器两次黑屏都是进入dump，并且和modem crash有关，拉modem同事确认，modem crash在TCC所用软件版本中中是已知问题，根源是ipa和modem通信出问题报错，这个问题在新版本中已经fix；
</t>
    </r>
    <r>
      <rPr>
        <rFont val="Arial"/>
        <b/>
        <color rgb="FF3D85C6"/>
      </rPr>
      <t xml:space="preserve">2. 6/18日，再次在D4上出现一次黑屏故障，但是状态是在 非ESD&amp;充电，导出对应时间log给软件同事分析，确认还是modem crash 导致；
</t>
    </r>
    <r>
      <rPr>
        <rFont val="Arial"/>
        <color rgb="FF3D85C6"/>
      </rPr>
      <t>3. 6/18日，收到的D1/D3机器，使用modem同事给的软件版本测试ESD ESD +15kV 200次，未出现黑屏；
4. 6/19日，RF/ANT确认，打完ESD后一供D5机器TIS/TRP和正常机器比较无下降；二供D2/D4机器，因为ANT软件还未调通，暗室容易出现掉线，RF非信令测试传导无异常，ANT无源测试驻波效率均无异常。
5. 手动通过adb指令触发ram dump，观察到现象和poweroff类似，黑屏40-50秒后才会进入重启状态；</t>
    </r>
    <r>
      <rPr>
        <rFont val="Arial"/>
      </rPr>
      <t xml:space="preserve">
RootCause：根据实验结果以及软件分析，目前判断结论是软件modem不稳定导致系统进入dump状态，进而导致黑屏(实际上没有poweroff)；
Solution:
优先考虑改版，预留防护方案：
1. 基带：影响系统重启信号：SM_RESET有预留电阻/电容(10nF DNI),若后期出问题可以贴上；PS_Hold信号CPU端已增加一个0R电阻；PWR_KEY有预留TVS位置; FAULT_N并联器件过多，走线多集中在板中央，暂无方案预留； —— </t>
    </r>
    <r>
      <rPr>
        <rFont val="Arial"/>
        <b/>
      </rPr>
      <t>已经导入</t>
    </r>
    <r>
      <rPr>
        <rFont val="Arial"/>
      </rPr>
      <t xml:space="preserve">
2. 结构：3D VC，结构增加镭雕，加强整片VC在受到ESD冲击时放电通路；—— </t>
    </r>
    <r>
      <rPr>
        <rFont val="Arial"/>
        <b/>
      </rPr>
      <t>已经导入</t>
    </r>
    <r>
      <rPr>
        <rFont val="Arial"/>
      </rPr>
      <t>；
3. 后续等待软件版本稳定后，若TCC有资源，提供无panic的软件版本供结构复测 ———</t>
    </r>
    <r>
      <rPr>
        <rFont val="Arial"/>
        <b/>
      </rPr>
      <t xml:space="preserve"> 目前都暂无稳定的版本，最新的稳定版本要月底才能出来，所以等机器收到后先尝试自己复测；
</t>
    </r>
    <r>
      <rPr>
        <rFont val="Arial"/>
      </rPr>
      <t xml:space="preserve">4. D1/D3机器，刷软件给的modem fix后的新版本，提交TCC复测；
</t>
    </r>
    <r>
      <rPr>
        <rFont val="Arial"/>
        <b/>
        <color rgb="FF0000FF"/>
      </rPr>
      <t>[7/10] DVT1 一供6台ESD实验未发现问题。</t>
    </r>
  </si>
  <si>
    <t>[7/10] DVT1 一供6台ESD实验未发现问题。</t>
  </si>
  <si>
    <r>
      <rPr>
        <rFont val="Arial"/>
      </rPr>
      <t xml:space="preserve">Issue：CQA 报一台黑屏，U1000 Disp_rst pin损坏，更换cpu后正常
Clue：总共发现了2台，1台是产线在烧录后发现的，他们再次做离线烧录现象就消失了，还有一台就是机器到了CQA才发现的，ME准备做离线烧录看能不能好，但是离线烧录失败，拆机验证不良随主板，，才把板子送到FAE分析的
rootcause： 黑屏烧芯片的问题，确认到因为屏FPC难扣合，EVT应结构研发需求，都是使用压棒按压FPC，导致FPC有露铜死折风险，露铜区域容易与前壳接触导致短路，有短路烧伤主板芯片风险
Solution：
跟结构的研发核对的是，DVT前壳会挖槽0.8MM避让
DVT也会验证增加FPC预弯折
</t>
    </r>
    <r>
      <rPr>
        <rFont val="Arial"/>
        <b/>
        <color rgb="FF0000FF"/>
      </rPr>
      <t>[7/10] DVT1 400台 CQA 未发现问题。</t>
    </r>
  </si>
  <si>
    <t>[7/10] DVT1 400台 CQA 未发现问题。</t>
  </si>
  <si>
    <t xml:space="preserve">Issue： WH192420 C1        NEQE080018        Rear flash light no function-间歇性无作用
Clue：实测无作用
RootCase：FPC接触pinw位置接触不良，原因是背胶太小，拆装后无粘性
Solution: 结构增加背胶
</t>
  </si>
  <si>
    <t>Issue：TCC  NEQE080036  SIM 无作用，无线充无作用，cap sensor ch3无读
clue：可以复现
RootCase：无QCN，不是SIM卡，Capsensor CH3参数问题， 无线无作用跟踪到无线充的问题1
Solution: 机器给TCC需要校准，不能调测。cap 参数软件去调试。无线充问题1，刷了修复版本后ok</t>
  </si>
  <si>
    <t>issue: MIL drop 1.5        WH192393 D1        NEQE080016        Volume(up) button no function:D1(final)
Solution:复测结果不明，升级软件后，功能测试ok</t>
  </si>
  <si>
    <t>issue:MIL drop 1.5        WH192393D5        NEQE080025        Self defined sidekey no function:D5(final) 
RootCase：早期版本 AIkey 的配置有些问题（两个模块一起配置，导致配置错误） 
Solution:刷最新版本后OK</t>
  </si>
  <si>
    <t>issue：WH192390 D1 故障机， NEQE080016   AI key 无作用（ Self defined sidekey no function:D5(final)）
Clue：拆机测量发现 AI key 弹片只有1.3V。这个和之前发现的问题类似。 机器版本可能比较旧了 。
RootCase：早期版本 AIkey 的配置有些问题（两个模块一起配置，导致配置错误） 
Solution:SW修改配置。 刷解决AIKEY的临时版本后，这个机器AI Key 功能ok了，电平也正常了=1.8V</t>
  </si>
  <si>
    <r>
      <rPr>
        <rFont val="Arial"/>
      </rPr>
      <t xml:space="preserve">Issue：TCC实验室EVT1一供ESD报D1机器，在CQA前摄开启状态&amp;Charging下，8kV下出现自动关机问题； After +8KV air discharge at zone1(Aging 10),Unexpected auto power off(2025/6/2 10:49). 
Clue：
- 尝试复现：D1/D5两台机器在 zone1 区域厦门打ESD ±10kV/±18kV各100次，未复现；加压对D1问题机zone1区域ESD打±18kV各500次，未复现；
- 复查ME设计：前摄被屏幕模组覆盖，模组背面有完整接地铜箔，Rec开缝紧靠金属边框(与中框一体)，整机实验发现zone1静电会优先被边框吸引释放，未发现明显问题；
- 复查BB设计：检查AP开关机关键信号(SM_PS_HOLD/FAULT_N/KPD_PWE_N), 均有屏蔽或远离前摄位置，未发现明显问题；
- 拆机实验：使用替代机器拆开后壳对Camera模组和REC风险点放电(±8kV)100次，未复现关机； 
- 故障机Log数据和故障时刻已提CR给软件分析，软件分析结果如下：
   软件Log初步分析，判断自动关机时机器应该是在factory mode下打ESD，机器触发了VBUS OVP关机，实验数据不具备参考价值；
1. 标准ESD测试是需要在normal mode下打，该模式下OVP不会直接切断VBUS；在factory mode下电池功能失能，VBUS切断后就会关机；
2. 本批测试错误在factory mode下打ESD的原因分析：第一批机器软件版本不稳定，normal mode下无法打开拨号盘进入CQA，所以TCC采用的替代方案是实验员在打ESD前，首先切换到factory mode初测功能，再切换回normal mode打ESD，最后再切换回factory mode检测功能，手工反复切换，存在误操作风险；
3. 复现：手动切换到factory mode模式，在厦门插充电器在zone1打ESD +18kV ESD，成功复现自动关机故障；
   分析log可以看到自动关机前，机器触发了VBUS OVP保护后导致VBUS切断，触发factory kill功能导致自动关机；
Rootcase：判断自动关机时机器是在factory mode下打ESD，机器触发了VBUS OVP关机，实验数据不具备参考价值；
Solution:
 - Monitor第二批ESD结果(最快周二晚上打完，跟踪结果) 
周二上午和TCC实验员确认，第二批ESD用的软件版本可以正常进入拨号盘，截至周二上午，暂时没反馈自动关机的问题；
- 后续Align TCC ESD测试时机器不能处于factory mode下；
</t>
    </r>
    <r>
      <rPr>
        <rFont val="Arial"/>
        <b/>
        <color rgb="FF0000FF"/>
      </rPr>
      <t>[7/10] DVT1 一供6台ESD实验未发现问题。</t>
    </r>
  </si>
  <si>
    <t xml:space="preserve">Issue：Rear main camera 64X RCN超标，且有竖条纹
Clue:  1.EVB2 PCBA 测试时 RCN pass,EVT整机fail， EVB2 板子+0603版本 2次测试1次fail
            2.  更改sensor setting ， 更换为orion 模组，均无效
           3.  使用外供替换更换AVDD，有效且稳定
           4. 更改AVDD 上OR电阻为磁珠，输出电容4.7uf  改为10uf， 不稳定，单次有效，多次失效
          5. 更改AVDD上 AGND到DGND，无效
           6. 更改AVDD LDO输入端为外供电压2.33V，稳定且有效
           7.  更改AVDD LDO 输入buck电压2.33 V  1uf 为10uf, 不稳定
           8.  翻起电感L4131, 稳定且有效
 Root casue:
Buck 电源FB 走线在L2层 电感下方，收到干扰，具体可见buck输出频谱波形
Buck电源输出电容值不足（参考设计20uf, 因空间问题只保留了10uf）
Solution：
修改buck FB 走线线宽并且避开电感
buck输出端增加10uf电容，因屏蔽盖无位置放置，所以更换AVDD LDO输入电容1uf 为2*4.7uf
AVDD LDO输入预留0R电阻，可更换为磁珠，做RC滤波
DVT1复测结果：RCN 30， fail，图像确认有条纹
Clue:  1. DVT1主板干扰频率  
           2. 更换R4124 为2R， p
Root casue: ongoing
         </t>
  </si>
  <si>
    <t xml:space="preserve">Issue：（定义为无线充电问题3）有些机器无线充电有图标也有1.5A左右电流进电池，但是CQA测试，无法返回电压和电流值。
Clue:   SW主导分析
Rootcase： 
Solution： </t>
  </si>
  <si>
    <r>
      <rPr>
        <rFont val="-apple-system, BlinkMacSystemFont, &quot;Segoe UI&quot;, Roboto, Oxygen, Ubuntu, &quot;Fira Sans&quot;, &quot;Droid Sans&quot;, &quot;Helvetica Neue&quot;, sans-serif"/>
        <color rgb="FF1155CC"/>
        <sz val="11.0"/>
        <u/>
      </rPr>
      <t>IKSWW-8971</t>
    </r>
  </si>
  <si>
    <t xml:space="preserve">Issue：（定义为无线充电问题2）有些机器无线充电有图标，但是没有电流进入电池。BB 提交CR ：IKSWW-8419
Clue： 0.SW log 的分析是：PMIV0102 的charge state一直没有变，这个是直接读的寄存器。导致走不了充电的流程。 by Xuyf4
1.目前反馈问题的都是整机，而且几乎所有有充电图标的机器都报这个问题，（无充电图标的是问题1） ，不良率接近100% 
            2. 板子飞线线圈+假电池+EVB屏幕+EVB 主FPC。 3个板子都是ok的。
           3.  实验1： 故障机1# ：拆后壳后，故障依旧；拆开小后盖再扣合上，故障依旧；拆开小后盖并修改线圈将线圈引导到手机外部，测试故障依旧。---推测不是TX干扰主板导致的，至少去掉干扰不能恢复。
  实验2 ：最后，主板拆出来，线圈直接飞线焊接到弹片上，用EVB的Display +假电池，测试发现问题2 恢复ok了；拆掉飞线，将主板装回机壳中（弹片上有些焊锡），还是ok的。故障机1# 的故障不复现了
        推测恢复机制：弹片相关 或者 供电相关 变化会恢复。
        实验3：故障机2# ，拆开后盖，扣掉电池连接器，等待5分钟后，再扣合链接器，发现故障恢复了。
        结论：故障时候，是PMIV 0102内部哪里异常了，导致只有Vbus有电的时候charge state一直没有变， 要彻底断电后就会恢复正常。 
        4.           
分析Action：1.故障机的PMIV0102 寄存器dump出来给高通分析，看下 寄存器有哪里异常发现。
                   2.恢复的机器，尝试各种操作尝试复现故障来找到复现路径，尝试找到触发PMIV0102 异常的更进一步的路径。
Root cause : 1.wireless charging process can no go due to  PMIV0102  charge state  can not change in wireless charging.  why
                   2.PMIV0102  charge state  can not change due to PMIV0102 trig OVP  （checked by QC by 6/9 ），why
                   3.插入快充后拔出快充，OVP停留在快充的设定值 10.8V 。 无线充输出是12V ，触发OVP
solution：拔出快充的时候，重新设定OVP 为13.2V。临时版本验证ok。修改已导入主线 6/12 。
</t>
  </si>
  <si>
    <t>IKSWW-8419</t>
  </si>
  <si>
    <r>
      <rPr>
        <rFont val="Arial"/>
      </rPr>
      <t xml:space="preserve">Issue：（定义为无线充电问题1）有些机器无线充电没反应。BB首批5台有2台无反应。 TCC 10台有3台 （A3,A5,A6）， SME 都有发现故障机。不完全统计大概30%左右不良
Clue:  板级测试，无线充IC 读ID都是pass的。
          1台故障机：确认ID是对的，FW是对的。故障出现时，TX上面没有指示灯亮（也就是无线枚举都没有成功）
          1台TCC故障机D2：  是否装配问题？实验：线圈焊线到主板弹片上测试，故障依旧，推测非装配问题。（实验室的D2机器）
           SW 拿到一台故障机，实验：更新FW将inhibit 禁用，看下是否inhibit 异常高了导致。 结果：NG 。所以和inhibit 应该没有关系。 是其他问题 
            SME 拿到2台机器有1台故障机，交给 Vendor 同步分析。
Rootcase： 分析结果1.目前南芯手上的问题1机器确认trim 被修改了（存储着校准参数等信息），导致ADC等数据错乱。导致的无线充fail没有图标。 （这个可以通过SW修复方式修复回来）   2. BB手上的机器升级一次FW后无法再升级。推测I2C地址变动了。这也是trim被改动的一种结果。（不可修复）  问题严重度 ：高  。 
solution：1.出临时包，加上修复trim 被异常改写的情况，这个临时小包和大包都准备一下，但是不进入主线（避免将ok的机器也变成NG的风险），仅用来修复故障机。   ---实际验证，发现有些
2.同步准备去掉所有trim相关操作的代码，提交到主线。避免更多的机器出现这种情况（特别是担心出现不可逆的修改，比如SC9624的I2C地址被修改了，就再也修复不回来了）。   6/6 提交修改 </t>
    </r>
    <r>
      <rPr>
        <rFont val="Arial"/>
        <color rgb="FF1155CC"/>
        <u/>
      </rPr>
      <t xml:space="preserve">https://gerrit.mot.com/#/c/3418718/ 。monitor EVT2 生产情况 （已发邮件和CQA  强调判定方法，待生产反馈，预估13号出结果）
</t>
    </r>
    <r>
      <rPr>
        <rFont val="Arial"/>
      </rPr>
      <t xml:space="preserve">  EVT2 只测试6台，都是pass 。目前没有更多机器可以测试。先close 了。 </t>
    </r>
  </si>
  <si>
    <r>
      <rPr>
        <rFont val="-apple-system, BlinkMacSystemFont, &quot;Segoe UI&quot;, Roboto, Oxygen, Ubuntu, &quot;Fira Sans&quot;, &quot;Droid Sans&quot;, &quot;Helvetica Neue&quot;, sans-serif"/>
        <color rgb="FF1155CC"/>
        <sz val="11.0"/>
        <u/>
      </rPr>
      <t>IKSWW-9596</t>
    </r>
  </si>
  <si>
    <r>
      <rPr>
        <rFont val="Arial"/>
      </rPr>
      <t xml:space="preserve">Issue：ALT滚筒测试，两台机器出现无显示的问题  概率2/6。
Clue: 替换SIM-FPC后，两台机器显示OK；测试走线发现ELVSS等Bottom面走线不通，用手轻微掰动Display连接器部分FPC会恢复导通；
Rootcase：万用表显微镜下点阻抗，定位最终断裂区在 屏幕B2B连接器左侧焊盘 - FPC出线 这一段，推测折弯区距离焊盘过近，以及屏幕连接器与上支架间隙过小，导致滚筒实验时屏幕连接器不断被掰动，导致连接器左侧焊盘与走线断裂；
Solution：
1. 结构分析后，改动钢片外形，B2B位置钢片外伸，SIM卡槽部分钢片内缩；
2. 第二条故障FPC周末寄出给PBH，等待工厂double check下问题和建议；
</t>
    </r>
    <r>
      <rPr>
        <rFont val="Arial"/>
        <color rgb="FF0000FF"/>
      </rPr>
      <t xml:space="preserve">
[7/10] DVT1 一供10台滚筒实验未发现问题。</t>
    </r>
  </si>
  <si>
    <t>[7/10] DVT1 一供10台滚筒实验未发现问题。Closed</t>
  </si>
  <si>
    <t>Issue：首版验证，AI key无测试界面，测量AI key的电平1.3V
Clue :bringup 时ok得。
rootcause：SW 其他模块配置改到这个GPIO得配置了，导致配置出问题
solution ：SW 清理并修改配置部分，临时版本确认ok，CQA有AI key得测试界面 也确认测试ok 。   SW IKSWW-8434 导入改进措施</t>
  </si>
  <si>
    <r>
      <rPr>
        <rFont val="Arial"/>
      </rPr>
      <t>Issue： 工厂BT反馈CHARGER_THERM_READING读值错误和BATT_CHARGER_THERMISTOR_VERIFY_STAT数值异常 （读值接近于0度，超出SPEC）
Clue : 1.这个NTC 接到PMIV0102 得SMB_TEMP 端口上 （不知道QC SW是否有限制，QC 原理图review没提有问题）   
            2.反查EVB bringup时候就是这样的读值，只是当时没有识别出来是一个异常
rootcause： TBD
1.        SW CR 07888869继续跟踪下是否有机会通过配置来解决。 
2.        HW CR 07893610 
solution ：SW  proposal 0 继续debug 看是否能解决
 如果SW上明确无法解决得话。</t>
    </r>
    <r>
      <rPr>
        <rFont val="Arial"/>
        <color rgb="FFFF0000"/>
      </rPr>
      <t>---06/03   SW CR 07888869 答复说 不支持这样更改。请换口来实现。</t>
    </r>
    <r>
      <rPr>
        <rFont val="Arial"/>
      </rPr>
      <t xml:space="preserve">
HW Proposal 1  再找一个 ADC 口给这个NTC用。  -----</t>
    </r>
    <r>
      <rPr>
        <rFont val="Arial"/>
        <color rgb="FF0000FF"/>
      </rPr>
      <t>06/03  QC HW 建议 ：PMIV0102     GPIO_06 / GPIO_02 ,(02 目前预留JP 关闭Vbus 用），
     06/04先用GPIO_02 飞线 tuning</t>
    </r>
    <r>
      <rPr>
        <rFont val="Arial"/>
        <color rgb="FFFF0000"/>
      </rPr>
      <t>，结果目前温度不准，测量电平看起来像是内部上拉电阻不对导致分压不对，还在请QC 协助分析</t>
    </r>
    <r>
      <rPr>
        <rFont val="Arial"/>
      </rPr>
      <t xml:space="preserve">
HW Proposal 2  如果proposal 1搞不定，就将不常用得一个NTC 挪过来用给这个用
6/9 update ：detj:DVT1 阶段计划用【SCHG NTC】来取代【MCHG NTC】，同步用【WIFI NTC】来监控【SCHG】和【WIFI】</t>
    </r>
  </si>
  <si>
    <t>CR 07893610</t>
  </si>
  <si>
    <t>RISK：特殊版本，关闭SC8541 ，只留PMIV0102 工作。用假电池测试，概率性发现Ibus 不工作  （大概30% ，不稳定）
Clue:1.假电池内阻大可能有影响 。
   实验1：用电池再试一下是否有概率复现。结果依旧能复现。
Rootcause：启动电压太高导致的概率性fail
solution：修改启动电压低一些后，验证ok  6/16 的临时版本。  SW 跟踪导入主线</t>
  </si>
  <si>
    <r>
      <rPr>
        <rFont val="Arial"/>
        <sz val="10.0"/>
      </rPr>
      <t>RISK： 当前log 看快充68W，两个CP的电流 差异值比较大。 充电性能RISK
Clue： 1.目前使用的是临时电池+转接FPC/焊线来提前bringup  ，仅能作为参考（内阻不对，影响左右通道的电流分配）
            2.目前值是通过log 读取，准确度有问题 
           3. EVB PCB 仿真看 ，Rbat1 比 Rbat2 小了0.47mR 。和实际测试结果影响看起来是反向的。 （推测偏差结果可能是电池 或者 CP 的特性引起的）
          4. 目前的SW版本+houston电池+转接FPC+串联电流检测电阻 测试出来， Ibat 最多差~1A   （Ibat1 =5.4A VS Ibat2 =6.4A）</t>
    </r>
    <r>
      <rPr>
        <rFont val="Arial"/>
        <color rgb="FFFF0000"/>
        <sz val="10.0"/>
      </rPr>
      <t xml:space="preserve">
</t>
    </r>
    <r>
      <rPr>
        <rFont val="Arial"/>
        <sz val="10.0"/>
      </rPr>
      <t xml:space="preserve">          5.这个属性要以实际电池作为最终判定，EVB数据仅供参考</t>
    </r>
    <r>
      <rPr>
        <rFont val="Arial"/>
        <color rgb="FFFF0000"/>
        <sz val="10.0"/>
      </rPr>
      <t xml:space="preserve">（因为和电池的内阻属性相关性也很大）
</t>
    </r>
    <r>
      <rPr>
        <rFont val="Arial"/>
        <sz val="10.0"/>
      </rPr>
      <t xml:space="preserve">        </t>
    </r>
    <r>
      <rPr>
        <rFont val="Arial"/>
        <color rgb="FFFF0000"/>
        <sz val="10.0"/>
      </rPr>
      <t xml:space="preserve">  KP给的时间是5/28 equator 电池出来，第一时间寄送给南京和厦门进行确认。 
</t>
    </r>
    <r>
      <rPr>
        <rFont val="Arial"/>
        <sz val="10.0"/>
      </rPr>
      <t xml:space="preserve">Rootcause : EVB仿真点位有些偏差，按照QC新仿真模型重新仿真数据看左右通道阻抗有偏差        
solution：   修改PCB走线。 尽量减少slave CP相关的阻抗，并适当增加master CP的阻抗来尽量平衡。  DVT1 导入。（目前PCB已经修改好并且仿真ok。）
最后优化方向：  target ：左右通道Ibat 差值小于1A 
                            thermal 结果趋势来进一步判定。
</t>
    </r>
    <r>
      <rPr>
        <rFont val="Arial"/>
        <b/>
        <color rgb="FF0000FF"/>
        <sz val="10.0"/>
      </rPr>
      <t>DVT1 机器测试：左右通道Ibus 差值再200mA 也就是对应的Ibat 差值400mA （MAX）。 已符合预期 ，close</t>
    </r>
  </si>
  <si>
    <t>xuwei</t>
  </si>
  <si>
    <t>QC CR：7848684</t>
  </si>
  <si>
    <t>DVT1 机器测试：左右通道Ibus 差值再200mA 也就是对应的Ibat 差值400mA （MAX）。 已符合预期 ，close</t>
  </si>
  <si>
    <r>
      <rPr>
        <rFont val="Arial"/>
        <sz val="10.0"/>
      </rPr>
      <t>Issue：快充时候，log 打印数据和预期是不匹配
Rootcause：可能1 ：PMIV新架构，log打印还需要澄清。 
                     可能2 ：ICL 等充电配置目前有问题，没有如预期配置，所以看起来log 对应不上。 ---</t>
    </r>
    <r>
      <rPr>
        <rFont val="Arial"/>
        <color rgb="FFFF0000"/>
        <sz val="10.0"/>
      </rPr>
      <t>需要dump 寄存器给QC确认具体配置值，然后修正配置后dump确认配置对了，才能往下继续测试事宜。</t>
    </r>
    <r>
      <rPr>
        <rFont val="Arial"/>
        <sz val="10.0"/>
      </rPr>
      <t xml:space="preserve">
Next action： 1和2 都要同步排查。然后再进入下一个均衡问题确认。
                   方向1：5/16 QC给的配置，配置后判断还是觉得不对，继续沟通中 （CP 和 Buck 的电流混在一起））
                                 5/22 QC提供一些配置建议，导入后，看起来比较接近了。（CP 和 Buck 的电流已经可以分别读取了）-分开后的读值是否正确，正在tuning 
                    方向2.  5/16 中午 dump 成功第一份寄存器，发给QC ，待回应。
                                 5/22 QC提供一些配置建议，通过解决方向1后的log 显示 和设置值还是对不上 
                                5/28  快充时候 BUCK charging ICL设置100 （实测电流是100mA）但是log 打印出来BUCK charging 电流是300+ 。PMIV0102的快充DIV模块 实测在2900mA左右，但是 log打印出来是2450mA  ,偏差了450mA，问题及log提交给QC ，暂时没有找到根源及提供有效改善方法。
           </t>
    </r>
    <r>
      <rPr>
        <rFont val="Arial"/>
        <color rgb="FFFF0000"/>
        <sz val="10.0"/>
      </rPr>
      <t xml:space="preserve">建议SW 从6/3 开始拉QC 例会核对这个问题的分析和解决来加速case解决。
</t>
    </r>
    <r>
      <rPr>
        <rFont val="Arial"/>
        <sz val="10.0"/>
      </rPr>
      <t xml:space="preserve">                6/13 highlight 给各位领导 ，并重新触发QC CR针对 PMIV CP 电流读值偏差问题。启动邮件追踪push 该case
 1. PMIV 快充的Ibus电流已经比较准了，最大电流情况下，误差值预计在100mA左右，可以满足项目需求。 6/20 
2 .QC bug ：100mA 的ICL设置时候，内部电流检测倍率不对，是真实值的5倍左右，其他电流档位没问题。  最后临时patch是将读值/5的值再log输出就比较接近了。可以接受，先这样go。具体正式修改，QC会加到高通代码主线中 6/25</t>
    </r>
  </si>
  <si>
    <t>QC CR：7847941</t>
  </si>
  <si>
    <t>RISK：仿真fail（64%UI， target=65%UI）</t>
  </si>
  <si>
    <t>Issue： 两个PM8550VS PMIC的GPIO ，无线充SW再ADSP 里面初始化配置后直接就开不了机。
Rootcause ：SW主导和QC继续确认原因。--xuwei9
solution： WLC_inhibit 改到CPU 的GPIO口上GPIO125。将WLC_MODE_SEL 改到 PMIV0102 的GPIO08 上，EVT导入 （项目上无法承接风险往下go，保险方案是改GPIO口后继续往下go）
Action：0511  已通过飞线将更改后的口rework 出来 初步看符合需求，可以控制了，后续再EVT试产前完成细节bringup 。
负面作用：EVB 板子无线充电默认不能正常工作。 如由需要调试的板子，找Xiamen BB rework。
额外发现：CPU GPIO63 GPIO list 描述是PD 口，实际测量是PU口，需要和QC确认。--HW chenwt
         EVT 确认OK</t>
  </si>
  <si>
    <t>Issue：  无线充SW在ADSP 里面初始化配置后 PMIV0102 的GPIO08作为中端口，实际测试无法收到中断
Rootcause ： PMIV0102的GPIO 应该是不能作为中断使用。
solution：   将WLC_DET改到CPU的GPIO63  。EVT导入 
Action：0511  已通过飞线将更改后的口rework 出来 初步看符合需求，可以控制并收到中断了
     EVT 确认OK</t>
  </si>
  <si>
    <r>
      <rPr>
        <rFont val="Arial"/>
      </rPr>
      <t>RISK：SW 无线IC SC9624 ，在houston 印度工厂量产中，工厂测试发现大概0.15%无线充电无作用，换无线充电IC后OK。（试产约0.07%，所以产线认为可以接受，没有反馈问题）
Rootcause :  无线充IC 内部校准参数被改写了，厂家怀疑是咱们FW升级时候有小概率动到校准参数。（但是厂家自己测试无法复现问题）
solution： 1.for houson 已经出了版本导入量产（同时加入对校准参数的log 跟踪，以便万一再出现可以抓到细节log确认在什么情况下出的问题），需要较大数量的数据来看是否解决。（预计5/25 出10K左右的结果。）
                2.for equator ：备份 PCB 可以兼容的方案CPS4038（老方案，</t>
    </r>
    <r>
      <rPr>
        <rFont val="Arial"/>
        <color rgb="FFFF0000"/>
      </rPr>
      <t>但是会cost up 0.035$</t>
    </r>
    <r>
      <rPr>
        <rFont val="Arial"/>
      </rPr>
      <t>），以防万一SC9624的生产良率 无法达到PE能接受的程度。   但是需要在EVT试产前决定用哪个。  PE 主导收集houston 数据。
                    action : rework CPS4038 的PCBA出来（5/12 到达南京），待SC9624 bringup 完成后开始开发CPS4038 的bringup 。</t>
    </r>
    <r>
      <rPr>
        <rFont val="Arial"/>
        <color rgb="FFFF9900"/>
      </rPr>
      <t xml:space="preserve">期望在5/20 前完成。  具体待跟进SW进度
</t>
    </r>
    <r>
      <rPr>
        <rFont val="Arial"/>
      </rPr>
      <t>Houston验证10K ok， 维持目前SC9624设计</t>
    </r>
  </si>
  <si>
    <t>RISK：SW 无线充 bringup ，南京有两个无线充调试的板子开不了机。
Clue：1. 说是焊接线圈后出现的故障，但是实际上线圈和板子其他开机相关模块没有任何相关性。（推测是否当时哪里操作不小心短路到哪个电源导致PMIC烧毁）
       2.厦门BB 1个板子ok，南京后面用最新版本+第三个板子也ok， 没发现问题。
Rootcause : 1.寄送一个板子到厦门，分析没有漏电，重新刷版本后可以开机，不复现问题。 （不排除是当时SW代码有问题导致的不开机。）
solution：   keep monitor 
没有再报问题</t>
  </si>
  <si>
    <r>
      <rPr>
        <rFont val="Arial"/>
        <sz val="10.0"/>
      </rPr>
      <t xml:space="preserve">Issue： wide camera 背面有WIFI芯片，S3b 2P2 会干扰camera
Clue：1. 在houston 上验证2.2V 会干扰wide camera            
Rootcause : 13M sensor受到干扰
solution： 预留隔磁片空间
</t>
    </r>
    <r>
      <rPr>
        <rFont val="Arial"/>
        <color rgb="FF0000FF"/>
        <sz val="10.0"/>
      </rPr>
      <t>6/20：去掉隔磁片在WIFI最大发射功率，以及正常下载和上传时，测试RCN pass, 去掉隔磁片。 DVT1 monitor</t>
    </r>
    <r>
      <rPr>
        <rFont val="Arial"/>
        <sz val="10.0"/>
      </rPr>
      <t xml:space="preserve">
</t>
    </r>
  </si>
  <si>
    <t xml:space="preserve">Issue： SIM卡座有一供HRD和二供Lecton，一二供的物料不可以混搭。供应链需求一二供都需要在FPC厂PBH和kongwing试产，这将会产生4款SIM FPC
Clue：1. 厂家物料管控方案     2. ESD的风险管控
Plan： 1. EVT和DVT1 SIM FPC BOM按照一供配一供卡座，二供FPC配二供卡座。哲林确认TVS的贴片方案
              2.DVT2试产一供FPC+2供卡座， 二供FPC+1供卡座，若出现ESD或者其他实验fail, 舍弃会fail的搭配
</t>
  </si>
  <si>
    <t>Issue： 开机fastboot下，插入USB线时，有50%概率会有display先黑亮起后绿屏，如果插着USB数据线，fastboot reboot bootloader 100%会绿屏
Clue：1. 插座USB数据线会出现
           2. 按开关机键重启不会出现         
Rootcause : 
发版的Gerber数据输出错误，原因：工具软件bug问题， cadence未解释详细原因。
Solution：
增加数据输出Datebase 检查。 CAD
增加shorts文件的检查。 BB&amp;RF
调试临时对策：
EVB 屏幕和USB数据线或者充电器不可以同步使用
需要使用屏幕的板子AVDD飞线，如bringup notice</t>
  </si>
  <si>
    <t>Chenyc4</t>
  </si>
  <si>
    <r>
      <rPr>
        <rFont val="Georgia"/>
        <sz val="11.0"/>
      </rPr>
      <t xml:space="preserve">Ramp Build ,CQA2 ,12pcs can not wireless charge when phone power off. Total/13K ?
clue :
1 .Wired charge can work when phone power off  and power on .Wireless charge can work when phone power on .
2. Wireless charge can not work at  power off  but can charge after short press power key   .
3. EXP : replace relate components . Q2800 (can not recover) ,U2801 (can not recover ) &amp; U1001 (CPU  and need replace memory at same time for power on ,it recover),suspect it is related U1001 issue.
4. EXP : </t>
    </r>
    <r>
      <rPr>
        <rFont val="Georgia"/>
        <color rgb="FFFF0000"/>
        <sz val="11.0"/>
      </rPr>
      <t>NG U1001 replace to ok PCBA ，result  ：TBD</t>
    </r>
    <r>
      <rPr>
        <rFont val="Georgia"/>
        <sz val="11.0"/>
      </rPr>
      <t xml:space="preserve">
5. EXP :  </t>
    </r>
    <r>
      <rPr>
        <rFont val="Georgia"/>
        <color rgb="FFFF0000"/>
        <sz val="11.0"/>
      </rPr>
      <t>check waveform for fail unit （WLC_DET  before and after R2811    &amp;  CHRDETB  ）to check why it can not work，result  ：TBD</t>
    </r>
    <r>
      <rPr>
        <rFont val="Georgia"/>
        <sz val="11.0"/>
      </rPr>
      <t xml:space="preserve">
Rootcause： 
Solution ： 
RISK assessment ： </t>
    </r>
  </si>
  <si>
    <t xml:space="preserve">DF :BATTMAN-24617 Power Charging issue :wired charger can not charge ,wireless charge ok .PVT NP8N4E0289
clue :
0.Factory test all pass
1 .with factory SW ,and CQA show battery health unknown
2.log check :Slave CP I2C 0x63 can not work .
3. EXP :catch available address on I2C bus 9 （adb：i2cdetect 9） ，result：0x55(fuel gauge),0x60(wireless charge ),0x61 (master CP).only lost 0x63 （Slave CP and not other I2C added）
4. EXP :flash a latest userdebug SW(limit to 30W charging when slave CP I2C can not work) ,it can charge . but with around 27W . test 10 times ok . and check charging curve ok .(30W power)
5. EXP : temp SW that open the power limit of 30W ,change to 68W when slave CP I2C can not work . result:charge to 5.2A Ibus.
it means slave CP should work at 0x61 address ,and master REG right take effort into slave CP too .
Rootcause： Slave CP SC8541D I2C address jump from 0x63 to 0x61 (HW IC bug) . Factory SW early version block charging in this case to check this kind of item （import from prado DVT2 , SW V2VD35.62/39720a-92145e used in this CR ）
Solution ：1. Flash to a User SW and it charging ok ，can charging to full . (about 9 mins slow than MAX power in this case)
2. Factory SW will not block charging in latest version.（import from V2VD35.63-F.2 ）. Just block charging when I2C address jump in factory mode .
RISK assessment ：Low risk .
more action for other new project : suggest to add an external pull up R (30kohm-300kohm) between addr pin and Vregn of SC8541D to avoid I2C jump when use 0x63 address.(to make the voltage of ADDR stabler)
</t>
  </si>
  <si>
    <t>https://idart.mot.com/browse/BATTMAN-24617</t>
  </si>
  <si>
    <r>
      <rPr>
        <rFont val="Georgia"/>
        <sz val="11.0"/>
      </rPr>
      <t>RISK：MOTO NUDD 磁吸背夹 PCMCR 进入，处于approve 状态中，相关方案的各种事宜分解需要细化清楚
BB相关：1.HALL IC 磁仿真OK， 其他sensor 评估ok ，mag sensor不受影响，不需要两套参数，cap sensor 要启动重新校准。
2. WLC 需要两套参数来匹配（磁吸背夹 吸附 和 没有磁吸背夹，要各自一套参数）  单独增加 GPIO 设计 让AP通知  WLC IC，DVT1B 开始导入到机器中。
       被动影响问题：DVT1A和EVT机器 导入这样的FW后WLC 充电会乱掉，怎么处理。  评估ongoing --chenwt ，wanggc6
3.thermal WLC charging 部分，需要两套参数 （磁吸背夹 吸附 和 没有磁吸背夹，要各自一套参数），</t>
    </r>
    <r>
      <rPr>
        <rFont val="Georgia"/>
        <color rgb="FFFF0000"/>
        <sz val="11.0"/>
      </rPr>
      <t>具体参数需要最终的WLC FW 基本lock 后才能tuning，需要多久时间？目前预估3周是否ok？</t>
    </r>
  </si>
  <si>
    <t>IKSWV-45596</t>
  </si>
  <si>
    <t xml:space="preserve">DF :chagring slow ,total 3pcs NA CDC found .
clue :
1 .unit log show Slave CP I2c can not work ，user SW will not charging in this status.
2.this unit factory test all pass
Action ：
1.Need fail unit back to xiamen for analysis ，---Jinrong （1 unit will back by Ronli hand carry )
2. other 2 units Log update and analysis
3.factory test process check : can Factory cover similar fail unit ?---海建，文亭
Rootcause：TBD
Solution ：TBD </t>
  </si>
  <si>
    <r>
      <rPr>
        <rFont val="-apple-system, BlinkMacSystemFont, &quot;Segoe UI&quot;, Roboto, Oxygen, Ubuntu, &quot;Fira Sans&quot;, &quot;Droid Sans&quot;, &quot;Helvetica Neue&quot;, sans-serif"/>
        <color rgb="FF1155CC"/>
        <sz val="11.0"/>
        <u/>
      </rPr>
      <t>IKSWV-72264</t>
    </r>
  </si>
  <si>
    <t xml:space="preserve">Issue ：A+G may can not work after reboot phone .  1unit in NA report this case. 
Clue :1.Milos can reproduce in some units .at lease 2 units in XM . 2units in shanghai
     2.logic wave form check : after reboot ,A+G I3C SDA is low at most time .MTK suspect it is A+G device issue .master can not pull down SDA at so much time.
   3. if disable P-sensor ,it can not reproduce (SW debug information ,need confirm)
Rootcause :I3C bus error due to IBI function of TDK A+G sensor I3C have some bug that it may pull down SDA line always.
Solution :Disable  IBI function of TDK A+G sensor I3C </t>
  </si>
  <si>
    <t>Issue: 电话中，离开头部，屏幕无法恢复
Clue:  P-sensor CT值没触发门限
Rootcause:此PUD共性问题（MILOS也有）， CT值随时间漂移比较大，
Action: 优化算法</t>
  </si>
  <si>
    <t>2.Design</t>
  </si>
  <si>
    <t>Issue:前置 Camera马达铁壳不接地，去除铜箔评估</t>
  </si>
  <si>
    <t xml:space="preserve">Issue: PUD  EVT1---DVT2 CT值偏大
Clue: 泡棉位置和大小对值影响非常大
Rootcause:
1.1硅胶套作用的认知
1.2隔离效果差，材料不合适
1.3 参数
2.材料隔离度的认知：实验设计
Solution:
DVT2B 研发验证，PVT 工厂验证
Action:
1. 1.8V增加RC电容，增强电源稳定性
2. PUD板和中框之间改导电胶，解决原来泡棉值大的问题
3. 中框和屏幕之间泡棉减窄，手工验证OK
</t>
  </si>
  <si>
    <t>Issue: EDU03 DVT1 ESD d1 SIM卡坏
Clue： 测量SIM卡DATA引脚，二极管挡对地压降为0.9V，正常为0.5V，判断DATA信号被打坏；
Root Clue：zone9（ActionKey）前一个区域zone8是SIM卡槽处，且6号引脚是在外侧，推测ESD从SIM缝隙处放电，打到SIM-DATA引脚处损坏SIM卡；
Action：
1. 加强SIM屏蔽壳接地(PCB)；
2. SIM卡DATA,SWP引脚，增贴TVS，在DVT1B版本导入验证；
3. SIM_UIM1的DATA/SWP串33R 电阻（0613952X37） CLK/RST/DET串0R电阻（0613952Y66）
DVT2 ok</t>
  </si>
  <si>
    <r>
      <rPr>
        <rFont val="Georgia"/>
        <sz val="11.0"/>
      </rPr>
      <t>Issue :  DVT1 ESD WH185467 1ST  d3 Right louder speraker no function(15kv, zone7, 通话状态）;
Clue: 拆机，测量Smart-PA输出LDSP-DM网络阻抗对地0.1欧，判断Smart-PA输出端损坏；
Root Cause: 整机Costdown, 删减SPERKER接地泡棉; 先前设计的镭雕放电区，没能成功防住ESD；
Action:   
1.  LDSP-DM &amp; LDSP-DN网络，DVT1B USB板紧急rework 6 台机器，增加TVS进行验证（Presemi PESDMC2XD18VB 18V），月底出结果。；提前Prisemi索样，在DVT2版本全部导入；
2.  天线确认，可以增加泡棉接地；结构确认中框预留导电泡棉预留位置；</t>
    </r>
    <r>
      <rPr>
        <rFont val="Georgia"/>
        <color rgb="FF0000FF"/>
        <sz val="11.0"/>
      </rPr>
      <t>（DVT1B如果没问题，先不加泡棉0.2元）</t>
    </r>
    <r>
      <rPr>
        <rFont val="Georgia"/>
        <sz val="11.0"/>
      </rPr>
      <t xml:space="preserve">
3.  DVT2版本USB PCB进一步优化TVS放电路径；
DVT2 OK</t>
    </r>
  </si>
  <si>
    <t>Issue ：  部分机器快充时候指南针APK 20241105-3Dcompass 1.apk 测试结果会偏转很大（有时候一直转角度不停）
clue：1.部分机器会部分机器不会。  和机器EVT或者DVT1 没有直接关系。
           2.出现问题时候M-sensor会一直偏移，不会停 
          3.复现问题偏移过程中，灭屏再亮屏，有较大概率就不再偏移。再碰一下手机，就会继续偏移。---推测这款 APK 和A+G 有关系，而不只是M-sensor，而问题可能出在 A+G的数据而不是M-sensor
         4.更换另外一款 指南针APK，确认不复现故障。更加推断是A+G有问题导致的。
rootcause：suspect  A+G  sensor impact by thermal  what is cause by fastcharging.
Action：寄送故障机给A+G 的vendor 进行进一步分析 。
solution：proposal ，A+G 更换到手机靠上端比较不热的地方（手机 Y轴靠近上端）
DVT2 ok</t>
  </si>
  <si>
    <t>Issue:Barometer 放快充背面，温漂风险
Action：快充同时用气压计场景少，漂移范围可以接受，无更合适位置</t>
  </si>
  <si>
    <t>ssue 1:  Taptap has a low recognition rate
Root Cause: A+G sensor is on the low half of the mainboard, making it not responsive enough
Action:        Move to top part of the mainboard
Impact：Camera effect needs to be re-tuned.</t>
  </si>
  <si>
    <t xml:space="preserve">[s1]Issue ： Prado main camera 客观RCN 测试fail，主观测试fail
clue: 1. Camera AVDD2.8V AGND单点接地回路远
Root cause : 
IMX896 AGND要就近接地
AVDD2.8V LDO输入电源滤波,LDO GND 和 AVDD 输出电源地有压差
Solution: 
  1 . 修改AVDD2.8V，AVDD1.8V AGND表层接地
  2. AVDD 2.8V LDO从2.2uf 改为10uf
 3.  AVDD2.8V LDO 输入, 输出电源和LDO GND 共地后下主地
LL :
IMX896 AGND 接地回路要短。
参考houston布局或者是等prado DVT1的效果
</t>
  </si>
  <si>
    <t>[s1]Issue ：和Milos同组参数的情况下，Milos CT=6000，Prado P Sensor CT=39000。配houston硅胶套后，CT=9000
clue:  1.  HW设计影响排除，ME差异待拉齐
           2. ME设计确认，TP-PSA和Psensor泡棉 Follow Milos
Rootcause：  中框和屏之间的泡棉无法防止CT，改用houston DVT2的物料后OK</t>
  </si>
  <si>
    <t>Task ：USB 2.0 眼图测试。长线1m测试结果按照短线标准过不去
solution：调整预加重 从10改为11 ，有些优化，基本上擦边pass</t>
  </si>
  <si>
    <t xml:space="preserve">[s1]Issue ： wide camera工作时有条纹干扰 
clue:  1.  Wide camera 抬离主板8mm，条纹消失
          2.  用手遮盖镜头，光线变暗时，条纹会变很明显。
Root cause : 
Wide camera 50M sensor抗干扰能力弱，受到主板上camera下方的电源干扰（VSYS，Vs3_pmic， VBB）
Wide camera参数错误，ISP设置4~5X，干扰被放大，和软件沟通的是大概率设置在2X。 
Solution: 
1. Sw 效果部分集成参数， 增益调整2X（和SW zhangbo54确认ISP增益为2X），贴隔磁片效果可以接受。
2. DVT1主板VS3 ，VBB 避开camera 修改layout。Vsys无法修改。
3. EVT2 装配增加60um隔磁片，RF ok，ANT需要测试，ME已经备料。
LL：
电磁干扰的是camera模组上的哪一部分？模拟转数字电路部分？投影到camera上在哪个区域？
待做实验验证，不同的区域加变化的电磁场，看效果。是否只和camera模组的AVDD pad 走线区域重合？
</t>
  </si>
  <si>
    <t xml:space="preserve">Issue S3: 死电池激活，WLC 不能自动转入关机充电界面。
Clue：1. WLC 死电池依然能持续激活，充到超过开机电压了3.6V以上，只是系统没有自行转入关机充电界面。 
             2.有线充电是ok的。
             3.测量电压发现 WLC_DET电压不够，只有0.4V VS 期望的1.2V以上高电平。
Rootcause：   R2811 电阻和系统漏电产生分压，导致控制电压不够
solution：   R2811 从10K 改为1K。（1K 在glory 上面有量产，所以基本上可以确认没问题）  ，EVT  mems 导入修改
                     具体rework 实验TBD。 </t>
  </si>
  <si>
    <t>Issue S3: CID no function
Clue： 插入设备后，CID GPIO 电平只有1V VS 0.63V以下，所以获取不到中断
Rootcause：  GPIO的上拉内阻 和串联的10K电阻 分压比例不好
solution：   EVT 串联电阻临时改为1K电阻。（改为1.5K的临时更改验证ok） 负面作用：串联电阻太小，担心MP防护不够高，担心有问题。
                     DVT1 GPIO 更改到上拉内阻比较大的，预计改到GPIO30 。rework 待验证</t>
  </si>
  <si>
    <t>Issue S3:  EVB 首版验证 不识别USB口
Clue： 1.AP_good 没有信号-》推测可能是没有时钟
            2.确认26M 晶振没有震荡-》查找相关。
             3.确认 CLOCK IC  使用MT6685LP 没有贴错。-》怀疑 晶振是否贴错及电源是否有。
Rootcause：  CLOCK IC 使用的晶振贴的52MHz导致Clock模块无法工作（24M 平台需要使用26MHz晶振）。进而导致不识别USB口
solution：  更改晶振为26MHz，具体型号RF负责
 lesson learn ： RF 主导</t>
  </si>
  <si>
    <t>Issue S2:  Smart PA should can not work at EVB  
Clue： Milos bringup fail &amp; we re-review check same issue in prado （ Smart PA I2S DO &amp;  DI  connect error  ）
Rootcause：  Smart PA I2S DO &amp;  DI  connect error
solution：   1. get smart PA demo board and wired to EVB for bringup
                      2. change Smart PA I2S DO &amp;  DI  to correct connect -from EVB2
 lesson learn ：双向改为MISO,MOSI规范命名</t>
  </si>
  <si>
    <t xml:space="preserve">Issue： Wireless Charge Test Get Results (Houston IN) ,FR ~0.26% in Dixon .
Clue：1. No such case in WHP
            2. L2vision test no any data but not just test limit fail （TELL_WirelessChargeTest_GET_RESULTS）
            3. BT test ID is 38436 （Asc ii）  ，it is  0X9624      ，same as ok unit    （WIRELESS_CHIP_ID_TOP_VALUE）  
            4. Log check Wireless charge IC U2801 FW is right 
        5.but there is no interrupt from the wireless charge IC to CPU . 
        6.EXP ：wire out the coil and retest ：fail 
        7.EXP ：replace of U2801 with a new one : ok
        8.EXP：  force U2801 FW update ：fail 
 Root cause :  wireless charging IC U2801 issue  .need vendor get the fail unit &amp; fail board for further analysis.
                TRIM(IC calibration data ) error after FW update. 
solution：Vendor change FW update code to avoid edit TRIM data.          </t>
  </si>
  <si>
    <t xml:space="preserve">Issue：IKSWV-66067  SM6475 // Houston India // V //The battery cannot be charged to full.  Stop @97% 
Clue：1. india charger +india phone test issue.  NA SKU  no issue found in same test so far. 
            2.replug charger and it recover and charge to full.
            3.from log: it is due to main charging IC PM8350B abnormal at this time . it show charging ,but no charging current.
          4.from log :SW noticed  PM8350B  abnormal , it happened at about 77% ,and  user notice it   @97 % when phone closecharge pump.
Action : SW  add dump REG of main PMIC   in temp SW version    trying to reproduce and get more information first for rootcause research  ,waiting for reproduce  
Rootcause : TBD 
solution：
      workaround :when notice it by disable USB port and enable usb port again or similar action .  </t>
  </si>
  <si>
    <t>IKSWV-66067</t>
  </si>
  <si>
    <r>
      <rPr>
        <rFont val="Roboto Condensed"/>
        <color rgb="FF1155CC"/>
        <sz val="10.0"/>
        <u/>
      </rPr>
      <t>PCMHOUSTON-25</t>
    </r>
  </si>
  <si>
    <t>Camera power up fail sometimes -Houston
1.issue 定级
Issue ： camera 概率性不能打开，自动恢复，下次可以打开。runin 数据是这台机器 1/3500 。Total 20台？出现1次？
测试也有单次出现，自动恢复。正常压测不能复现
等级：软性可自动恢复。
影响：不会影响退机，但有一定的影响用户体验 。
2. 深入挖掘，尝试找到根源清理 。
2.1 runin这台复现1次的机器压测1万次左右，复现问题后的状态抓到了，当前故障也理清，I2C 总线活着，设备也都活着。
2.2 压测复现的log 使能PMIC时候看I2C错误过，但是I2C错误到恢复是几乎一瞬间。 所以现场自动恢复了，复现问题瞬间 不知道具体如何。尝试寻找抓取瞬间I2C错误现场的方法？ ---压测4天没有复现，暂时没有抓到故障 12/9
2.3 如何加大复现概率？：尝试修改脚本，可以离线运行（不连接电脑），次数60万。--- Mingfeng MF3 Yang | 杨明枫 。
然后 HPM协调10台机器进行压测，来看是否能复现？（也用来作为后面workaround 后是否解决问题的验证手段）
3. 是否有解决或者临时解决方法来解决或者降低对用户的影响
可能方案：proposal 继续研究打开camera 时候的PMIC 输出电压的I2C控制接口，争取这边加第二次使能，并且中间加1ms delay。（by Mingfeng Yang 12/9）
方案:加1ms延迟，方案验证通过</t>
  </si>
  <si>
    <t>外部open 的link</t>
  </si>
  <si>
    <t>Issue：CCT RD复测精度 ，HZ和A 光源 超标准  50%  ,其他光源 ok ，共测试8种光源（camera给的标准是 +/-15%）
rootcause：推测 1 金机可能不是中间值机器，推测2 算法cover 范围不够导致的。
solution： 1. 通过产线大数据，找到接近中值的机器，重新整理后制作成金机for 后续使用。-------经讨论，金机可以沿用，不更新 
2. rework 极限属性的IC到机器上，收集极限数据，然后算法优化来覆盖极限机器。目的是保障极限机器也ok 。这个是优化的新开发流程，paros 没有这一步。 plan 预计12/15 完成相关工作-------抓完6台机器的rawdata，更新了校准系数，验证了PVT NA,DVT2 INDIA,DVT2 NA都可以pass</t>
  </si>
  <si>
    <t>Issue：认证反馈 ，NA  SKU 电池NTC 附近温度到达60度后，充电还没有停止。（在电池NTC附近加热电偶进行温度监控）
Clue：返回的机器自测pass  ，无法复现故障。
rootcause： suspect  SW版本比较老怀疑是认证当时有bug  
solution: 1.更新到最新版本，再次送认证复测  
 2.同步Action：同步请认证机构打开Battery tracer APP，记录手机温度和电流状态。 万一复现，拍照手机和认证设备上温度和电流的照片，分析数据来判定为什么会fail。
11/28 更新：复测发现 问题1 ：TMO的已经到达58度，Battery tracer APP显示 charging current loading （表示上层通知停充了），但是认证测试的电流表上还是显示有260mA进入电池。
                        问题2：非TMO的机器，到达62度，电流还是显示-1611 （一直不动，整个过程都是这样，APK似乎出问题了。），这时候夹具上确认到只有120mA电流进入电池，也是判fail。
           认证表示 没法提供log ，SW 无法进一步分析。 
      线索：认证是将电池电芯断开，再电芯和电池保护板之间串联电流计来进行监控判断电流。
12/2 更新：1. 返回的机器 log 捞出来给SW确认判定为pass 。2.对应两台机器，在我们实验室用我们的电流计 和 加热台加热 手机，不会出现11/28 出现的问题1和问题2 。 都是pass 的。
   暂时无法理解为什么认证那边测试会fail 
 下一步: 1. 参考Orion 这周测试  12/6
                 2. onsite 跟踪测试进一步确认是什么问题导致的？</t>
  </si>
  <si>
    <t>Issue：Build P-sensor cover APK test NTF ,NA DVT2 一供报5.15 NTF。
rootcause：1.分析抖动比较大导致的，solution1 ：加大测试margin 看下改善情况 2.P-sensor 冷启动时候一开始抖动比较大 。 3.测试夹具环境 Display 对CT有一些影响
solution：1.（降低灰卡挡板从22mm改为18mm ，然后将*倍率从0.95改为0.9 ，DVT2 二供全面导入）
2.DVT2最后200+台机器，导入action： 将P-sensor常开并在测试P-sensor前关屏，目前结果  NA SKU 159台都pass。 
将这些action都导入PVT ---ongoing （修改12M）  。 然后monitor PVT data
  PVT当前200台出现1台，继续monitor 数据。 0.6% （3/500）</t>
  </si>
  <si>
    <t>DVT2 ESD WH184180 2nd 11/20 unable to power on;D5(15KV,zone8手写笔孔位置) 
Rootcause : 绝缘膜没有贴好，ESD从空隙穿过打到FPC上，打坏了hall IC 和 主板
 solution：加强厂家对贴膜的管控质量 -ME   
monitor PVT</t>
  </si>
  <si>
    <t xml:space="preserve">[s2]Issue:   WH182655 2nd source  EDU14 fail @170V D1 /190V D2
Clue: 
   1.EVT和DVT1 一供机器 都是pass的（pass 最高电压600V），主要差异器件是快充IC 和 OVP mos 。但是OVP mos 原理上没有直接相关性，所以主要嫌疑对象是 二供快充IC
  2.D1 不能充电，但是OTG可以使用，机器漏电21mA /  D2 漏电流4mA，功能没有异常。  从以上信息推测，主充电IC模块还能工作，接口识别还ok， 推测故障点在 快充IC的VAC口。拆除IC后主板漏电流正常。证明IC坏了
  3.  二供快充故障IC 1# Vendor 第一步确认到 VAC 对GND有漏电，REGN 有些异常。 推测电大概率是从VAC进入。 具体待进一步分析后确认。南芯Demo 上面暂时没有复现到故障。
Rootcause： 二供快充IC SC8541D VAC 端口浪涌抵抗力比较弱导致本体损坏。
下一步：
故障1# IC详细分析，查找浪涌进入损坏的路径。以及  2# IC的初步确认，看是否和1#IC 一样的失效点。10/25 早上提供 。
mona 机器上实测情况含波形抓取（测试条件：插着充电器，浪涌每个电压连续打5次浪涌，浪涌间隔5~10秒 ）  ，10/25 早上提供
优化方案  （包括板子修改 或者 器件调整 ）  ，10/25 早上提供
demo 上测试条件和 联想测试状态的逼近再复测一下。（CP工作，不工作，开启过程各种状态 浪涌 ）  TBD？
solution： serie R  on VAC  R2743 change from 22R to 100R .Import into DVT2 2nd source .（mems 已经备注）
Verify : Temp rework 2 units， test pass . 
         DVT2 2nd source EDU14 ， test pass . </t>
  </si>
  <si>
    <t>DVT2 ATT drop WH184222 2nd Unable to power on:D4(1.5m,front) 
Clue：1. display poewr short to GND
   2.  change to a NEW display module and it can power on
Rootcause :  Display module damaged cause power short to GND and cause phone can not power on.
solution: ME &amp;KP stracking</t>
  </si>
  <si>
    <t>Issue:DVT1 EDU15 WH182510 1st ,OTG no function,and translater no function,cannot recover after reboot
Clue:1.D2- TVS损伤，D+对地68K，D-63K， 问题现象同之前wrangler类似。
          2.RD实验：短路5V 到TVS上，不会造成TVS损伤但是短路的同时有浪涌可能会有此现象 
           3.据实验人员描述这台是测试到Vbus ，D+，D- ，GND 四个短路后的实验后fail。   
         4.  二供TCC实验无法复现，RD实验参考实验室操作也无法复现。
        5.实验室测试方法是先插OTG，再来一根根短路信号出现问题。 实际用户 场景如果有段路，基本上也是配件本来就短路，再插入手机，而这种情况手机会直接软性保护，原则上不会出现故障。所以实际影响很有限
Rootcause：推测是测试中触发浪涌或者ESD并且一直维持5V短路造成的烧毁
solution ：monitor 
长期：如果要根除这种实验触发的故障，要更改TVS 型号，选择高电压的TVS，并尽量选择 恢复电压比较高的。（但是对CPU的ESD和浪涌防护会变弱一些）。 所以不太建议更改，具体建议ESD 专家 和vendor 及各地专家沟通下 再说</t>
  </si>
  <si>
    <t>Issue ：DVT1 ALT WH182695 2nd source： unable to power on:C2(15kv，Zone9 ，耳机孔附近)
clue：C2这台故障机（ After +15KV air discharge at zone9 , Headset mic no function, and unable to recover），收到CQA测试耳机MIC功能确实异常 
 拆出测试SUB板，单独测试HS_MIC_N和HS_MIC_P网络阻抗，均为OL 
接入主板，测试HS_MIC_P阻抗为284Ω，HS_MIC_N阻抗为0.9Ω  ，VS ok板子 的230kΩ左右 ，确定是codec芯片被ESD打坏
rootcause：中芯国际的WCD9370 比较弱，ESD 直击到耳机通道比较容易损坏。自能尽量增加防护来降低15KV出问题的概率，但是没法确保一定不出现。
solution：1.耳机MIC 串联电阻 从10R增加到100R。DVT2 一供开始导入
                  2. DVT2 二供优化PCB ，TVS 401
                        DVT2 都使用中芯国际 的IC 来加大验证数量
DVT2 一供测试pass ，先Closed</t>
  </si>
  <si>
    <r>
      <rPr>
        <rFont val="Georgia"/>
        <sz val="11.0"/>
      </rPr>
      <t>Issue ：DVT1 ALT WH182596 1st source 第二配色 unable to power on:C2(15kv，手写笔孔)
clue：样机返回厦门，预计10/17到达
rootcause：1. 主板HALL_INT_S端口阻抗异常，FPC部分VREG_L8E_1p8，HALL_INT_S，HALL_INT_P阻抗异常，确认主板CPU和HALL IC损坏；
solution：</t>
    </r>
    <r>
      <rPr>
        <rFont val="Georgia"/>
        <color rgb="FF0000FF"/>
        <sz val="11.0"/>
      </rPr>
      <t>1. DVT2及以后机器增加绝缘麦拉片 ，确保堵住Hall IC开孔；</t>
    </r>
    <r>
      <rPr>
        <rFont val="Georgia"/>
        <sz val="11.0"/>
      </rPr>
      <t xml:space="preserve">
               </t>
    </r>
    <r>
      <rPr>
        <rFont val="Georgia"/>
        <color rgb="FFFF0000"/>
        <sz val="11.0"/>
      </rPr>
      <t xml:space="preserve">   proposal 2. Hall FPC信号线修改为内层走线，过孔打在焊盘上，并尽可能增大黑胶覆盖厚度面积，在工艺允许情况下增加正面露铜接地区域；---FPC厂家评估无法实现。
                  proposal  3. 主板TVS根据修改后实验情况决定是否贴；----Hall IC损坏，TVS 不能解决该问题，不走这个方向。</t>
    </r>
    <r>
      <rPr>
        <rFont val="Georgia"/>
        <sz val="11.0"/>
      </rPr>
      <t xml:space="preserve">
其他项目：应提前审查到导电笔悬空的ESD风险；
DVT2 一供测试pass ，先Closed</t>
    </r>
  </si>
  <si>
    <t>issue：   产线反馈DVT1 出现2次SIM卡不识别，重新插拔恢复了
action：  产线压测，出现问题不要插拔，直接做飞行模式及开关机看是否恢复，用来判断是否连接器接触不上导致不识别，还是其他原因。
rootcause：插拔过程中 SD 卡座弹片刮到 SIM卡的金属片，导致SIM卡严重磨损。进而导致SIM卡接触不好。
solution：SIM 向下移动0.4mm 来尽量避开 SD卡的刮线。</t>
  </si>
  <si>
    <r>
      <rPr>
        <rFont val="Georgia"/>
        <sz val="11.0"/>
      </rPr>
      <t>Issue S2: P-sensor CT test result:20000~40000 ，Fail（target &lt;3000，deadline：5000) IN EVT
DVT1 方案：
V2：黑色泡棉+0.03黑色背胶+RX硅胶套+机壳不喷黑（应急生产92pcs）
V4：黑色泡棉++0.03黑色背胶+接收区域开孔减小（替代硅胶套作用）+no RX硅胶套+机壳不喷黑（主要生产）
V4:  黑色泡棉+0.03黑色背胶+接收区域开孔减小（替代硅胶套作用 ）+no RX硅胶套+机壳喷黑" （期望的比较好的状态，DVT1 一供末期主要方案，包括L-sensor 金机也用这个状态）
DVT1 结果：CT 数据在6000~10000 之间，没有达到预期理想状态
DVT1 末期：只能导入临时硅胶套+侧面喷黑方案来降低CT，</t>
    </r>
    <r>
      <rPr>
        <rFont val="Georgia"/>
        <color rgb="FF0000FF"/>
        <sz val="11.0"/>
      </rPr>
      <t>根据之前的rework 确认 预计CT在3000附近</t>
    </r>
    <r>
      <rPr>
        <rFont val="Georgia"/>
        <sz val="11.0"/>
      </rPr>
      <t>,批量数据 ：</t>
    </r>
    <r>
      <rPr>
        <rFont val="Georgia"/>
        <color rgb="FF0000FF"/>
        <sz val="11.0"/>
      </rPr>
      <t>200台数据集中在2000~3000，最多不到4000</t>
    </r>
    <r>
      <rPr>
        <rFont val="Georgia"/>
        <sz val="11.0"/>
      </rPr>
      <t xml:space="preserve">
长期：DVT2 导入修改的防呆的硅胶套，以提高产线装配可操作性（同步PCB修改让位给防呆及检查用）
其他项目：目前的结构设计情况下，需要硅胶套+黑色泡棉+中框侧壁喷黑的方案。
  DVT2 目前导入硅胶套后，P-sensor CT已经控制住。 该问题先收敛close ，关注其他问题</t>
    </r>
  </si>
  <si>
    <t>Issue:  DVT1 一供50pcs天线干扰camera测试已完成，其中2pcs测试fail, 问题1：一台主摄N77干扰导致预览fail,  问题2：一台Wide wifi 2.4G阈值超标
analysis：1，问题1：主摄N77干扰，因为前置camera石墨片贴着主摄camera连接器
                   2. 问题2：Wide wifi干扰，log无报错，怀疑测到最后一项从盒子拿出导致，压测150次pass。    
 Solution：问题1： 结构负责，工厂执行，调整贴装石墨片夹具，保证石墨片到主摄连接器间距1mm
                    问题2：Monotor
 已经执行，暂时没有问题，先close 如有问题再reopen</t>
  </si>
  <si>
    <t xml:space="preserve">Issue:   ATT drop No power on issue 跌落后概率性不开机 1台
analysis：1.当故障复现时候，测量发现 BB clk 不能输出，但是32K始终有。推断 CLOCK IC PMK6450 或者对应的晶振 有问题。
  2.按压晶体后不复现，装成整机加测跌落后复现故障。测量 还是BB clk 不能输出，32K有。
  3. 加焊晶体后恢复了。（但是由于 PMK6450 和晶体紧靠着，也会同时受热，所以会一起背加焊到）
 4.应力确认这边最大0.2% ，低应力区域。
Root cause： PMK6450 或者 晶体虚焊导致。
Solution：1. PMK6450 和晶体 加大钢网  -DVT2导入  ---BB文亭 -done
                   2. 预留点胶孔  -DVT2导入---ME jianxi
DVT2 一供测试 没有问题，先close </t>
  </si>
  <si>
    <t>Issue:  DVT1 一供ESD，6台出现2台前置camera无作用。CQA 和 Moto APP都无法打开，稳定存在，重启也不恢复
Clue：1.重启后直接开CQA 或者用第三方APP 是ok的。但是使用moto APP 切换到前置camera 会自动退出，再进CQA就是无作用，并ramdump。
             2.D2机器重新刷其他版本后ok，刷回原来的版本确认也还是ok ，推测 代码哪个关键参数出现错误了（存储在ROM里面的）。
           3.当前log没有有效信息，SW 需要添加更多log 抓取的patch，然后重新抓取有效错误。
analysis：D2 软件升级后，恢复。加camera抓去log的patch后，待压测复现问题，抓log
                   D3 TCC 实验室，待下线，加camera抓去log的patch后 抓log
rootcause: SW MOTO camera APP 没有定义空指针，导致死循环。
solution: 更改空指针兼容策略，预计 10/11 后开始导入。
DVT2 一供测试 没有复现问题，close</t>
  </si>
  <si>
    <t>Issue：
前摄视频通话温度过高：F: ↑0.11°C/B：↑1.97°C
clue：
软件功耗过高：
Houston：48.11℃/49.97℃ @ 3.35W
Wrangler  48.07℃/  49.86℃@ 3.35W
Boston：无whatsapp 数据，wechat 2.7W
硬件散热不足：
前摄石墨面积↓30%（从215mm²减小到150mm²）
Solution：
1、摸底DN 方案收益，收益1C就达到预期
2、DVT1 二供增加DN方案</t>
  </si>
  <si>
    <t>Issue：OTG有时候无作用，出现问题后就一直存在，需要重启后才能恢复。工厂和ESD实验都有报，但ESD报的问题无法完全确认和ESD本身是否没有关系。
clue：
Chai Lu added a comment - 17/Oct/24 5:29 AMFrom aplogd_0947 logs：
CID is ok after connect OTG devices --PASS
type c could detect OTG device connected – PASS
OTG vbus 5v outpud --PASS
4.   The reason is ucsi  could not get OTG  info
Line 26064: 10-15 09:47:52.429 83 83 E UCSI : ucsi_qti_glink_write: timed out for sync_write_ack
Need USB module further check UCSI
 SW issue ，QC 给了个patch ，初测OK</t>
  </si>
  <si>
    <r>
      <rPr>
        <rFont val="-apple-system, BlinkMacSystemFont, &quot;Segoe UI&quot;, Roboto, Oxygen, Ubuntu, &quot;Fira Sans&quot;, &quot;Droid Sans&quot;, &quot;Helvetica Neue&quot;, sans-serif"/>
        <color rgb="FF0052CC"/>
        <sz val="11.0"/>
      </rPr>
      <t>IKSWV-28598</t>
    </r>
  </si>
  <si>
    <t>Issue:  IKSWV-23174 3台报主摄拍照dump。
Clue：
1.均是主摄OIS拍照或者AF对焦拍照时出现问题,且log均提示的MIPI error
2.这3台可以录像preview 100% dump
3.跟WIFI无关（工厂测试用WIFI指令控制）
Root cause：
MIPI cphy参数和目前硬件搭配不是最优
Solution：
优化MIPI cphy参数(  修改后EQ=0x07，  CDR PGM=0x47，CDR Coarse=0x09 )，待软件提供版本给产线。</t>
  </si>
  <si>
    <t>issue：cap sensor no function 4pcs in EVT 改善rework 机器复测 ，D1，D3，D4，D6
故障机待分析汇总：D1 ，D4 ，D6 确认都是I2C不同，D4 D6已交叉确认IC不良。D1原加焊后ok，但是过后隔天又fail。 D3有其他故障，待分析
其他线索：1.PCB 焊盘没有看到损坏货焊盘掉落 2.IC上的焊盘也没看到异常。3.IC本体没看到明显撞击痕迹，更细节的待vendor 进一步确认。
4.有个确认项”故障IC 和正常IC的阻抗对比确认。（如果有厂家的报告，这个其实就不需要，只是在这前，如果想要初步看下哪个pin 异常，一般也就这个方式） 。昨天 shihai给的信息是D6没有差异  
Rootcause：Pin1 bounding crack . due to stress on the component
solution： move the cap sensor up 1.5mm .</t>
  </si>
  <si>
    <t>shihai</t>
  </si>
  <si>
    <t>Issue S3: L406 PCB package not match
Rootcause：          1，DVT1 一供发板前没有进行FL的自检，直接发出去了，PCB一供返回问题L406焊盘没有开窗，临时：处理方式是，让一供 厂家自行将开窗开起来。
       2.  然后 范南更新一版PCB和gerber 到服务器上，用的旧的名字覆盖。备后续使用。  实际 DVT1 二供已经用新的制作中。      
Solution： 1. HD的板子上是否有FL的库的检查项：还是要检查的，这个比较危险。容易出现没有焊盘开窗而无法SMT的情况 会批量板子报废的！！！
       2. 出现临时处理方案的时候（CAD处理后结果和正式的设计不完全一致的）建议同步CC给主设，这样可以提前和后续工序（比如SMT 等）进行提前沟通，避免后续以为是异常停产导致延误项目。  （中秋假期器件报问题，比较难找到对应的人一一沟通清楚，所以尽量提前sync 好信息）</t>
  </si>
  <si>
    <t>艳红</t>
  </si>
  <si>
    <t xml:space="preserve">  RISK : Flicker FOV not good because  ID change request
Change request：
1.  DVT1 ID要求改为类似camera 本体镜头的外观，1.凹面透镜+材料改为 vegas材质 （外观墨绿色）。
 X轴 FOV 38，Y轴FOV 49   
 2. 要改图面透镜+材料改为 vegas材质 （外观墨绿色）  预估 角度还会更小，待有样品摸底，时间TBD
Rootcause：  
solution：   1. 为了区分两种透镜，希望能区分两种机器，增加HWID来做区分，以便后续可以出两个参数来匹配。---chenwt -done
         2.9/29 确认按照新打样的墨绿色的，凸面，2.4mm直径方案（材料要用vegas的），已按此准备DVT1 二供及 金机事宜 --xingshengnan-done</t>
  </si>
  <si>
    <r>
      <rPr>
        <rFont val="Georgia"/>
        <sz val="11.0"/>
      </rPr>
      <t>Issue S2:  WH180780 ，tumble test，  D5  cap sensor nofunction （CQA 所有通道一直显示绿色） ，recover after reboot
"EVT TMO tumble WH180780
1 out of 5 cap sensor no function,recover after reboot:D5(150) 
EVT ATT tumble WH180784
Cap/SAR sensor no function:D5(450)</t>
    </r>
    <r>
      <rPr>
        <rFont val="Georgia"/>
        <color rgb="FFFF0000"/>
        <sz val="11.0"/>
      </rPr>
      <t xml:space="preserve">
EVT MIL drop WH180788 1.5m
Cap/SAR sensor no function:D3(post)"</t>
    </r>
    <r>
      <rPr>
        <rFont val="Georgia"/>
        <sz val="11.0"/>
      </rPr>
      <t xml:space="preserve">
clue：       其他两台硬性故障机器，8/28 到厦门
Rootcause：1.第一台软件故障 。2. 结构CH3 板子断裂问题导致，同MIC2  3.capsensor 单体故障。
solution： 1.软件优化2.同MIC2 无作用的修改板子增加一个钢片进行加强 
                 3.单体寄给厂家分析，同时ME 应力仿真值确认及想办法降低形变。monitor
DVT 1 一供没反馈问题</t>
    </r>
  </si>
  <si>
    <t>WH180780 TCC FA  link</t>
  </si>
  <si>
    <r>
      <rPr>
        <rFont val="Georgia"/>
        <sz val="11.0"/>
      </rPr>
      <t>Issue S3:  WH180794 ESD D4 -8KV air discharge at zone8(Aging10),OTG no function，
clue： D4 OTG is ok ,can not reproduce .安排压测  50枪，不复现
              EVT2复现3次，重启恢复，  软件 log 分析，</t>
    </r>
    <r>
      <rPr>
        <rFont val="Georgia"/>
        <color rgb="FFFF0000"/>
        <sz val="11.0"/>
      </rPr>
      <t>没有ADSP log 暂时没有进一步的结果。 
   SW有已知的问题：IKSWV-19512  故障发生后，和ESD  测试时的故障结果一样。  OTG和USB都无法连接，Vbus有电，但是USB就是枚举不上。</t>
    </r>
    <r>
      <rPr>
        <rFont val="Georgia"/>
        <sz val="11.0"/>
      </rPr>
      <t xml:space="preserve">
Rootcause： suspect SW issue 。 Action ： DVT1 ESD 打开ADSP log 后再进行测试，有故障后抓取对应log 进一步确认是否同一个问题。
solution：monitor 
DVT 1 一供没反馈问题</t>
    </r>
  </si>
  <si>
    <t>WH180794 TCC FA link</t>
  </si>
  <si>
    <t>Issue S2:  EVT ATT tumble WH180784 Headset no function:D4(300)-
clue：样机已带回厦门  8/26
Rootcause： 耳机FPC断裂
solution：优化耳机FPC外形和走线 ，import from DVT1
DVT 1 一供没反馈问题</t>
  </si>
  <si>
    <t>TCC FA link</t>
  </si>
  <si>
    <t>Issue：1pcs P-sensor no function in ATT drop  ，D3
Rootcause：initial fail 。临时rework 装配问题，泡棉装偏了。</t>
  </si>
  <si>
    <r>
      <rPr>
        <rFont val="Georgia"/>
        <sz val="11.0"/>
      </rPr>
      <t xml:space="preserve">  Issue S3: ATT drop 1.5M MIC2 no function </t>
    </r>
    <r>
      <rPr>
        <rFont val="Georgia"/>
        <color rgb="FFFF0000"/>
        <sz val="11.0"/>
      </rPr>
      <t>5 in 10 unit</t>
    </r>
    <r>
      <rPr>
        <rFont val="Georgia"/>
        <sz val="11.0"/>
      </rPr>
      <t xml:space="preserve">
Rootcause：corner PCB crack （near MAIN camera ）
Solution： 1.PCB外形加大0.2往camera，2.top增加一个小钢片用来加强板子。  import from DVT1
       DVT1 第一轮ATT drop 没有发现相关问题。</t>
    </r>
  </si>
  <si>
    <t>Issue S3: Flicker FOV not very good in EVT ，~65 degree ，target 70 
Rootcause： 材料和仿真的不是一个材质，PMMA-CM211-5‰ 均光粉   VS  仿真 NW432D ， 
solution：1. 打样NW432D  ，角度到~80度，性能OK
                     负面影响：材料的外观颜色会更加浑浊，会影响外观</t>
  </si>
  <si>
    <t>Issue S3:  NFC  FW 下载校验失败。NTF ~10%
Rootcause：  TBD
solution：  SW 改QC 默认驱动，DVT1导入</t>
  </si>
  <si>
    <t>Issue S2:  EVT ATT tumble WH180784 ，unable to power on:D8(500)  （ID：N0QT060208）
clue： 1.可以进入9008模式，认到口，但是Blankflash 失败。CPU认到，但是没有跑到memory部分 
          2.Uart log 确认，DDR 认到，但是没有认到UFS。 三星 8+128 memory
       3.拆IC确认  点胶异常
Rootcause： UFS damaged 。  故障样品韩国分析，预计9/14前给报告。
solution：optimize underfill design ，import from DVT1</t>
  </si>
  <si>
    <r>
      <rPr>
        <rFont val="Georgia"/>
        <sz val="11.0"/>
      </rPr>
      <t xml:space="preserve">Issue S3:  houston Flash LED 出光孔位置和结构需要不匹配
clue：1. EVB基带自测闪光灯功能正常，EVT试产产线自测功能正常
            2.EVT整机camera测试灯效，发现出光孔和Lens中心点不一致，偏心。        
Rootcause：  1.结构需求未出给  2.硬件设计未确认到位。
solution：
1.临时方案： EVT rework 闪光灯板给camera测试Lens效果。
2.  DVT1 修改PCB板设计
2.项目长期：
</t>
    </r>
    <r>
      <rPr>
        <rFont val="Georgia"/>
        <color rgb="FFFF0000"/>
        <sz val="11.0"/>
      </rPr>
      <t>长期：</t>
    </r>
    <r>
      <rPr>
        <rFont val="Georgia"/>
        <sz val="11.0"/>
      </rPr>
      <t xml:space="preserve">
1）结构EVB根据Lens出光孔输出闪光灯摆放方向图纸给CAD，包含焊盘形状和出光孔标识，并且检查和验收主板设计闪光灯出光孔是否符合Lens出光孔的要求。若有闪光灯不同阶段的更换物料，也同样适用此条。
2）基带负责闪光灯按照结构的要求放置闪光灯，协助结构判断出光孔是否一致。严格遵守BB review 发版检查。</t>
    </r>
  </si>
  <si>
    <t>Issue: EVT USB 默认参数眼图 电平过高
solution：调整SW 眼图参数，参考geneva 的参数修改，临时调试复测pass .  相关更改DVT1之前集成</t>
  </si>
  <si>
    <r>
      <rPr>
        <rFont val="Georgia"/>
        <sz val="11.0"/>
      </rPr>
      <t xml:space="preserve">Issue: 自测5台，4台出现 ANT7和ANT8的 N77&amp;N78干扰后主摄像头
           1）ANT7 N78 有preview failed和camera error found
           2）ANT8 N77 preview failed
Clue：log提示后摄MIPI error    
实验:  1. 石墨片不动，去掉Inlay, pass
           2. 去掉camera石墨片，裹紧Inlay, pass
           3. 去掉camera石墨片，去掉Inlay上camera ring，裹紧inlay，pass
Root cause:
          ANT7和ANT8 N77和N78 最大功率26dbm干扰到inlay camera ring和石墨片，两个同时存在就会有fail
Solution：
                   修改石墨片形状，避开后置camera连接器区域， 
                 </t>
    </r>
    <r>
      <rPr>
        <rFont val="Georgia"/>
        <color rgb="FFFF0000"/>
        <sz val="11.0"/>
      </rPr>
      <t xml:space="preserve">负面影响：thermal 前置camera 发热较大，有风险。  但是DVT1 还是用这个作为主线
                                      DVT1 二供 导入氮化硼对比测试  。  预计DVT2 thermal MCN 前决定用哪个方案。 </t>
    </r>
  </si>
  <si>
    <t>Issue S3:  WH180794 ESD  D2 -8KV air discharge at zone16(Aging10),Earpiece and Loudspeaker no function,recovered after reboot.D3   +8KV air discharge at zone1(Aging10),earpiece and loudspeaker no function,recovered after reboot，
clue： 安排压测  50枪，不复现
Rootcause： TBD 
solution：EVT2 不复现</t>
  </si>
  <si>
    <t>Issue S3: WH180794 ESD D1 mic1 and mic2 noisy After -8KV air discharge at zone16（rear camera）
clue：can not reproduce ，安排压测  50枪，不复现
Rootcause： TBD
solution：   EVT2 ok</t>
  </si>
  <si>
    <t xml:space="preserve">Issue S？:  KP camera power noise 测试，主camera测试数据超标4.5（标准4）
Rootcause：IMX896 sensor 问题，参考wrangler也是超过4， KP判断pass
</t>
  </si>
  <si>
    <t>2.PCL</t>
  </si>
  <si>
    <r>
      <rPr>
        <rFont val="Georgia"/>
        <sz val="11.0"/>
      </rPr>
      <t>Issue</t>
    </r>
    <r>
      <rPr>
        <rFont val="Georgia"/>
        <color rgb="FFFF0000"/>
        <sz val="11.0"/>
      </rPr>
      <t xml:space="preserve"> S3: </t>
    </r>
    <r>
      <rPr>
        <rFont val="Georgia"/>
        <sz val="11.0"/>
      </rPr>
      <t xml:space="preserve"> Flicker sensor &amp; A+G sensor reuse I2C bus impact performance 
clue：1.houston First SOIS+Flicker on SM6450/SM6475
Rootcause：SOIS 占用了SM6475平台ADSP的所有接口 （一组I2C for OIS控制，一组SPI for OIS A+G 数据上传，以及 I2C 的A+G UI通道数据 for EIS）。其他所有ADSP端的sensor只能和A+G UI通道复用I2C.  一些极限场景会同时调用A+G UI 数据和flicker 数据，就会出现总线性能不足的风险（按照SME 的数据计算模式，可以确认同时调用A+G UI 数据和flicker 数据 无法满足 CTS 认证的 EIS  和 AR core 相关认证）
其他同期项目情况：paros 项目 OIS+flicker ，所以ADSP 接口资源够用，不需要A+G和flicker 复用I2C 抢总线。
需要解决问题：1.认证问题：EIS  和 AR core 相关认证
solution：proposal  1. AR core 测试camera 场景默认不开flicker sensor 。 EIS场景（录像？） 使用A+G SPI数据通道获取UI数据，SOIS （拍照物理防抖）场景再配置成 OIS需求数据模式。  ---Need SW camera team evaluate ，ongoing 
                 proposal  2. flicker sensor change to AP side。---need SW  sensor &amp; camera team evaluate ，ongoing  （mey need HW rework base on boston ，waiting SW feedback）
                proposal 3. houston change main camera to OIS module （similar to paros）--没提上议程，毕竟我们目前的设计有很大的cost down ，如果回到OIS 方案，我们的costdown 就没了，以及会产生一些设计变更。在其他方案不可行的情况下，最坏情况下考虑这个方案。</t>
    </r>
  </si>
  <si>
    <t>Issue S2: SIM detection failed during the SIM bringup 
clue：1.SIM 波形分析发现 SIM IO/CLK 异常，VCC/INT 正常，RST没有串电阻无法测试
            2.卡座飞线出来测试波IO/CLK /RST/INT/VCC 都正常，同时此时验证可以识别到SIM卡
     Rootcause：卡座和卡托不匹配，新SIM卡座和老款SIM卡座的卡托不一样（旋转了180度）
Solution：
1.临时方案： 将卡托rework 满足EVB调试（Done）
2.EVT PCB SIM卡座旋转更新（Done)
EVT  check  ok</t>
  </si>
  <si>
    <t xml:space="preserve">二供快充bringup issue：
Issue 1： 大概率 master CP I2c 访问失败。（表现是电流只有20+W）
Rootcause：   SC8541D的I2C地址选择pin 是E6 ，和BATN_SRP功能复用，链接到电池的C-上，在Vbat链接后200+ms内，就决定了I2C的地址。在扣合电池过程中，Vbat 和GND 大概率会比C-先上电（电池连接器的设计，防止C-先接触上造成其他问题），这样导致I2C是个错误的值（期望值是接地，实际是悬空了）
Solution:   将master CP的 E6 和D6 都直接接到GND。 
Issue 2： Master 和Slave CP的电流 差异值很大。超过2A以上（68W的期望值是500mA以内）
Clue:  slave CP的电流非常低，有时候只有1A以下，不正常。
Rootcause：   SC8541D Slave 的C2756 多贴了 
Solution:    SC8541D Slave 的C2756 不贴。 跳贴表格进行更新
	Houston 更改EVT导入
</t>
  </si>
  <si>
    <t xml:space="preserve">[s2]Issue:SOC not change ，always 60%-Wrangler aftersale
Clue: 1. SW setting SOC to 60%  and voltage to 4.2V when fuel gauge not work.
             2. reassembly 2 units battery connector and  issue gone.
Root Cause:  suspect battery connect issue.Why ？waiting for fail unit back 
Solution:     </t>
  </si>
  <si>
    <t>Issue: PVT MXC06 Unable to power on 4台
Clue:PMK_VREG_BB is only 0.5V at msm side and 1.2V at PMK7450 2pcs;
          VREG_SYS_1P8在PMK6450端电压为0V,在PM6450端电压正常，2pcs.
Root Cause:PMK_VREG_BB 在Layer11平行屏蔽盖轨迹的地方断开 ；
                      VREG_SYS_1P8在L11层往PMK6450方向屏蔽盖轨迹下断开
Solution: 加宽PMK_VREG_BB 在Layer11平行屏蔽盖轨迹这一段的走线；
                 加宽L11层VREG_SYS_1P8横向走线(未导入PCB)</t>
  </si>
  <si>
    <t>Issue: WH178095  EDu15 Soft Shorts test After OTG 2 ohm resistance Soft Short,OTG no function and data transmission no function(10:37 5/20/2024),unable to recovery after restart.D2 
Clue: in OTG mode Vbus is ok but  USB not   (ADB and fastboot can not work too in USB mode )
Root Cause:  sub board TVS on USB D+ damaged （TVS502）. USBD+ is not related to EDU15 test purpose. (short Vbus to GND ,but not D+)
suspect the tester mistake short Vbus to D+ .
Solution:    N/A ,monitor</t>
  </si>
  <si>
    <t>韩凯</t>
  </si>
  <si>
    <t>Issue: user feedback,录像状态下有主摄有异响
Clue:OISVDD电压3.3V高于模组要求的2.8V
Root Cause:  OISVDD电压3.3V高于模组要求的2.8V，为何回响camera KP分析中
Solution:  change LDO to 2.8V output LDO（PN：SC98D62703）</t>
  </si>
  <si>
    <t>Issue:MXC06 WH177228 Unable to power on:D1/D2(270）
Clue:PMK_VREG_BB is only 0.5V at msm side and 1.2V at PMK7450
Root Cause:PMK_VREG_BB 在Layer11平行屏蔽盖轨迹的地方断开 
Solution: 加宽PMK_VREG_BB 在Layer11平行屏蔽盖轨迹这一段的走线</t>
  </si>
  <si>
    <t xml:space="preserve">issue:Charging  slow in  DF
</t>
  </si>
  <si>
    <t>issue：Wh176592：DVT2一供ALT India 15kV AD capsensor Ch1 no function
Clue1：ch1通路阻值异常，只有100ohm
Clue2：参考通道下地电容耐压只有25V
Clue3：上支架ANT1 LDS pattern距后盖缝隙很近（天线功率不足需要足够LDS pattern需要足够靠近边框天线）
Clue4：R3708 短路 
Root Cause：Ch1线路扛静电能力不足，能量从LDS进入冲击CH1 R3708，导致器  
                        件单体短路，检测通路异常
solution：
                 2、L113 变更为21014050209（27pF，50V耐压）
                 3、改版主板，线路上增加一个TVS预留位
PVT验证</t>
  </si>
  <si>
    <t>issue: DVT1 2供 ESD Air -8K capsensor no function,recovery after reboot
Clue1：上支架ANT1 LDS pattern距后盖缝隙很近（天线功率不足需要足够LDS pattern需要足够靠近边框天线）
厦门和武汉无法复现</t>
  </si>
  <si>
    <t>issue: Unable to enter system:D5(270) 3/26/2023,
Clue: 1.按power键上电不保持
           2. 按压memory 可以正常开机
rootcause: memory 虚焊，点胶不均匀，memory表面有胶水和屏蔽盖粘连，侧面无明显点胶量，转ME优化点胶</t>
  </si>
  <si>
    <t>Issue:DVT LotX tumble Unexpected auto power off:D1（225滚）
clue: 1.  不开机
          2. 接上假电池(没有开机)，量测B_PLUS(VPH_PWR)电压及VBAT端的电流,VBAT上面每隔1s会有1.45A(MAX)的电流，把B_PLUS(VPH_PWR)从4V 拉到3.574V
           3. 加焊后按压还是会自动关机，大概率还是PM8350B本体故障，寄回武汉做PM8350BH 芯片交叉验，问题依旧
            4. PM7325有裂纹和破损，PM7325 VREG_SYS_1P8 ，BAB后，PM7325  VREG_SYS_1P8 电压正常，问题依然是不开机，但是由于板子变形严重，分析截止</t>
  </si>
  <si>
    <t>issue：DVT1 1st stack WLC 红墨水fail, 第二方案WLC 红墨水fail
[s3]Issue ：DVT1 WLC 红墨水实验fail
       Clue：1. 脱落pin不影响WLC功能，功能检查正常，判断会影响充电性能，用户无法感知。
                   2. 两次实验，脱落位置不固定，第二页和第三页图示
                     3. stack板装配后虚空，怀疑在跌落或者震动的时候，stack板晃动导致wlc芯片部分管脚脱落
Solution：  
              ME owner
               基带看是否可以优化WLC的开窗，增加焊接面积</t>
  </si>
  <si>
    <t xml:space="preserve">Issue: DVT1 ALT 2供ALT跌落碰撞，USB板Speaker信号线串联的L303，L304 脱落
rootcause： 器件在板边，怀疑应力问题？ 另此类器件铜丝绕线到焊盘底部且二供焊盘0.8*0.3，一供0.8*0.4
solution:  1. L303.L304位置向板内移动，支线发版验证。
分析：
1) 结构壳体尺寸正常，未出现撞击的痕迹
2) 二供的焊接面会比一供小，如下图二和图三，
3) SMT工程师分析，二供的焊接正常，不存在焊接问题
4）一供器件焊盘0.8*0.4， 二供的器件设计焊盘0.8*0.3。二供器件焊盘小，会出现图二的问题。 器件实体焊盘如下图四，图五
5）此类器件铜丝绕线到焊盘底部，并且器件侧面不爬锡，SMT工程师反馈之前项目这种设计，线把底部顶起来发生过器件偏移和脱落。 
</t>
  </si>
  <si>
    <t>Issue: DVT1二供组装，3台华星屏幕显示偏绿，KP反馈现象跟随主板
analysis: 1. 现象固定，此主板搭配天马屏幕ok, 搭配所有华星屏幕发绿
                 2. fastboot下显示ok， kernel 异常，怀疑有参数更改，监控从正常到变绿时，电压，帧率，MIPI clk均正常
                 3. AP mipi data 测试，相同主板，点白色图片。天马模组MIPI data 波形正常，华星模组MIPI data异常，说明使用华星模组时，AP有对白色图片进行处理。
 样机寄送供应商分析： 
1.IC bist画面测试，白色色坐标正常。---说明模组及相关设定正常。
2. 删除效果参数，偏绿没有变化。
3. 删除效果参数及校准文件，偏绿恢复正常。
4. 将校准文件重新写入，效果正常。
rootcause: 华星效果参数用错成别的项目，需要重新调试效果参数。DVT2已经导入新参数，目前未报问题</t>
  </si>
  <si>
    <t>Issue：front camera RCN value exceed standard
analysis: 
rootcause: crosstalk from display
solution: remove to KP yaocf1</t>
  </si>
  <si>
    <t>邦邦</t>
  </si>
  <si>
    <t>Issue：DVT1 CQA test camera0 N78 干扰测试failed , failure 1pcs (测2台)，批量数据待测
rootcause: MainCamera CPHY interfered from  thermal graphite film coupled radiation  of n78 on ANT9 
solution: change the shape of graphite to avoid  overlap the main camera connector fromDVT2</t>
  </si>
  <si>
    <t>Issue: Sub usb Type-C连接器屏蔽壳对地短接的电阻被ANT删除，这6颗电容位按照最初讨论为DCM 贴电容，ROW 贴0R，ANT为兼容DCM和ROW公用天线，直接将ROW 这6颗本来贴0R 电阻 DNS掉
Rootcause ： 此6颗接地位需要和BB/RF一起商定贴片方案及铁壳接地方案，ANT在warroom上提出问题，但未收集到BB和RF反馈，直接修改方案
solution：DVT1 贴0R下地，ANT 优化天线设计，
                DVT2 因为DCM SKU删除，不需要兼容DCM，DVT2小板删除预留电容位，直接铁壳打孔接地-done
lesson learn ；职责划分清楚，兼容部分涉及到更改，需要同步到ANT ,BB ,RF ,若需更改BOM，需要提交给基带进行修改</t>
  </si>
  <si>
    <t>wrangler usb typec屏蔽壳接地方式评估</t>
  </si>
  <si>
    <t>Issue：EVT  EMEA P+ESIM， Unable to read PSIM Card ， failure 4pcs （2 Alt, 2 xiamen ant ）
Rootcause ：校准数据丢失</t>
  </si>
  <si>
    <t>liguoa</t>
  </si>
  <si>
    <t>Issue：EVT EDU14   surge test fail on VBAT test point test ，200V fail.
clue：B_PLUS short to GND
Rootcause ：U1571        PM7350C  damaged in surge test
                 surge TVS layout is not best
solution：Optimize Vbat TVS layout . monitor DVT1 test
lesson learn: add Vbat  surge TVS layout in  checklist 。DVT1 pass</t>
  </si>
  <si>
    <t>RISK：add WLC TX  function，PCMCR：https://idart.mot.com/browse/PCMWRANGLE-7
Solution：Go with Option1 （1.PM8350B change to PM8350BH bacause PM8350B only support 5V haptic boost but PM8350BH support 10V haptic boost 2.add a loadswitch to get power from haptic boost，3.add TX Modulation and Demodulation component  4.DNI FW update power MOSs because can reuse haptic boost power from Loadswitch）.
Change import from DVT1 。DVT1 ongoing ，TX function ok。detail tuning ongoing</t>
  </si>
  <si>
    <t xml:space="preserve">Issue ：India P+P SKU SIM2 can't not recognized
Rootcause： The VSIM2 power supply design is different in the S21 and S54K
Solution：VSIM2 resistor  is disconnected inS21 desgin
                  </t>
  </si>
  <si>
    <t>Risk ：SC8549D may not able to work ，About 30% on Glory&amp;Aura
Clue：1.incoming date Later than 20231222 lot should have problem
2.Wrangler EVT ：E03 35pcs，  E05 8pcs firstboard ， E04 30+pcs use Old component ，should not have problem
         Others ~400pcs ，use new component  should  have problem.
Issue ：india SKU  firstboard 1pcs fail/total 3 pcs.  sent fail IC to Vendor for analysis
Rootcause：waiting for Vendor analysis
solution ：change SC8549D to SC8541 from DVT1.
PCMCR:https://idart.mot.com/browse/PCMWRANGLE-8</t>
  </si>
  <si>
    <t>glory 无法快充分析</t>
  </si>
  <si>
    <t>Issue ：  power off current leakage 5.4mA
  clue:  1. fastcharger IC(VBAT2) can reduce 0.5mA maybe charging setting issue
             2. charging  Patch1 (CP related)： reduce 1mA .   so there is other part issue too.
Solution:update 310 continuous build,UI power off leakage=274uA</t>
  </si>
  <si>
    <t>wuxm5</t>
  </si>
  <si>
    <t>可能漏电器件汇总</t>
  </si>
  <si>
    <t>Issue ： camera PMIC  bringup fail &amp; Smart PA2 bringup fail
Rootcause： I2C address conflict on Smart PA2 &amp; camera PMIC 2  . both are 0x35
Solution：EVB rework  ，solution ongoing
                   EVT change smart PA2 I2C  （have 4 I2C address option ）
lesson：Need to add all the I2C component into Qwiki -I2C  map page. and check if I2C address conflict happen
               when setup ,change ,add 2nd source.  ---  All Experts 
               remind 1 time at the day before EVB gerber out---platform design owner</t>
  </si>
  <si>
    <t>chenbang</t>
  </si>
  <si>
    <t xml:space="preserve">issue:  L2vision wireless charge CHIP ID fail. 1pcs
Clue： PAT  pass
Rootcause：：    Q2801 虚焊   </t>
  </si>
  <si>
    <r>
      <rPr>
        <rFont val="Georgia"/>
        <color rgb="FF000000"/>
        <sz val="11.0"/>
      </rPr>
      <t>issue: PAT wireless charging fail  
Rootcause：：1.一部分机器Stack 板子没装。这部分制程问题工厂处理--统计这几天有</t>
    </r>
    <r>
      <rPr>
        <rFont val="Georgia"/>
        <color rgb="FFFF0000"/>
        <sz val="11.0"/>
      </rPr>
      <t>15pcs Stack 板子没装</t>
    </r>
    <r>
      <rPr>
        <rFont val="Georgia"/>
        <color rgb="FF000000"/>
        <sz val="11.0"/>
      </rPr>
      <t xml:space="preserve">。 
                         2.有两台机器是stack 有装，但是FW升级一直失败。 </t>
    </r>
    <r>
      <rPr>
        <rFont val="Georgia"/>
        <color rgb="FFFF0000"/>
        <sz val="11.0"/>
      </rPr>
      <t xml:space="preserve">Q2803 虚焊  ，具体还有多少台 由产线统计及SMT参数修改解决。
</t>
    </r>
  </si>
  <si>
    <t>Issue ：[Factory][TCC][OK2P]TCC AutoCycle Test，The Device can not power on .3 in 12  IKSWU-124341
Rootcause： 1.开机过程中GPIO79判断到高电平后，手机进入9008 导致不开机
          2. ANT tuner U100（QAT5655）在超低温下（低于 -30 °c）逻辑异常 导致上电瞬间 DATA  输出高电平  。而该器件QC的温度 SPEC 范围是-30度~85度，我们的实验环境超过器件SPEC。
BB意见：这个是test issue，非用户实际issue，因为  issue 低于-30 °c温度下才会发生的， 而我们手机的工作温度SPEC is -20~60 °c .    其次保险一些就是SW加入 fuse 为固定开机点，不要受GPIO79的影响。（ 不能解决TCC issue，能解决用户万一超SPEC使用遇到的问题。）
solution: proposal1.Workaround :Moto SW efuse Boot config to fixed  0100 .（1 unit RD test ok）</t>
  </si>
  <si>
    <t>IKSWU-124341</t>
  </si>
  <si>
    <t>Issue ：type-C port can not work after test (FOD、UCT、L2VISION).  ~1% 
Clue1:power cycle can not recovery,reasembly battery connector recovery. Some component on VPH_PWR error.
clue2: plug in Type-C analog headset can recover too. Suspect ：Audio switch control logic issue. 
clue3 :  
Rootcause：  The Hi-z state of CC_out is not instability.
solution:  Pull down CC_out by gpio configuration</t>
  </si>
  <si>
    <t>https://idart.mot.com/browse/IKSWU-126081</t>
  </si>
  <si>
    <t xml:space="preserve">Issue ：[PVT]TCC ALT Test,shake test ,Unexpected auto power off,Power on only after charging.2 pcs loop5 1 time
Clue1: log show PMIC PM6150C abnormal UVLO &amp; BOB  OCP found.   
clue2:Power on only after charging
clue3 : same unit B1 show  PM6150C abnormal LDOs &amp;BOB both OCP (auto power cycle 1 time in loop2 Drop test  IKSWU-80251).
Rootcause：  
solution:  monitor </t>
  </si>
  <si>
    <t>IKSWU-81779</t>
  </si>
  <si>
    <t>[S2]Issue:  产线装配后拍录像/播放竖线 ( ~ 2/300)
clue: 拆机重扣之后，故障概率下降很多，十几次出现一次， 交叉模组实验，故障跟随主板
Exp1：Video record, 开WiFi，MIPI log 报错
rootcause:  CPHY was interfered by wifi and n78
solution:  Tuning CTLE EQ and CDR register</t>
  </si>
  <si>
    <t>8.PCB</t>
  </si>
  <si>
    <t>Issue ：Manaus NA DVT2 所有机器无线充电都不能正常工作。
Rootcause：E2001 位置焊盘没有开窗，虽然有钢网，但是E2001 器件贴不住。 导致Vout 不导通。
短期方案：rework 板子，恢复EVT的通路方案（刚好还预留，没有删除）</t>
  </si>
  <si>
    <t>[S3]Issue: DVT1 ALT A3(loop5)背跌 不开机
clue: 1.关机漏电流100mA+，无串口；
Clue：
1.发热点：从背面看是PM8350B靠左边的位置，这部分是用电端，不是充电部分。（推测是马达，或者显示相关部分电源驱动器坏了），结合第7点情况，推测有可能是显示相关的电源部分有问题，外围器件等可能哪个出问题了。（推测：有可能是外围器件等坏了导致的烧坏IC）
2.确认PM8350B是故障IC，寄厂家QC进一步定位分析（分析具体是哪个模块坏了，以及是否可以看出是否有微小裂纹）；厂家分析结果：电性能烧毁，短路位置150,161,160---指向OLEDB 电源相关
3. 换了新IC屏不亮的问题，排差PM8350B外围的电路是否异常：检查下PM8350B OLED相关供电及器件是否OK（分析来源推测：是否会是外围问题导致IC烧毁？）-- 测量VREG_OLEDB发现对地短路，去掉这个网络上所有连接器件，依然是短路。推测是PCB本身短路，导致大电流烧毁IC。这个网络走线在L12 和L10.以及过孔。   
4.板子到板厂时候测试发现短路不见了。寄回板子也是没短路，焊接上正常器件后，开机亮屏
Rootcause： 板子上有某些原因导致VREG_OLEDB对地短路引起大电流，最后将IC PM8350B的对应驱动电路也烧毁。 
但是造成短路的具体是什么，目前无法考究，monitor 。万一有类似故障，关注短路原因
Solution：Monitor</t>
  </si>
  <si>
    <t>TCC analysis</t>
  </si>
  <si>
    <t xml:space="preserve">[S2]Issue:  主摄Slowmotion出现横条纹
clue: 
Exp1：新版本U2UAN34.11  OK
Exp2：
rootcause:  SW Issue
solution:    </t>
  </si>
  <si>
    <t>Issue ： USB can not connect sometimes-Manaus NA
Clue ：1.when it happen ，it last for a long time and can reproduce when replug USB on phone 
	2. it can be recovery by replug USB on PC .
	3.it can be recovery with CID pin connect to GND on phone .
	4.it is hard to reproduce after phone power cycle.
	5. after power cycle, 3 units keep not move ,after 1.5hours ,1 unit reproduce the issue.
	 6.log  ：it is in host mode
Rootcause： SW logic error  
Solution：  change SW and  recheck ok</t>
  </si>
  <si>
    <t>IKSWU-34055</t>
  </si>
  <si>
    <t>[S2]Issue:  EDU03 WH169432 Rear flash light always on , and could not recover:D2/D6(15KV,zone14）, 
clue: PM6150C BOB short
Exp1：Flash 导电泡棉没有接地（盖在石墨上），ME将下接地该区域避让开。
Exp2：
rootcause:  Flash 导电泡棉没有接地，导致PMIC被打坏
solution:    石墨接地位置区域避让开</t>
  </si>
  <si>
    <t>[S2] EVB3 Main Camera IMX896 Bringup, preview stuck
Analysis Exp: 1. IMX896 is OK on boston (SM6450)
2. OV50A with CPHY 1.9Gsps failed on both EVB1 and EVB3
3. IMX896 failed with 0.9/1.9/2.4Gsps on both EVB1 and EVB3
4. smoothly preview under heating board, while stuck preview under cool board
5. IMX896 works well on front and wide camera MIPI path
6. smoothly preview while add extra power supply in parallel with S2B/S3B/S4B
7. IMX896 works well with C1515 removed
rootcause: GND return path  of PMIC Buck S2B/S3B closes to MIPI CPHY Vias
solution: change MIPI traces fanout frome layer 6 to layer 4</t>
  </si>
  <si>
    <t xml:space="preserve">Risk：EVB3 simulation ，Master &amp; slave charging patch  impedance not match ,delta 3.1mR  VS &lt;2mR  （desired value）
Rootcause：  slave battery connector is too far away from charge pump because of RF placement limitation.  &amp; No place for double width of Vbat2 layout.
Solution：  1.  decline width of master Vbus wire to 2mm. &amp; add some coper for Vbat2 .     Simulation ongoing  ，import from EVT 
                     2.  battery have some delta design for Manaus NA （if it is used in Manaus NA only，it shoule be ok . but if reuse other project`s ,may have problem）
</t>
  </si>
  <si>
    <t>chenwt</t>
  </si>
  <si>
    <t>Issue ：dead battery Wireless charging fail
Clue ：modesel go to 1.2V at about 2ms after wireless Vout on .it cause Vout off. repeat
Rootcause： WCHG_DET  output high to CPU cause modesel go to 1.2V (current leakage ) .
Solution：1. change WCHG_MODE_SEL to PMIC PM8350B GPIO_o4  ,import form EVB3   -EVB3  recheck ok
                    2. add 10KR on WCHG_DET ,import form EVT</t>
  </si>
  <si>
    <t>[S3] Issue： EDU14 WH168701 , D1 After 150V surge pulse test,Cannot charge phone by USB.
Clue： 1. RD can not reproduce when get D1
exp: D1 do test again
Root Cause:  1.  Monitor
Solution:   TBD</t>
  </si>
  <si>
    <t>Issue ：Type-C Shell case connect to SUB PCBA GND (JP  SKU DCM require Type-C Shell case dont connect to GND）
Rootcause：  Type-C Shell case fix part connect to middle housing
Solution：PCB：sub PCB dont design soldermask under type-C fix part.  （螺丝孔）
                    ME proposal 1 ：
                    ME proposal 2：</t>
  </si>
  <si>
    <t>1.Concept</t>
  </si>
  <si>
    <t>1.4 Solution</t>
  </si>
  <si>
    <t>Issue ：storage time with power can not match Docomo requirement.
来源：Manaus -Eng【24夏スマホ】機能一覧表1.0版(Function list)这份文件，① 24 Summer Main specification 页面的157行 
A period of 27 months or more must be secured from factory shipment to overdischarge
Rootcause： poweroff current around 300uA PCBA +50uA battery=350uA ,can only support 8month storage with power  
Solution： go with Shipping mode. which is about 50uA PCBA +50uA battery=100uA MAX ,can support more than 27months.</t>
  </si>
  <si>
    <t>[s3]RISK：TCC test 5% Nacl 溶液相对容易造成Type-C 腐蚀
Clue：1.XM test 5% Nacl 溶液填满Type-C连接器 很大概率会触发OTG，刚开始周期性触发，最后就一直触发着。
2.对比 QC平台的bronco 项目，XM test 5% Nacl 溶液填满Type-C连接器，就很难触发OTG？
Next action： 抓出CC和Vbus 波形及对应的log，创建CR  ，寻找MTK支持一起分析 及找可能得改善方案
Rootcause ：TBD
solution：TBD</t>
  </si>
  <si>
    <t>浩总</t>
  </si>
  <si>
    <t>[s2]Issue: chopchop fail when phone deeply sleep
 Clue1：Latch time locked and not change
Root Cause: 
1. MTK SCP work abnormal in deep sleep
Solution(Work around):
1.Change A+G INT mode to level trigger</t>
  </si>
  <si>
    <t>xiongsn1</t>
  </si>
  <si>
    <t>[s2]Issue: CH0 fasle trigger in DVT2 on AW96308 , when holding TOP ant
 Clue1：Semtech is ok
Root Cause: 
1. Noise larger than threshold of CH0 due to amplitude too big to meet long distance detection
2.1 IC performance limitation 
2.2 ANT Sporton tests require a very long distance for CH0(24mm back)
Solution:
1.Vendor optimising with parameter</t>
  </si>
  <si>
    <t xml:space="preserve">[s3]issue:ALT WH166331 C1 After -1 out of 2 Unable to find NFC device/read SIM Card C1（15kv）
       Clue1：issue happen only once
       Clue2：not produced in stress test on vsim1_vcc        
Root Cause：1、SIMIO1 of NFC IC SN220   damaged
solution：
1.1st source +2nd source SIM tray fail , Will do SIM tray ABAB DOE by 7/24
2. Running change with SWP Add TVS in MP
</t>
  </si>
  <si>
    <t>Hankai</t>
  </si>
  <si>
    <t>[s3]issue:DVT2 :EDU03 SIM card insert detected fail,NFC no function(1/6)
       Clue1：issue happen only once
       Clue2：not produced in stress test on vsim1_vcc        
Root Cause：1、Vsim1_VCC of NFC IC SN220   damaged
                         2、proposal poor grouding that related to P2I which was introduced on DVT2
solution：1、update 3 more clean area of SIM subboard
                   2、change C414 0.1uF cap to TVS</t>
  </si>
  <si>
    <t>[S3] Issue： EDU14 WH165529 ,DVT2 surge 200V fail，OTG &amp;fastcharging can not work
Clue： 1.fail unit Log show PD can not work .&amp; Ibus=0 when Ibat =~2A.         
        2.DVT2 all build with P2I. DVT1 without P2I.
Root Cause:  1. MT6375  damaged （replace a new MT6375  ，function,ok）. 
          Proposal 2 ：poor grounding related to P2I  which import in DVT2
Solution:  ME update 3 grounding more clean area of USB Board after P2I</t>
  </si>
  <si>
    <t>实验汇总表</t>
  </si>
  <si>
    <t>[S3] Issue： EDU14 WH165555 ,DVT2 surge 200V fail，OTG &amp;fastcharging can not work
Clue： 1.fail unit Log show PD can not work .&amp; Ibus=0 when Ibat =~2A.         
        2. use 2nd source Surge TVS 
     3.DVT1 &amp;DVT2  bosth  2nd source Surge TVS  test result bad than 1st source TVS 
Root Cause:  1. MT6375  damaged （replace a new MT6375  ，function,ok）. 
           2 ：poor Surge TVS  cause higher Voltage go to MT6375 
Solution:  remove 2nd source Surge TVS  ，from PVT .BOM change done</t>
  </si>
  <si>
    <t>[s3]issue:EDU03 WH164325 2nd NFC unnormal
clue:
root cause:
solution:</t>
  </si>
  <si>
    <t xml:space="preserve">[s3]issue:EDU03 WH164325 2nd SIM card insert detected fail
Root Cause：SIM1_INT pin short to GND
solution：ADD TVS on DVT2 ,TCC Validated Pass
</t>
  </si>
  <si>
    <t xml:space="preserve">[S3]issue：DVT WH164184 D4After -15KV air discharge at zone9,SIM card is broken.
Analysis: 检查SIM接地良好
Root Cause: 
solution：
1、SIM_IO pin 增加tvs（DVT2导入）
  2、SIM卡座接中框泡棉改用导电布
</t>
  </si>
  <si>
    <t>[s3]Issue:TDD Noise Found in EVT
Root Cause:1.Receiver Affected by Magnetic Field of GSM-PA which is closed to Receiver
2.1 Multimode RF PA cannot meet the  TDD design rules-RF
Solution:
1.Add audio switch design for optimization validation</t>
  </si>
  <si>
    <t>[S3]issue：EVT WH163350 D3  After -15KV air discharge at zone8,Unable to detect SIM Card，unable  to recovered
Analysis: 检查SIM接地良好
Root Cause: 
solution：SIM1 IO 串联33R电阻</t>
  </si>
  <si>
    <t>邹仕海</t>
  </si>
  <si>
    <t xml:space="preserve">[S1]issue：EVT WH163344 1 pcs  背压第9点界面异常，第11点时不开机
Analysis: 
1.样机未复现故障现象
2.之前出现故障前出现安卓小人界面，怀疑死机导致，SW 抓下log 进一步分析
Root Cause: 
solution：
</t>
  </si>
  <si>
    <t xml:space="preserve">[s3]Issue:  Cap sensor no function on D2 post
Root Cause: Poor SMT soldering
Solution:Re-weld to restore normal,SMT optimization
</t>
  </si>
  <si>
    <t>Xiongsn1</t>
  </si>
  <si>
    <t>[s3]Issue: CH1 fasle trigger in DVT1 on AW96308, Semtech EVT ok
Root Cause:1. CH1 diff value affected by hand holding bottom of the phone
Solution:
1.Vendor optimising with parameter</t>
  </si>
  <si>
    <r>
      <rPr>
        <rFont val="Georgia"/>
        <color rgb="FF000000"/>
        <sz val="11.0"/>
      </rPr>
      <t xml:space="preserve">[s3]SGM Release FCN that mention  SGM3837 OLED Driver Frozed,Change to Novatek.
Root Cause: SGM3837 出货有0.3%芯片本体损坏，导致整机会在VBAT上有漏电流，供应商数据10mA+
        影响度：量产项目：  london na 无影响，London Row 13K , Juno 5K    
                         试产项目：munaus 5G DVT1 1K 主板 ,  ODM XXX 项目
solution：1. 冻结所有在库SGM3837物料，退货处理。
                   2. 量产项目主板和机头进行sorting方案，挑选异常
                           主板方案： MMI夹具上分别测试主板漏电流 和主板+屏漏电流。
</t>
    </r>
    <r>
      <rPr>
        <rFont val="Georgia"/>
        <color rgb="FF000000"/>
        <sz val="8.0"/>
      </rPr>
      <t xml:space="preserve">                               </t>
    </r>
    <r>
      <rPr>
        <rFont val="Georgia"/>
        <color rgb="FFFF0000"/>
        <sz val="8.0"/>
      </rPr>
      <t xml:space="preserve"> Juno 漏电流大于0.5ma的有16pcs/2882pcs=0.555%</t>
    </r>
    <r>
      <rPr>
        <rFont val="Georgia"/>
        <color rgb="FF000000"/>
        <sz val="8.0"/>
      </rPr>
      <t>（16pcs中有12pcs漏电流大于10ma，12/2882=0.416%）</t>
    </r>
    <r>
      <rPr>
        <rFont val="Georgia"/>
        <color rgb="FF000000"/>
        <sz val="11.0"/>
      </rPr>
      <t xml:space="preserve">
                            整机待定：
                    3.manaus 5G 主板sorting方案： 挑出&gt;=0.5mA 漏电流主板
                    4. 圣邦之后供货初定3K，联想SMT后做sorting。</t>
    </r>
  </si>
  <si>
    <t>[S1]issue：结构摸底测试中出现电感脱落（没有屏蔽盖）
Analysis: 
1. 厂家同批次验证，未发现焊盘脱落现象。
2.EVT 麦捷验证，未出现脱落现象。
3.EVT 太诱TMO 跌落中未发现脱落现象。
Root Cause:EVB没有贴屏蔽盖，可能是导致整机应力异常
solution：后续跌落实验室继续跟踪，有问题再重新提出</t>
  </si>
  <si>
    <t>[S1]issue：EVT WH163330 C2  After +8KV air discharge at zone3/9/15,Drop call-GSM（连接仪器下）
Analysis: 实网下测试正常
Root Cause: 可能匹配未调试导致
solution：跟踪DVT1后续实验，有问题再重新提出</t>
  </si>
  <si>
    <t>issue :   London NA  WLC can not work after rework stack board</t>
  </si>
  <si>
    <t xml:space="preserve">issue :DF  charging slow </t>
  </si>
  <si>
    <t xml:space="preserve">[s3]Issue:abnormal power off during charging, 3 units till now,1 time/month .
Clue:MT6363 POFFSTS[0xD]=0x8800
Clue:check vbb quality, Result:.vbb with big margin ,hw low risk
Clue:Shut VBB through I2C Intentionally, Result:Not matching
Clue:Heavy switch working mode(PFM/PWM) of VBB , Result:No issue
Clue:Simulate Vsys and VBB Shut down, Result:Not Matching
Clue:Run in 2400 units and check，Result:No Relative issue found
Root Cause: 
1.VBB Dip and trigger UVLO under extreme High Peak Current.
      Exp1.1 Force VBB Dip to 2.15~2.5 V@~4.5A，Result: Reproducing 0x8800
      Exp1.2 Set UVLO to 2.0V and Draw 4.5A , Result:No Issue 
      Exp1.3 Set UVLO to 2.4V and Force VBB Dip to 2.45V , Result: Phone Working Fine.
      Exp1.3 Set UVLO to 2.3 and Force VBB Dip to 2.35V , Result:Phone Working Fine.
      Exp1.4 Set UVL to 2.9V , Result: Dfer Reproducing rate increase 30 times/Month
2.SGM BOB PowerGood Trigger
Solution:
1.Set MT6363 UVLO Value to 2.4V from 2.6V, Suggest to import asap and monitor DFer Data.
2.Restart when MT6363 POFFSTS[0xD]=0x8800/0x8000 confirmed in bootloader @charging boot up.
</t>
  </si>
  <si>
    <t>故障list汇总</t>
  </si>
  <si>
    <t>[s2]Issue:London NA unexpected reboot
clue:    Power off reason[PMIC][0xD] reg=0x40 which mean power cycle due to Long press powerkey 
 1.Suspect Power key stuck
solution: change Key to panasonic 。monitor</t>
  </si>
  <si>
    <t>Issue ：Pilot ORT  1pcs auto power off@Mxc06 40 tumbles ，D1，https://idart.mot.com/browse/IKSWT-137715
Clue：Log show[PMIC]POFFSTS[0xD]=0x2 ,means some power OCP or OVP.
Clue.X- ray  查看之前CPU屏蔽盖风险点，看起来OK,没问题
Clue.故障机 看到气压计本体的盖子脱开了，掉在旁边的受话器磁钢上。（有磁性）
Solution: 鉴于这台机器fail一次 ，项目整体的滚筒实验中也没有，风险度较低，monitor。
	    单体寄给厂家分析， Tracking  厂家单体分析，看是否有更进一步线索。</t>
  </si>
  <si>
    <t>[s2]Issue: London NA PVT 耳机插拔压力测试，概率性无法识别，重新插拔ok，总不良率：0.4% （5/ 1240  ）
      SW CR:IKSWT-115443 ，log 判断有插入拔出事件
 4/17  chenwt：目前log 分析  及 RD 实验室模拟，这属于连接性问题。 
实验过程：先插入耳机，识别好耳机，然后断开一根CCpin 链接，之后就设备就不认了。  （如果再接上这根CC，就会再认到。 ）
这样模拟的log 和 issue 的log 一模一样。
转KP xiongxiong跟踪。  还有DVT2 时候IKSWT-92056 看着有些类似。
DVT2 一例接近100%复现的，log一样。 xiongxiong分析结果是 Type-C 连接器上有一层赃物，但具体是什么，不清楚。 
action：PVT 继续确认下故障机，看下是否也有类似的问题。"
Pilot 测试都ok，close</t>
  </si>
  <si>
    <t>IKSWT-126520</t>
  </si>
  <si>
    <t>[s2]Issue:PVT WH162948 D2&amp;D4 TRP fail
clue:stress test on ANT spring with tuner code control ，reproduce
clue:Ant -&gt; Funer :1.3nH-&gt;0R
rootcause: 1.Tuner U100 damaged by ESD ，from ANT spring
exp: C102 add ATVS ，RD test 4 unit ok with tuner coder
2.P2i destroy the grounding between sim board and usb board in PVT.
solution:1.use non p2i usb board</t>
  </si>
  <si>
    <t xml:space="preserve">[S1]issue：WH161516- Main band48 No camp - LTE:D3/D4
Root Cause:
    1.D3 band48 RX1 of FX6880(Switch PA) damaged、D4 band48 RX0 of  FX6880 damaged
    2、DVT2 LDS pattern changed in order to pass certification，may increase ESD risk
exp：1、change FX6880，result：RF confirmed chip damaged （2023/03/03）
          2、add TVS to ANT4、ANT2    result：研发自测ok
 action :rework 5 unit for retest in TCC ,from 3/9 .  
solution：add TVS to ANT4、ANT2  ，PVT import 
PVT reproduce ANT5  1unit fail
solution：add TVS to ANT5、ANT7 &amp; more RF component protect . 
PVT 二供 pass </t>
  </si>
  <si>
    <t>故障汇总</t>
  </si>
  <si>
    <t>[s2]Issue: Back camera cannot take pictures
clue:
rootcause:  Not correctly connected after mic seal verification by ME
exp:
solution:</t>
  </si>
  <si>
    <t>https://idart.mot.com/browse/IKSWT-116698</t>
  </si>
  <si>
    <t>[s2]Issue: Rear main camera fail to open
clue:
rootcause:  repaired, DVDD LDO bias short to GND leads to trace open
exp:
solution:</t>
  </si>
  <si>
    <t>IKSWT-113215</t>
  </si>
  <si>
    <t>[S3]Issue:1:PVT NFC test fail
rootcause:1.Extra NFC Ant Discreat Component SMT on Stacking Board duo to not in DNS List.
2.Those DNS Part was removed and not adding back.
Solution:1.removing DNS Part</t>
  </si>
  <si>
    <t>[S3]Issue:1:PVT USB can not used
rootcause：TVS507&amp;TVS508  orientation error due change from dual orientation TVS to signal orientation TVS but without orientation mark on build file
Solution:1. rework TVS507&amp;TVS508 
                 2、update build filewith  orientation mark of TVS507&amp;TVS508 ，done by 3/22</t>
  </si>
  <si>
    <t>[S2]Issue:1:DVT2 TRP error  
rootcause： ANT0 tuner damaged
Solution:1.add mylar under LDS  ，PVT import 
                 2、add TVS on SIM board，PVT import 
PVT issue reproduce ，reissue it</t>
  </si>
  <si>
    <t>[S3]Issue:D1 All capsensor no function  2023/2/22
Root Cause：
1.Mylar was sticked uncorrectly，SX9375 exposed to the BTB connector
2.Mylar sticked artificially
Solution：Import fixture to locate mylar , ME Planed
DVT2  2nd source test pass 
PVT move capsensor far awar from  camera connector</t>
  </si>
  <si>
    <r>
      <rPr>
        <rFont val="Georgia"/>
        <color rgb="FF000000"/>
        <sz val="11.0"/>
      </rPr>
      <t xml:space="preserve"> Issue:  Temp / Humidity and Temp Cycle ， ALT drop  3units( 3/12) flash led no function.
 Root Cause: 1.</t>
    </r>
    <r>
      <rPr>
        <rFont val="Georgia"/>
        <color rgb="FFFF0000"/>
        <sz val="11.0"/>
      </rPr>
      <t>2rd sourcing vendor  flash led FPC ，LED  SMT poor welding</t>
    </r>
    <r>
      <rPr>
        <rFont val="Georgia"/>
        <color rgb="FF000000"/>
        <sz val="11.0"/>
      </rPr>
      <t xml:space="preserve">, need fpc vendor PBH improve 
   DVT2 fail too
Root Cause: 1. The heightening of the sea ring leads the flash FPC poor contaction,  After opitimizing the structure， not find the issue in PVT.
</t>
    </r>
  </si>
  <si>
    <t>FPC vendor PBH  analysis report</t>
  </si>
  <si>
    <t>[S3]Issue:[LondonNA][Factory][CQA1][DVT2] When inserted the headset to phone, the phone hasn't recognize the earphone micphone
NTF</t>
  </si>
  <si>
    <t>IKSWT-92072</t>
  </si>
  <si>
    <t>[S3]Issue:[London NA][Factory][UCT][DVT2]USB_HOST GET_USB_HOST_MODE_STARTS Fail  NTF
 solution：update test recipe for polling mode and issue not found</t>
  </si>
  <si>
    <t>IKSWT-91107</t>
  </si>
  <si>
    <t>MTK  CR</t>
  </si>
  <si>
    <t>[S3]Issue:[London NA][Factory][BT][DVT2]BATT_CURRENT_CAPSWITCH_CHARGER_ Fail
 NTF
 solution: 1.加retry ，每次retry 增加0.1V，并在每次retry 都是Ibus 测试完直接测试Ibat  。
 2.低门限放宽一些，从2.5A改为2A</t>
  </si>
  <si>
    <t>IKSWT-95557</t>
  </si>
  <si>
    <t>[S3]Issue:1:ESD WH160481        D6        NKCT130135        ANT        :EIS degradation exceeds 3dB, and TIS value out of spec(LTE Main_Band5):D6        final test
rootcause：ESD -》ANT0—》ANT0 spring—》ANT0 TVS—》ANT0 Tuner damaged 。ANT0 TVS layout not good enough .
Solution:
1. change SIM board layout，import from  DVT2  2nd source build，monitor
DVT2  2nd source test pass</t>
  </si>
  <si>
    <t>[monitor]Issue:TMO drop WH160497   D6   NKCT130126 Unable to enter camera mode:D6(5)
Rootcause ：
1.Unable to enter camera mode/no audio function : U4153 damaged ，should be SMT issue or component issue .(MP component ) 
2.Send Unit to Vendor ,monior
DVT2 no reproduce</t>
  </si>
  <si>
    <t>[S3]Issue:WH160519 NKCT1E0116  Earpiece no function/ Loudspeaker no function/ Cap/SAR sensor no function/No vibration:C1 in initial(before Drop test)
Clue:I2C reading audio parts are ok . From log check :capsensor initial fail block audio SW initial 
Root Cause:1.Capsensor Damaged
Solution:1.NA</t>
  </si>
  <si>
    <t>Issue: London NA  can not rampdump   IKSWT-66439
Next A2+ (MT6879V/TZA) / /London NA // T //echo c &gt; /proc/sysrq-trigger,Failed
Clue： EVB ，EVT，DVT1  all can reproduce 100%
              Tesla  MP &amp; some PVT units  fail too. 
EXP：Swap CPU with  Tesla DVT2 chip ，and issue gone.  Issue Follow CPU
 solution：  MTK provide a patch and  Solve the issue</t>
  </si>
  <si>
    <t>IKSWT-66439</t>
  </si>
  <si>
    <t>Issue:WH160519 B3        NKCT1D0011        Unable to enter system:B3(1)-TH/TC
Clue：
Rootcause:    4 units all recovered after recharging the battery. Low battery leads the phone can't enter system.  monitor</t>
  </si>
  <si>
    <t>[S3]Issue:1:ESD WH160481        D3        NKCT130197        NFC        NFC no function
1. ESD from MIC3 hole （add from DVT1） -》NFC ANT spring-》NFC IC damaged
Solution:
1.ADD TVS on NFC ANT spring
DVT2   test ok</t>
  </si>
  <si>
    <t>[S3]Issue:1:ESD all Cap sensor no function,unable to recover:D2(15KV,zone1)/D4(15KV,zone16)/D5(15KV,zone12) 
2:All capsensor no function,CH1&amp;2&amp;3&amp;4 recover after reboot,CH0 unable to recover.D1(15kv,zone4） 
3:Capsense(Ch2) no function,recovered after 15min:D6(15KV,zone4）
Root Cause:
1.Ch0,Ch1,Ch2 of SX9375 Damaged through Wide Angle Camera and camera ring
Exp1: Well Grounding of Wide Camera ,ESD No issue, Same unit, Isolate Wide Camera Grounding ,Reproduced
Exp2:Add anti-esd film on cap-sensor area. Result: verifed pass. 
Solution:
1.Add anti-esd film on cap-sensor area. rd verifed pass. TCC validated Pass
DVT2 2nd sourcing test ok</t>
  </si>
  <si>
    <t>[S3]Issue          ESD WH160450 Cap/SAR sensor no function:C1(15KV air）
Root Cause: 1.SX9375 damaged
Exp: REF_CAP_ANT0_2 shorted to GND
Exp: recorverd after changing SX9375
2.ESD Path Analysis ,by 1/16
solution:add TVS on main board (near cap sensor) ，import from DVT2.
DVT2 2nd sourcing test ok</t>
  </si>
  <si>
    <t>[Monitor]Issue:build 7pcs can not download
clue:remove CPU shielding case SH4309 and ok ,remount shielding case and ok too .
        R1601，C4411，C4416，C4478 are the High risk point  base on the X-ray 
Root Cause : suspect some cap short to CPU shielding case SH4309 due to shielding case tolerance . 
Solution：1. ME  control CPU shielding case SH4309 tolerance  .
                 2. change PCB to provide more margin space for Risk components ,From DVT2 
DVT2 ok</t>
  </si>
  <si>
    <t>[S3]Issue :WH160450 ALS、PS No function  A5(5)                        
Root Cause: P-sensor damaged  
Solution： change PCB outline near P-sensor 。（Y+0.15mm to protect sensor componnet）,DVT2 import ,monitor</t>
  </si>
  <si>
    <t>[S3]Issue WH160450 No Main display   B2(2)        B4(3) A5(2)      ,recovered after pressing power key repeatedly                
clue：all recovered, 1 times/4 units from 10 units
Analysis:1/20 No available log ,4 units log no match log found in the phone after get the phone
                 1/31  new log shows，phone sleeps in when fingerprint HBM mode  ,that leads no display，it's a SW bug.
                 2/1   can reproduce the issue at xiamen, phone sleeps in when fingerprint HBM mode ,that leads no display.
                   next action:ALT test ,turn off fingerprint hbm mode  
Root Cause: NA</t>
  </si>
  <si>
    <t>[S3]Issue WH160450 Rear camera viewfinder has noisy points:A1/A2/A6(1)-TH/TC
Root Cause: not reproduce in XM。 try to reproduce but can not reproduce</t>
  </si>
  <si>
    <t>[S3]Issue WH160450 Cannot charge phone by induction         A2(5)        ，A1(5)                          
Root Cause: wireless charge coil FPC assembly issue : Spring can not contact to the FPC finger  .Assembly issue
solution：Assembly issue ，ME tracing assembly quality</t>
  </si>
  <si>
    <t>[na]Issue          WH160450 Unable to read SIM Card:B5/B6(1)-right
Clue：replug SIM card and recovery 
Root Cause：1.get SW log for recheck
                 2.tear down phone for short risk check by ME No issue found。
reproduce：drop and SIM tray drop out a little  and No SIM，can reproduce ，ME issue .
Solution :ME Own</t>
  </si>
  <si>
    <t xml:space="preserve">[na]Issue: TMO drop WH160497   D6   NKCT130126 no audio function/no vibration(25)/unable to detect SIM card(29)/2nd L-sensor no function:D6(56)
Root Cause:1.Stack connector damaged lead to failure ,ME tracking
</t>
  </si>
  <si>
    <t>[S3]Issue  TDD : receiver  mode .
 Root Cause: Up SPK PA  Capacitor noise 
Solution ： change to Low noise   Capacitor ,import in DVT1 .  
DVT1  retest and similar to tundra ，acceptable</t>
  </si>
  <si>
    <t>[s3]Issue: WH159074 TMO Drop 10:Unable to power on:D5(47)
       rootcause: ：1、high PCB Strain
2、low inductor anti-strain capability, Taiyo Engineering Sample
Solution:change PL2301,PL2318,PL2319 to microgate MP inductor,import in DVT1 
[s3]Issue 2.1.2 : WH159076 ，ATT DROP， Unable to power on:D1/D14(1.25m),D5/D6/D9/D11/D13(1.5m）,D12/D15(1m)
rootcause &amp; Solution:  same as WH159074  D5 
DVT1 no reproduce so far  1/12</t>
  </si>
  <si>
    <t xml:space="preserve">[S3]Issue 2.1.1: build ，NKCN040279 NKCN050156 NKCN040229 not power on  
Clue：connect J2702 and big current。remove RF DCDC shielding case and ok .
rootcause: RF DCDC shielding case short to C2745 &amp; C2744
Solution ：change RF DCDC shielding case from DVT1 -ME  。DVT 1 no issue found </t>
  </si>
  <si>
    <r>
      <rPr>
        <rFont val="Georgia"/>
        <color rgb="FF0563C1"/>
        <sz val="11.0"/>
        <u/>
      </rPr>
      <t>[S3]Issue:  WH159074</t>
    </r>
    <r>
      <rPr>
        <rFont val="Georgia"/>
        <color rgb="FF000000"/>
        <sz val="11.0"/>
      </rPr>
      <t xml:space="preserve">  TMO  Drop  1:Proximity sensor no function,recovered after reboot:D1/D3/D4(14),D2/D5(28 
rootcause:  suspect no P-sensor parameter optimize , optimize it in DVT1 SW . monitor DVT1 and no issue so far 1/11</t>
    </r>
  </si>
  <si>
    <t>[S3]Issue:  Wide camera power noise 
rootcause:  Low frequency radiation interference from BOB power in light loading PFM mode
solution：1.set BOB in forced-PWM mode  when  camera open, PFM mode when exit camera app.  RD Verified Pass
                   2.optimize BOB VSYS layout， far away from Wide camera module as far as proposable.   DVT1 PCB  import （PCB change  improvement is similar to SW change）</t>
  </si>
  <si>
    <r>
      <rPr>
        <rFont val="Georgia"/>
        <color rgb="FF000000"/>
        <sz val="11.0"/>
      </rPr>
      <t>[S3]Issue  ：EDU03  WH159065 D3 After -8KV air discharge at zone9(Aging10),Mic1 and Mic2 no function,recovered after reboot.</t>
    </r>
    <r>
      <rPr>
        <rFont val="Georgia"/>
        <color rgb="FFFF0000"/>
        <sz val="11.0"/>
      </rPr>
      <t xml:space="preserve">(only once </t>
    </r>
    <r>
      <rPr>
        <rFont val="Georgia"/>
        <color rgb="FF000000"/>
        <sz val="11.0"/>
      </rPr>
      <t>not count 2022/12/6 15:09)
rootcause:  N/A
Solution ： Monitor</t>
    </r>
  </si>
  <si>
    <t>[na]Issue  12/13 SW版本开机后马上自动关机。
 rootcause: 报电池温度70度所以高温自动关机。从EVB 到EVT   SW 上面 电池NTC 都从 Fuelgauge IC 内部的集成NTC读取而未从我们要使用的 FPC上的NTC读取，
12/13 SW Yuechai 提交的更改 将Fuelgauge  NTC读取  切换到产品要用的 FPC NTC读取 。 结构设计上有短路，短路点在小板上 的一个金属压板支架 和备用的NTC电阻焊盘
Solution ：SW  当读取的FPC NTC 大于等于70度，自动切换到Fuelgauge NTC 
                     HW 删除SIM小板上备用battery NTC位置，避免结构压板金属件短路 ，From DVT1</t>
  </si>
  <si>
    <t>林峰</t>
  </si>
  <si>
    <t>[S2]Issue: WH159076 ，ATT DROP， Unexpected auto power off.D1/D5/D7/D11/D12/D13(1m) 
rootcause: waiting for unit back to XM
[S2]Issue:  WH159074  TMO  Drop   8:Unexpected auto power off:D4(4)
rootcause:  SW issue   Sometimes press the power button a few times and it will automatically shut down</t>
  </si>
  <si>
    <t>IKSWT-51733</t>
  </si>
  <si>
    <t>[S3]Issue:  Factory SMT build found SMT Stencil not match PCB for  SUB USB  Board
rootcause:  
1、In PCB design, the ORGB position was not updated, which led to component position drift during panel assembly.
2、The PCB factory adjusted the data according to its own experience to what it thought was reasonable, but did not give us feedback. The factory directly produces according to our actual output information. The steel mesh and plate do not correspond
3、Data conflict in EVT USB board assembly design
solution： 1. Do not paste the offset part. Used for assembly verification of the first version
                    2. Urgent fabrication of  SMT
                    3. Change Panel design                    
lesson learn :     1. Update in《 PCB 拼板 Step by Step》， to improve the inspection process. 1. During the assembly inspection, check whether each layer is complete; Check that the position is correct. 2. the TGZ file completed by valor assembly will be sent to CAD colleagues for inspection.</t>
  </si>
  <si>
    <t>太加</t>
  </si>
  <si>
    <t xml:space="preserve">[S3]Issue: Sois can not work
rootcause:  Sois I2C Pin Swap （KP output wrong SPEC when design &amp; review）
solution： correct EVT PCB SOIS I2C .  
                    rework  some PCBA for camera team SOIS bringup 
lesson learn :  1. Vendor change SPEC and do not notice KP，KP didnot  distinguish the change from Vendor. maybe KP can  optimize vendor design change process
                           2.Bringup sheet need more detail check point for detail function . </t>
  </si>
  <si>
    <t>[S3]Issue:wireless can not work on EVB
rootcause: suspect  Nmos can not open due to no 5V  at Vbus of Charge Pump 
solution：EVB not impact other bringup.rework  1 pcs for wireless related bringup .
                    EVT change   Charge Pump Vbus to CHG_VBUS(net after Nmos)</t>
  </si>
  <si>
    <t>[S3]Issue:OTG can not work on EVB
rootcause:  Nmos can not open due to no 5V  at Vbus of Charge Pump 
solution：EVB not impact other bringup.rework  1 pcs for OTG related bringup .
                    EVT change   Charge Pump Vbus to CHG_VBUS(net after Nmos)</t>
  </si>
  <si>
    <t xml:space="preserve">[S3]Issue:can not find USB port 
rootcause: Audio switch power =1.8V Voltage is too low  due to  use VIO 1.8V ,but not Vsys or BOB .  
solution：EVB rework , remove R4573  ,short bottom pin of C4585 to bottom pin of  C305 .(short Audio switch power to Vsys)--ongoing
                    EVT change  Audio switch power  to VYSY (change MB SCH &amp;PCB )--done
lesson learn：
1.EXCEL表的PIN定义，写信号全名，不简写，以免改原理图时误解
2.EXCEL的PIN定义更改后，由更改人通过更改文档提交更改，以免REVIEW环节缺失
</t>
  </si>
  <si>
    <t>[s3] MP产线发现概率性无法下载的主板（IF站点），比例~0.3%
初步判断： SCC8C83981 （EXS00A-CS12311）76.8MHz晶振，使用在几十个项目中，近三年的QC项目几乎都用这颗，没有报相关问题。晶振相关导致不下载故障从2024年5月份开始集中爆出。共性的情况就是都是用SCC8C83981 晶体，推测是SCC8C83981 最近批次有什么参数变化，（有可能还在器件SPEC范围内，因为厂家拿到故障IC给出的单体分析报告是pass的）导致和PMK IC无法很好的兼容工作。 
RD分析：PMK IC供电都很正常，没有问题。实际测试XO 晶体本身的波形，发现故障板XO 是完全没法工作起来而不是频率偏移。而XO SPEC提供关键参数目前都看不出异常。 高通也给不了进一步的分析建议，让咱们找XO厂家确认除了 频率指标外还有什么会影响XO起振的情况。
临时方案建议：更换SCC8C83981 晶体批次，跟踪后续情况。更换后暂时没有问题，持续关注。
长期：找XO厂家继续确认还有什么情况会影响XO起振。</t>
  </si>
  <si>
    <t>QC CR：07311754</t>
  </si>
  <si>
    <t>[s3]Issue:IKSWU-111557Boston CQA1不充电、不识别端口 NG，重启后才能pass（包括低电后充电起来的重启） ，比例  4/15000
Clue:   1. Factory 版本测试出现的 。
            2. 默认没有ADSPlog ，SW从现有log 无法得到有效信息。
           3.恢复的过程包括没电关机了，所以基于此的推测是：机器没电后 内部异常的状态就消失了，可以正常充电继续使用，不会变成砖头机。
exp: 打开ADSPlog ，针对出现问题的机器 以及其他机器共10台，进行压测。截止3/29 验证1300次，未复现。
NEXT：CQA2上追踪
              其他建议：产线加入ADSPlog 的批量生产跟踪（这样一旦出现问题，可以获取到有效log，只加在整机端），产线评估中 -TE
solution: TBD</t>
  </si>
  <si>
    <t xml:space="preserve">[s3]Issue:先放到无线充电盘上，等待5秒左右，插入PD充电器，出现充电图标但是实际没有充电电流的问题
Clue:   1. 时间短或者长都没法复现。 
           2.插入其他充电器ok （10W充电器，或者QC 充电器）。
exp:
solution: </t>
  </si>
  <si>
    <t>lin'k</t>
  </si>
  <si>
    <t xml:space="preserve">[S2]Issue:EDU14   50V surge on Vbus，can not fastcharging  (2 in 2)
clue1: EDU14 WH172566 2nd source FVCT4J .  PVT  1st source is pass.
                 1. Charging IC Nuvolta NU2115 was damaged
                      Exp: measured surge waveform when broken. 
                      Result: surge voltage maximum only 13V, less than IC spec 22V 
                 2.NU2115 analysis by vendor - report ETD 3/6
                 Exp: Adjust internal OVP Setting of NU2115 , 5 Pcs
                      Exp: 6 More Units to Validate with new setting  . Result: pass 3/8（ each unit test twice  ）
rootcause:  surge voltage maximum only 13V, less than IC spec 22V
solution:Adjust internal OVP Setting of NU2115（VAC OVP From 14V to 13V； Vbus OVP  From 12V to 10.5V ；PMID2Vout_OVP from 12.5% to 7.5% ） （purpose： faster protection triged for surge test）—-verify 6 unit test pass  
</t>
  </si>
  <si>
    <t>TCC sheet</t>
  </si>
  <si>
    <t>[S2]Issue:  +15kV ESD, Flash always on, PM6150C BOB short
clue1: flash板接地导电泡棉厚度压实后有1.0mm左右，接触正常
clue2:13M CAM背面贴了隔磁材料，
exp：整改未贴隔磁材料机器进行摸底验证
exp：加贴一个tvs，初步验证ok
rootcause:  
solution:  
PVT test pass</t>
  </si>
  <si>
    <t>[s3]Issue ：4 unit wireless charge can not work after flash SW.   （FR：4/200=2%）CR IKSWU-53713
Clue：
         1.SW update to FW1.1 and then update to FW1.3 ，so it will update FW twice .
2. Log ：battery capacity are low  （only 20+% for these 4 units  when issue happen ） 。and then FW=0x 00
3. SW FW update logic：dont allow update FW if FW=0x 00  （to Solve other project issue ：power on with DP insert ，it disconnect DP）
Rootcause ：         1.suspect  FW update unstable with low voltage battery .
        2.When FW updated fail ，it will show 0x00，and can not be updated again base on SW logic now.
Solution：         1.change FW update battery capacity limit from 20% to 50%
        2.change SW FW update logic ：allow FW=0x00 update again . 
                SW change would be submit from  ⅛  ，monitor</t>
  </si>
  <si>
    <t>IKSWU-53713</t>
  </si>
  <si>
    <t>[s2]Issue:Display missing pixel
Clue:
exp:
solution:中框加麦拉盖住底部中框跑道型通孔</t>
  </si>
  <si>
    <t xml:space="preserve"> [S3]Issue: USB connection strange B2GID:324037417: unexcepted USB interrupt (Xiangdong`s EUT phone)
Clue:1. stress test can not reproduce in test team. 200time USB plug &amp;unplug.
          2.Log analysis :some OTG interrupt found frequently.
rootcause: LP，Foreign objects entered the Type-C (presumably saline or beverage), causing corrosion
solution:NO</t>
  </si>
  <si>
    <t>IKSWU-41681</t>
  </si>
  <si>
    <t>[S2]Issue:  ALT, ESD, headset MIC no function
clue: dvt1 二供有开始验证中芯的codec，可能与芯片厂变更有关
待确认故障位置
Exp1：
Exp2：
rootcause:  
solution:   C2718 33pf电容为改TVS，降低概率</t>
  </si>
  <si>
    <t>[S2]UW Camera with new sensor GC13A2 got line noise 
Clue: 1. When the module was upright, there iwas no noise, indicating radiation interference.
2. Sticked magnetic shieding film, noise was gone. The radiation source comes from the module projector surface of mainboard.
3. Replaced S5B or set S5B into pwm mode, noise was disappeared. The S5B working mode is affected.
Rootcause: Interference comes from S5B.
Solution: 1. Stick magnetic shielding film under camera module.  (need to verify BB ESD, RF desense, ANT perf, CamKP Mag Simulation)
2. Set S5B into pwm mode when opening camera.  (still working with BSP)
[Verification] No noise in PVT</t>
  </si>
  <si>
    <t>[S3]PCB from redboard silkscreen layer was broken after cleaning underfill gel 
clue: 1. problem was not with Compeq PCB
2. Redboard slice the offending PCB and Compeq PCB
Solution: Redboard will thicken film of silkscreen layer as thick as compeq's</t>
  </si>
  <si>
    <t>[s3]Issue ： wireless charge ，Irect &gt;Ibus （Impact Qi Certification tuning. Some weak Tx maybe can not work）
Clue：1.Ibat *Vbat   &gt;Ibus *Vbus   （2.77*4.28  &gt;0.78*11.9  ），output poewr &gt;input power .suspect Ibus is error
2.short E1679  ，OK 
Rootcause ：E1679 impact PM7250B Ibus detection in wireless charging status. 
Solution：change  E1679 to 0R. Import from DVT2 
（DVT2 board  check Ibus ok 4pcs .DVT2  phone RF check desense ok ）</t>
  </si>
  <si>
    <t>[S2]Issue:  ALT, ESD, Flash always on, PM6150C BOB short
clue: flash板接地导电泡棉厚度才0.2mm，而实际flash板到主板屏蔽盖间距有0.58mm
Exp1：flash板接地导电泡棉厚度改为0.6mm（result：TBD）
Exp2：c1524电容改为0.1uF（result：TBD）
rootcause:  屏蔽盖泡棉未接地
solution:    加厚泡棉</t>
  </si>
  <si>
    <t>[S2]Issue:  EDU03的报告，从OTA的数据看D4 ANT0通路有损伤
clue:  Band 71 TRP degradation exceeds 3dB, and TRP value also out of spec.
exp: 
rootcause:  
solution:    improve sub PCB layout，调整TVS位置</t>
  </si>
  <si>
    <t>[S1]Issue: Main Camera preview flicking after ATT trumble 400 cycles
clue: 1. camera ois get gyro data fail
2. a+g function fail in CQAtest
rootcause: PCB conner broken
solution:   ME FA</t>
  </si>
  <si>
    <t>[S2]Issue:  Main camera video record got obvious line noise
clue: DVT1A, FR 3/406
exp:  
rootcause:  
solution:    Increase MIPI VOD parameter</t>
  </si>
  <si>
    <t xml:space="preserve">[S2]Issue: WH169799 MD ALT 2019 DVT1 (Loop1)//ALT kernel panic
clue: 
exp: 
rootcause:  
solution:    </t>
  </si>
  <si>
    <t>IKSWU-28732</t>
  </si>
  <si>
    <t>[S2]Issue: ATT tumble WH168486, Unable to enter system:D2(400)
clue1: ramdump at moto logo processing，log show DDR abort
clue2：remove back housing and it can power on（memory test ok in this status）--suspect some component solder crack
clue3: slice test , no solder crack found
rootcause: unknown
solution: Monitor DVT1  /  ME confirmed low risk</t>
  </si>
  <si>
    <t>[S1]Issue: Main Camera preview flicking after ATT trumble 400 cycles
clue: 1. camera ois get gyro data fail
2. a+g function fail in CQAtest
rootcause: Pads of A+G sensor chipset were cracked
solution:   ME analyze</t>
  </si>
  <si>
    <t xml:space="preserve">[S2]Issue: Insertion mistrigger  when stylus closes to the tp area above hall.
clue: 
exp: 
rootcause:  
solution:    </t>
  </si>
  <si>
    <t xml:space="preserve">[S2]Issue: autopower off  on  some unit (2 in 7) when charging
clue: 1. some unit can reproduce in charging mode （reproduce when SOC =94% ,SOC=100% ,and others）
2. Log analysis:  PM: OCP Occured: PMIC: 4; SMPS: 8  .  it is PM6150C  S8E .suspect  S8E in LPM mode when charging 
EXP2.1 :add loading on S8E found 100mA trig OCP, so it is in LPM mode. 
        2.2 :SW change it to NPM mode , result TBD （1unit 3days ok ，the other one seems not in NPM mode）
rootcause:  
solution: change S8E from auto/retention mode to auto/NPM under sleep   </t>
  </si>
  <si>
    <t xml:space="preserve">[S1]Issue: UW Camera power noise, RCN value &gt; 20
clue: Short AGND to GND close to UW connector, RCN got pass.
rootcause:AGND of LDO is separated,  leads to power noise
solution: GND optimize &amp;  AVDD add 0R                </t>
  </si>
  <si>
    <t>[s3]Risk: The SOIS signal is out of step
clue: The SOIS signal is out of step when two sensors on the SE0 simultaneously collect signals.
clue: 
rootcause:SW Own
solution:Camera Feedback Acceptable</t>
  </si>
  <si>
    <t>[S2]Issue: EDu03 WH168449, D2, Flash LED was always on after ESD test on UW Camera ring
clue: 1.  PMIC damaged leading to VREG_BOB shorted to FLASH_LED
rootcause:shot on CAM ring,energy strick the  CAM shell to coupled discharge the spring of flash 
solution: Add TVS On Flash_LED</t>
  </si>
  <si>
    <t>[S3]Issue: EDu03 WH168449,  capsensor CH2 8KV NG
clue: 1. L901 was short damage
rootcause:  capsensor CH2 sparated from ANT9，remained a suspended metal leading to weak ground
solution:1、ADD TVS on the path of CH2
                2、change higher voltage capacitor （25V to 50V）</t>
  </si>
  <si>
    <t>[S3]Issue: WH168459,Cap sensor ch1 no function:D1(25)
clue: 
rootcause: Main board was broken by stress
solution: ME Own</t>
  </si>
  <si>
    <t>[s3]Issue ：ATT tumble WH168463, Unexpected auto power off:D1(350/450)
Clue：1.it can reproduce in drop  .2.Battery connector seems loose   （other normal unit seems ok）
        exp1：wireout Vbat&amp; GND and connect to power supply(without back cover)，RD drop 35 times and can not reproduce.
        exp2：wireout Vbat&amp; GND from Battery and reassembly phone , RD drop 50 times and can not reproduce
         2. This batterty connector is a new part that not MP in lenovo.
Rootcause：1.phone power off  in drop due to Battery connector contact issue.（connector damaged）
                  2.Why？  KP and ME  analysis -weaker connector 
Solution： change BAT connector to molex BTB （MP parts） from DVT1</t>
  </si>
  <si>
    <t>[S2]Issue: MDU72 ,WH168468, D1   ,     NB9A040201,        不识SIM卡
clue: no issue in EDu03 ESD test before MDu72
Clue: SIM recognition failure is due to modem crash
Clue:Modem crash is caused by the factory's lack of complete calibration.
Rootcause:The unit lacks complete RF calibration, resulting in modem crashing. 
Solution:Recalibrate RF parameters</t>
  </si>
  <si>
    <t>[S3]Issue: TMO tumble WH168459, Unexpected auto power off:D3(125/150/200) 
clue: same as WH168463, Unexpected auto power off:D1(350/450) 
rootcause: battery connector deform
solution: change BAT connector to molex BTB from DVT1</t>
  </si>
  <si>
    <t xml:space="preserve">RISK：Some line layout under shielding case Corner  ， may be broken in Drop  test
Monitor EVT ME Drop test  。  EVT drop test no related issue found ，close </t>
  </si>
  <si>
    <t>[s3]Issue ： always in Fastboot mode  total 13 units in EVT1 build
Rootcause： There is some solder added between the bullet of V - and the positioning gold wire, which leads to a short to GND and keeps entering fastboot mode.The SMT process suspects that the opening of the steel mesh is too large, causing too much solder to float onto the positioning wire and causing the short.
Solution：EVT2 SMT  reduces the steel mesh at the corresponding position. Monitor</t>
  </si>
  <si>
    <t>[s3]Issue ：3.0V~3.5V  battery Wireless  charging fail
Rootcause：  wireless charge stop output due to WLC_Mode_sel setted to 1 when SW detect 3.0V 
Solution：
                     proposal 1.set WLC_Mode_sel in ADSP when phone power up （over 3.6V）---  -test  pass，go with this Option
                     proposal2.  WLC_Mode_sel change control logic :default 0 =EPP , 1=BPP ,default not need to set it when  SW detect 3.0V  -test fail， proposal2 Drop</t>
  </si>
  <si>
    <t>[s3]Issue ：FOD bringup fail
Rootcause：the  FOD connector was 180 degree turned
exp：
Solution：modify PCB</t>
  </si>
  <si>
    <t>xiongsn</t>
  </si>
  <si>
    <t>[s3]Issue ：dead battery Wireless  charging fail
Rootcause： PM7250B do not charge with Vbus available only.  Need CC logic work fine too.
                  and dc_in_pon can not replace it.(Design in EVB )
exp：use reserved solution （a logic cirruit to pull CC to Vbus with 51KR when dead battery Wireless  charging）  pass
Solution：1. add a logic cirruit to pull CC to Vbus with 51KR when dead battery Wireless  charging.  inport from EVT</t>
  </si>
  <si>
    <t xml:space="preserve">[s2]Issue ：EVB  Boston cannot force 9008 with V+
Rootcause： U1016 orientation error-clockwise 90 degree due to error not clear orientation mark on component
Solution：1.turn U1016 anticlockwise 90 degree -EVB rework
                   2.sync correct  orientation identification with SMT Engineer  </t>
  </si>
  <si>
    <t xml:space="preserve"> Geneva NA   Cannot charge &amp; NTO EWG ID :180574&amp;180463
 180574 Analysis ：NTO  and can not charge 
1.Log found a clue: PM: OCP Occured: PMIC: 1; LDO: 25
it is PM6450的VREG_L25B_3P072 ，output to PDphy of PM7250B   and USB power of CPU  
2 VREG_L25B_3P072 impedance test： 11KR VS normal 200+KR，suspect some IC EOS。
3. Main PCBA USB DM&amp;DP impedance test： DM is Infinity （abnormal），DP=1MR 。
4. PCBA USB DM&amp;DP impedance test： DM is 11KR（abnormal），DP= Infinity  。
Next action：similar to 180463 ， wating for 180463 check if it is CPU damaged
Rootcause: suspect EOS or High DC go into the phone through USB DM pin. and cause component damaged (TVS damaged ,CPU damaged)
sent IC to QC for futher analysis.
Clue：TCC 3T EOS surge test data ：USB DM DP can pass 45V . it is good 
next action ：1. monitor QC analysis
                         2. find ORT unit  to do USB DM DP  surge test again
                         3. try to do ESD test on USB DM DP.                    
180463 is similar</t>
  </si>
  <si>
    <t>[S2] Geneva5G Polit, ALT loop5, Light sensor功能异常，2台
现象：light sensor参数异常
root casue:  遮光膜开裂
Analysis: 
      1. 测试暗环境正常。---&gt;电通路正常。
      2. 结构拆机分析。----&gt; 遮光膜开裂</t>
  </si>
  <si>
    <t>[S2] Geneva5G Polit首批ALT测试后, 不充电
现象：不充电
root casue: connector pin crack
Analysis: 
       1. 不充电，不能抓log
       2. CQAtest, type-C test, CC pin test PASS
       3. 拆机分析主FPC小板端，bat_thm pin翘曲
       4. log分析：batt temp检测正常, 无法检测到usb插入
       5. CQAtest U盘测试，usb host fail，log上看到可以识别VID, PID, 以及vbus 5V</t>
  </si>
  <si>
    <t>[S2] Geneva5G Polit首批ALT测试后Audio问题
现象：Left Loudspeaker no function.
root cause: recv装配歪斜
Analysis: 
       1. log: i2c probe成功，不是之前见到的i2c断线。
       2. spk, headset mic正常
       3. ME分析 -- recv装配歪斜</t>
  </si>
  <si>
    <t>[S2] Geneva5G 量产首批ESD测试后不开机
现象：测完ESD，放置一个小时，换成normal模式开机，2台有1台出现卡死在moto log界面。
Analysis: 
       1. log分析：安卓没起来，data/misc_de/0/apexdata/com.android.permission/runtime-permissions.xml文件被破坏
                 SW action: 40次清除log，重启没有复现。   （目前判断不是硬件问题）</t>
  </si>
  <si>
    <t xml:space="preserve">[S3]Issue: DVT  EDu03 - ESD Certification Test, headset mic no function, SMIC codec, WH160401 ,1 units from 4
Root Cause:
     1.Codec damaged through naked Mic Pin in Audio Jack
Exp1: 2 TVS apply on ESD Path . Result: RD test pass (1/1),  PVT TCC test failure (1/4).
     2. SMIC codec anti-ESD too weak under IC spec
Exp2: ESD 2kv directly on IC. Result: FAIL.
     3. Geneva ESD protection is not strong enough to protect 15kv
Exp3.1: Milan5G 15kV PASS, Geneva 12KV PASS. (Isolation of audio signal and ANT,  TSMC &amp; UMC codec pass ESD test before DVT2B.)
Exp3.2: HW workaround, add extra TVS on audio path of MB, MDu30 test PASS.
Solution:
     1. Add extra TVS on headset mic path of MB. 
</t>
  </si>
  <si>
    <t>link2</t>
  </si>
  <si>
    <t>【S3】Issue:DVTMXc03, drops front 100 times, Cannot enter rear 2 camera mode:D1(front), NGVADB0139
rootcause: connector pins solder crack on MB, SMT for further analysis</t>
  </si>
  <si>
    <t>锦康</t>
  </si>
  <si>
    <t>Geneva NA T4P 1台机器开不了机，充电发热   (机器准备做ALT，检查时发现故障）
Analysis: PM6150C IC crach, BOB pin short to GND</t>
  </si>
  <si>
    <t>[s2]bt crash B2GID:322334682 //Unexpected restart
clue: no BT issue leads to unexpected restart. OCP on PMIC LDO19 (UMCP VCCQ2)
rootcause: 
solution:</t>
  </si>
  <si>
    <t>https://idart.mot.com/browse/IKSWT-82029</t>
  </si>
  <si>
    <t>Issue: TMO  CEC  PM  fail ,0.31 W  VS  target 0.3W，CR ：IKSWT-83174
Clue：Pm is the charger input power of power off charging mode （when charging full）
rootcause：charger input power of power off charging mode is too high than TMO SPEC.
solution：change UFS to low power mode in power off charging mode， Lower down charger input power of power off charging mode（when charging full）
TCC retest pass  WH161567  ，pm=0.11W</t>
  </si>
  <si>
    <t>IKSWT-83174</t>
  </si>
  <si>
    <r>
      <rPr>
        <rFont val="Georgia"/>
        <color rgb="FF000000"/>
        <sz val="10.0"/>
      </rPr>
      <t xml:space="preserve">[S3]Phone Crash during second restart after skipping SlotB for OTA test , and then Restart failed.
Clue:1.Press power key will help to continue the power on process.
Clue2:Log shows GP Fault 7 and uvlo
Clue3:HardReset or Battery Removed will recover.
Clue4:Factory SW Also Reproduce , ~2%
Root Cause:1.System Suspend duo to Fault Issue on of PMK6450 which caused by Secondary Power VREG_XO/RF/BB not shut.
Exp:Measure Pon_rst_n/Fault_n/PS_Hold when crash reproduced, Result:PMK6450 Trigger Fault_N duo to Vreg_xo keep alive and drop after L17B.
2.BootLoader PSI File issue.
Exp:Upgrade newest Bootloader  Result: No issue
Solution:1.Latest SW resolved
</t>
    </r>
    <r>
      <rPr>
        <rFont val="Georgia"/>
        <b/>
        <color rgb="FF000000"/>
        <sz val="10.0"/>
      </rPr>
      <t xml:space="preserve">Un-reproduced by QC mainline update </t>
    </r>
  </si>
  <si>
    <t>IKSWT-74127</t>
  </si>
  <si>
    <t xml:space="preserve">[S3]FPS of First Vendor  Get Hot and Short ，System crash，
Clue:Second Source No Issue
Rootcause: 1.system crash duo to Vreg_L28B Drop
Exp1:log shows TZBSP_KRNL_FATAL_ERR_TYPE  Fatal Error type:TZBSP_ERR_FATAL_RPM_ERR )，RPM Trigger Crash
2.Vreg_L28B Drop duo to FPS Module Broken and Short.
Exp1.3.0V(VREG_L28B) 400+mA，OCP max=220mA~550mA，voltage drop to 2.4V
Exp2.Father Power VREG_BOB Normal Voltage
Solution:1. Fix PMIC OCP setting by SW and QC
</t>
  </si>
  <si>
    <r>
      <rPr>
        <rFont val="Georgia"/>
        <color rgb="FF000000"/>
        <sz val="10.0"/>
      </rPr>
      <t xml:space="preserve">[s3]Issue: Cannot charge phone by USB: D7 (350) after ATT tumble , </t>
    </r>
    <r>
      <rPr>
        <rFont val="Georgia"/>
        <color rgb="FF1155CC"/>
        <sz val="10.0"/>
        <u/>
      </rPr>
      <t>WH160949</t>
    </r>
    <r>
      <rPr>
        <rFont val="Georgia"/>
        <color rgb="FF000000"/>
        <sz val="10.0"/>
      </rPr>
      <t xml:space="preserve">
Clue: PMIC sheilding case solder crack more than 40% .press sheilding case it recover. 
Root Cause: Batt_thermal Layer9 wire crack duo to ME stress  (PMIC sheilding case solder crack )</t>
    </r>
  </si>
  <si>
    <r>
      <rPr>
        <rFont val="Georgia"/>
        <color rgb="FF000000"/>
        <sz val="10.0"/>
      </rPr>
      <t xml:space="preserve">Issue: DVT2 ALT WH159234 FVC T2H Unexpected auto power off.A2(1)
TrackID: NGVT2H0110
HW: DVT2
SW: genevn_factory-userdebug 13 T1TGN33.7 d5a45-e78dce release-keys
AP Log: </t>
    </r>
    <r>
      <rPr>
        <rFont val="Georgia"/>
        <color rgb="FF1155CC"/>
        <sz val="10.0"/>
        <u/>
      </rPr>
      <t>https://drive.google.com/file/d/1-I8MHqvwROxQwy7XEVP2LI1Nv30weR7U/view?usp=share_link</t>
    </r>
    <r>
      <rPr>
        <rFont val="Georgia"/>
        <color rgb="FF000000"/>
        <sz val="10.0"/>
      </rPr>
      <t xml:space="preserve">
问题及线索描述：
1.        插SIM卡，灭屏待机，静置2min，自动关机。按power键或者插USB直接开机。
2.        界面信号图标空白，Mobile Data图标反复On/Off，像是不断地尝试注网
3.        不插SIM卡，未出现故障
4.        飞行模式关机，开机再待机，未出现故障
5.        开机一段时间，尝试注网之后，再开飞行模式，待机可出现故障
Root Cause: 1.Unexpected auto power off duo to GP Fault7 triggered which means XO issue from log. 
                       2.Next Step: Check XO -RF
</t>
    </r>
    <r>
      <rPr>
        <rFont val="Georgia"/>
        <color rgb="FFFF0000"/>
        <sz val="10.0"/>
      </rPr>
      <t>Cannot reproduced</t>
    </r>
  </si>
  <si>
    <t xml:space="preserve">[s3]LTE B12 Low RX1(DRX) Leve;D20, Initial check:Display Flickering, WH159301
analysis: 观察了是60Hz在严重闪屏，切换到90和120Hz闪屏消失。 怀疑为液晶电荷残留导致。80度加热半小时后，闪屏消失。（和博文沟通，还是ＤＶＴ２之前暴露闪屏问题，已有方案和对策）
</t>
  </si>
  <si>
    <t>[s3]Issue:SM6450 Device unable to boot after anti-rollback version is incremented
Root Cause:1.VDD_QFPROM (connect to VREG_L23B_1P8) Power lost when TME  checking anti-rollback efuse.
2 :It is difficult for SW to control VREG_L23B_1P8 in TME.
Solution:1.workaround:change VDD_QFPROM  power supply to  an always on 1.8V power(VREG_L21B_1P8  on SM6450 platform), Import in PVT3
SW test ok in Factory</t>
  </si>
  <si>
    <t>[s3]ALPS两套屏共用一套参数</t>
  </si>
  <si>
    <t>[s3]CQA测试过程中主机dump-IKSWT-54990
Info: DVT2, Samsung 4+128 memory
exp1: 交换memory --- issue follow memory ---&gt; 寄memory给三星分析</t>
  </si>
  <si>
    <t>[s3] Mdu30,TMO safety 55℃</t>
  </si>
  <si>
    <t>[s2]Cap/SAR sensor no function:C2(CH2)(15KV), DVT2B ALT WH159234 2nd
RootCause: cap short demaged by ESD
Exp1: add tvs on path,  to be verify by Hank
Exp2: monitor in PVT ALT test
Solution: Add TVS on cap sensor ch2</t>
  </si>
  <si>
    <t>[S3]Phone Crash during second restart after skipping SlotB for OTA test , and then Restart failed.
Clue:1.Press power key will help to continue the power on process.
Clue2:Log shows GP Fault 7 and uvlo
Clue3:HardReset or Battery Removed will recover.
Clue4:Factory SW Also Reproduce , ~2%
Root Cause:1.System Suspend duo to Fault Issue on of PMK6450 which caused by Secondary Power VREG_XO/RF/BB not shut.
Exp:Measure Pon_rst_n/Fault_n/PS_Hold when crash reproduced, Result:PMK6450 Trigger Fault_N duo to Vreg_xo keep alive and drop after L17B.
2.BootLoader PSI File issue.
Exp:Upgrade newest Bootloader  Result: No issue
Solution:1.Latest SW resolved
QC最后一次大版本33.46不复现。</t>
  </si>
  <si>
    <t>[s3]Final LTE band 5&amp;band13 TRP/EIS degradation exceeds 3dB After ESD testing
Root Cause:1.Ant Holder Changed which easy to affected by ESD. 
Exp1：DVT2 Units change with PVT ANT Holder, Result: ESD Pass
Exp2:  Exp1 Change back to DVT2 Ant Holder, Result: ESD Fail
Solution:1、Import PVT ant holder
                2、naked ant feedback point shrink 0.2mm inner.(0.7mm-&gt;0.5mm)
                3、Enhance GND of TVS</t>
  </si>
  <si>
    <t>[s3]Issue: Micron 6+256 found VCCQ2 Power Dip in Memory Log.
        Clue:Micron Memory log shows low voltage happened. 4 units till now 
Root Cause:
        1.VCCQ2 Power Dip due to  its Front Switching Power Supply S8E Power Dip when wake-up
        2.After Set to PWM , S8E PWM can’t hold the Voltage even when Current stable 
        3.Switching Freq = 2.0MHz when Dip ,while No Dip when Switching Freq = 3.0MHz
        Exp Result:Failed Unit work normally in 3.2MHz when Start up and Home Idle. 
Solution:1. Change Retention Mode to Auto-Mode in Sleep   -QC
                 2.Change 6 pulses in PWM back to 1 pulse during sleep. -QC
                 3.Modify 2 other Registor - QC
                  No side effect observed.</t>
  </si>
  <si>
    <t>[s3]Issue:DVT1 some not charging found in Factory PAT,FR 6%.
Clue:Recovered after re-assembly Battery or Trigger HW Reset from Power Key.
Root Cause:
1. Charging Failure caused by PM7250B initial failed due to unstable power supply when the first Battery connector Plug in.
2. Battery Pack Sensor Signal C+(with 100R in Series) contact first before P+ due to P-,C-,C+，P+ assignment and C+&amp; P+short on Main Board Solution:
1.Remove C- &amp;C+ of battery（change PCB） , Return to P+ and P- Design. PVT import  。PVT ok</t>
  </si>
  <si>
    <r>
      <rPr>
        <rFont val="Georgia"/>
        <color rgb="FF000000"/>
        <sz val="11.0"/>
      </rPr>
      <t xml:space="preserve">[s3]Issue:EVT ATT tumble WH156483 1st,No voice.
clue:Earpiece no function:D4(450),D11(300),D15-follow mainboard
rootcause ：1. I2C line of smart pa damaged in innerlay on corner               
solution ：1.line expand to 0.2mm  2. optimize Solder Paste to reduce strain， DVT1 monitor
</t>
    </r>
    <r>
      <rPr>
        <rFont val="Georgia"/>
        <color rgb="FFFF0000"/>
        <sz val="11.0"/>
      </rPr>
      <t xml:space="preserve">DVT1 tested improved ，but still fail 2units ，optimize layout again ，DVT2 monitor
</t>
    </r>
    <r>
      <rPr>
        <rFont val="Georgia"/>
        <color rgb="FF000000"/>
        <sz val="11.0"/>
      </rPr>
      <t>No issue</t>
    </r>
  </si>
  <si>
    <t>TCCFA</t>
  </si>
  <si>
    <t>[S3]DVT1 Camera Power Noise Test ,RCN Value: Avg 9.2 ，Min 5 ，Max 13.
Root Cause: Camera sensor analog gain 255 was not be correctly write into register
Solution: SW corrects setting
Lesson learn: check power noise as soon as possible in EVT phase, especially, close loop to check analog gain ect. in register value.</t>
  </si>
  <si>
    <t>[S3]EVT1 Main Camera Previous Freeze when Air ESD +8KV. recover after Quit camera
Root Cause:
1.1 Camera Module Hung after ESD Strike through Camera Deco.
1.2 Camera SW not stable in Darkness mode.
Exp1.2.1:upgrade new sw , Result: Issue not reproduce.
Exp1.2.2: Shadow Camera, Issue reproduced.
Exp1.2.3:base on Exp1.2.1/Exp1.2.2 ,upgrade to old sw , Result: Issue reproduce.
1.3 Factory CQA SW version is a naked version, No robustness strength for ESD.
      Exp:Update to User version SW and ESD strike on wide Camera. Result:Not Reproduced.
Solution:1.new sw fixed.</t>
  </si>
  <si>
    <t>[s3]Issue: EVT 滚筒实验反馈有4台机器开机键无作用。 
CLUE：1.锁紧或者松开螺丝，故障可能恢复（暂时没找到锁紧还是松开更容易恢复和复现问题）
2.出现问题的时候，测试开机键测试点，电压1.8V，按下开机键变成0V，松开又回到1.8V。所以推测：弹片接触没问题，上拉电源也没问题。
Rootcause：应力过大，多次撞击导致屏蔽盖频繁拉动内层线路，导致PHONE_ON_N 网络在第8层 有部分断线 
补充疑问：以往一般在L9就断了，L8基本没见过。 原因推测：L9 这部分铺地，比较强，力往L8 传递较多。
solution：1.PHONE_ON_N 网络改板走线改到0.2mm宽度-DVT1二供的板子导入更改。
2.同区域的I2S信号4根线一起加粗到0.2mm ，降低其他功能fail风险。</t>
  </si>
  <si>
    <t xml:space="preserve"> [S3]EVT dead battery charging test ，can not charge on with battery cell Voltage 1.9V~2.6V 
Clue：1. can charge ok with discharged battery package voltage to 0V 
2. Cell voltage lower than 1.9V can charge to around 1.9V. higher than 2.6V can charge to power up
Root Cause:   
1.VPH_PWR drop when PM7250B detect Vbat=3V 
2.  Cell voltage &lt;2.5V whenVbat=3V ,so package =0V when charger buck stops switching.
	3.Due to a design bug in PM7250B, charger buck stops switching for ~150 μs when it transitions
from pre-charge to fast-charge state. The battery voltage at which charger buck does this transition is determined by VSYS_MIN threshold which is 3V by default  and 3V Geneva NA battery can not support Vbat when  charger buck stops switching 
Solution:change VSYS_MIN voltage configuration to 3.1V</t>
  </si>
  <si>
    <t>[s3]EVT TMO tumble WH156479 1st,P-Sensor no function
Clue:issue follow mainboard
rootcause  ：1.P-Senser line on corner damaged in inner layer.
solution：1.change line to next inner layer.  2.other rest line expand to 0.2mm
DVT1 ok</t>
  </si>
  <si>
    <t>TCC FA</t>
  </si>
  <si>
    <t>[na]EVT2 wide Camera Previous Freeze when Air ESD +8KV. recover after Quit camera
Root Cause:
1.1 Camera Module Hung after ESD Strike through Camera Deco which lead to Previous Freeze.
2.1 8M Camera Module Housing isolated GND duo to Cost Down before(0.x Cents) which lead to Module Hung.
      Exp:Grounding 8M wide camera by copper and conductive foam($0.05). Result:Not reproduced. 
2.2 Camera Deco is conductive and floating from GND which lead to ESD Discharge to Camera Iron Housing.
      Exp:Remove conductive Deco ,Result:Not reproduced.
3.0 Factory CQA SW version is a naked version, No robustness strength for ESD.
      Exp:Update to User version SW and ESD strike on wide Camera. Result:Not Reproduced.
Solution:1.EVT ESD is an engineering evaluating method. in Real user SW scenario ,issue not happend. Accept it .</t>
  </si>
  <si>
    <t>[s2]Risk: EVT TDD Noise Risk
Root Cause:Calling sw not ready.
Solution:SW fixed and test performed</t>
  </si>
  <si>
    <t>EVT  眼图调试完成 device mode</t>
  </si>
  <si>
    <t>[s3] Issue:Geneva NA EVB/EVT待机过热问题
Clue：
1. 系统可以正常休眠，休眠电流正常 ，平均9mA，未发现硬件漏电问题
2. 亮屏待机电流高，平均电流超过1.1A，导致发热厉害 （70%的屏幕亮度）,从log看是CPU 频繁重载导致
3. 打开飞行模式后，CPU负载减轻，平均电流降到500mA，发热明显减少
4. 需功耗进一步分解并优化，重点看下modem端
Root Cause：
1. 未导入校准参数，导致功耗异常高，主板发热厉害；
Solution：
1. 导入校准参数，亮屏待机电流降到500mA
2. 500mA平均电流，依旧过高，需进一步分解；</t>
  </si>
  <si>
    <t xml:space="preserve">[s3] Issue:Geneva NA EVB HWID incorrect
Clue:
0. Geneva  ROW have same issue too 
1.GPIO38 B band detected as A . (when set pull up with exter pull down 10K , it read high ,VS normal is LOW .)
2.Waveform check  : it stop at 1.25V ， so it is high .   suspect :Pull up R is about 4.3K  VS SM6375 SPEC 20K min （No SPEC in SM6450 yet）
3. change to GPIO 37(HWID 1) ,same issue.   
4. change to GPIO48 ,it is ok. change to GPIO113 ，it is ok too.
Root Cause: 1. HWID detect error due to Low logic detect error when setting GPIO 37 &amp; GPIO 38 pull high with exter pull down 10K
      2. GPIO 37 &amp; GPIO 38 Low logic detect error due to GPIO 37 &amp; GPIO 38 Pull up capability is too high
     3. GPIO 37 &amp; GPIO 38 Pull up capability is too high ,Pull up range is 3kohm to 10kohm &amp; Pull down range is 5kohm to 10kohm  (QC  reply 09/06)            
Solution:    HWID GPIO change from GPIO 37&amp; GPIO 38  to  GPIO 48 &amp; GPIO 113  ,From EVT  (change done ).
further check: need QC comment  if there is other GPIOs similar to GPIO37&amp;38 </t>
  </si>
  <si>
    <t xml:space="preserve">[s3] Issue:After download adsp.img  phone power off
Clue:
1.after download adsp.img machine power off,off current is 48uA VS normal is 200+uA
2.after 1 ,then first short press powerkey,no current  VS  normal current is 170mA
3.Waveform check VPH_PWR Drop and never go back to Vbat when issue happen（suspect  shipmode or AFP triged） 
exp3：short VPH_PWR and Vbat ， then it can power on .
4.Log check :no shipmode mode trigged (after rework VPH_PWR and Vbat to short) ,so suspect AFP triged
5.check BATT_THERM NTC (RT500)  &amp; batt_ID  R  found  BATT_THERM NTC no mount on sub pcba
exp 5.1： rework RT500 with 100KR and it can power on .  （confirm it is AFP triged）
exp 5.2    disable AFP function and it can power on too.（no rework HW）
Root Cause: 1. phone power off due to batfet  close cause ,and cause VPH_PWR Drop （after adsp.img loaded ）
              2. AFP mode triged  by Low temp caused by RT500 not mount         
Solution: 1.workaround :disable AFP function in EVB  
2. add RT500 into BOM in EVT </t>
  </si>
  <si>
    <t>Issue ： Dubai+ NA (TMO): NTO After MR0 OTA(IKSWS-176032)   ，total 3pcs  by 20230105</t>
  </si>
  <si>
    <t>[s3]Issue:TMO Safety Test, CPU Heavy Loading+Max Volume + Max BrightNess+Charging+White Nosie，Result=53°C &gt;48°C.
Root Cause: 1. Top Speaker Over Heating on White Noise.
         Exp1:Using new Audio EQ ,when SKP Temp &lt; 80°C （Original 90°C）and using 1X1 mm2 Avg Temp in stead of dot temp， Result: TMO Reset. 
         Exp2:Using new Audio EQ ,when SKP Temp &lt; 70°C for back up.         
Solution:1.Using new Audio EQ ,when SKP Temp &lt; 80°C ，And RCA</t>
  </si>
  <si>
    <r>
      <rPr>
        <rFont val="Georgia"/>
        <color rgb="FF000000"/>
        <sz val="11.0"/>
      </rPr>
      <t xml:space="preserve">[s3] Issue: Tesla some times can not charge in DF (DVT2 &amp;PVT),Recovered after power cycle, 5 users reported.
Root Cause:    
1.not charge due to cc logic error,and can't detetect cable.
Exp1:CC /Vbus Waveform Plot. Result: </t>
    </r>
    <r>
      <rPr>
        <rFont val="Georgia"/>
        <color rgb="FF1155CC"/>
        <sz val="11.0"/>
        <u/>
      </rPr>
      <t>1.CC</t>
    </r>
    <r>
      <rPr>
        <rFont val="Georgia"/>
        <color rgb="FF000000"/>
        <sz val="11.0"/>
      </rPr>
      <t xml:space="preserve"> Open </t>
    </r>
    <r>
      <rPr>
        <rFont val="Georgia"/>
        <color rgb="FF1155CC"/>
        <sz val="11.0"/>
        <u/>
      </rPr>
      <t>2.CC</t>
    </r>
    <r>
      <rPr>
        <rFont val="Georgia"/>
        <color rgb="FF000000"/>
        <sz val="11.0"/>
      </rPr>
      <t xml:space="preserve"> 5.1K  Conclusion:CC Logic in error stats
</t>
    </r>
    <r>
      <rPr>
        <rFont val="Georgia"/>
        <color rgb="FF1155CC"/>
        <sz val="11.0"/>
        <u/>
      </rPr>
      <t>2.CC</t>
    </r>
    <r>
      <rPr>
        <rFont val="Georgia"/>
        <color rgb="FF000000"/>
        <sz val="11.0"/>
      </rPr>
      <t xml:space="preserve"> Logic error duo to interrupt source masking
Exp2: embedded reg plot in User Debug 1 , Result: ISR Mask （mean not support INT now）
3.Int mask duo to int Arbitration issue of system
Exp3: Import Patch2 and try , Result:Pass 
Solution:  1.  import patch 2  to main line（I2C INT flow optimize），Validated Pass
</t>
    </r>
  </si>
  <si>
    <t>IKSWS-127586</t>
  </si>
  <si>
    <t xml:space="preserve">Issue:Downloads drops from ~ 2Gbps to 50Mbps
        Clue1:LV1 52°C Trigger  NR CA Off
        Clue2:LV2 55°C Not Triggered in this case
Root Cause:1.NR CA off not correct in Modem Policy Lev1
        Exp1:Remove NR CA , Result:Downlink &gt; 5 Min . Conclusion:Pass
Solution:Remove NR CA off, DownLink Validated Pass.
Issue:Uplink drops observed during test.
	Clue1:LV1 52°C Trigger  NR CA Off
	Clue2:LV2 55°C Not Triggered in this case
Root Cause:1.Uplink trigger in Modem Policy Lev1
	Exp1:Remove Uplink Throttle in Lev1, 
Solution:Proposal:Remove Uplink Throttle
</t>
  </si>
  <si>
    <t>Issue:IKSWS-129202  Phone battery will not charge B2GID:320148798
my phone will not charge from either the 30 watt usb-c AC charger or the Verizon turbo DC charger in the car
Clue：1.HW： NDPA2G0018
            2. From the log ，No Vbus detect from the 2 charging IC（MT6375&amp;BQ25960）
Root Cause:  suspect Type-C connector damaged such Type-C connector liquided or other connection issue  
Action ：1. check Type-C connector if there is some abnormal
                 2.Check if there is PRC user feedback same issue ？
Solution: ?</t>
  </si>
  <si>
    <t>IKSWS-129202</t>
  </si>
  <si>
    <t>[s3] Issue:Download Failure, FR 0.3%(12/4000)
Root Cause:
1. Downloading block by rank1 size check failure duo to write leveling calibration failure.
Exp:Force Dual Rank Downloading , Result:Pass . 
2. ddr write leveling calibration failed duo to no expected return value from Dram after calibrating command sending.
3.ddr not response duo to WCK（Write Data Capture &amp; Read Data Output CLK，Diffential Pair） not align(Sync/Unsync).
Exp3.1: Change Command mode with Byte Mode.  Result:Failed
Exp3.2: Change Command mode with Normal Mode . Result: Pass
Exp3.3: Sync Dram WCK Status before rank detected .Result:Pass
Exp3.4: Rank Detection Retry 5 times. Result:Pass
4.Where wck misalignment?  Conclusion: WCK Sync Status Abnormal When WCK On
Exp:4.1 retry rank detection only DRAM init flow,Dump WCK Status(Sync/unsync) ,result:6/21
Exp:4.2 Setting as WCK to low power mode from high performance mode , Result:No affection
Exp:4.3 move WCK On/Off Position, Narrow Down the misalignment code. Result: WCK Sync Status Abnormal When WCK On.
Exp:4.4 Ask Micron if any special request/constraint, Result:Not affected
Exp:4.5 Any Margin Concern- Discussing ,Result:Not relative
5.Why WCK Sync Status Abnormal? Conclusion:
Exp:5.1 Check Dram Controller Reg Difference and change procedure , Result: Dram Controller Reg Changed during  ddr boot acceleration in Boot Rom（new feature from other platform but with compatibility issue）
Solution:
1.re-compiling DA and Preloader， where reg status fixed in the later init process. rd validated pass. factory validated.</t>
  </si>
  <si>
    <t xml:space="preserve">[s3] Issue:After power off, phone take long time to boot up, FR 3%(55/1759)
Clue:ETT Mem Test Pass, Rd &amp; Wr Eye-Diagram Pass.
Root Cause:
1. boot up latency due to mr5/8 and ddr rank_size check failure and preloader reset repeatedly.
Exp:log Result: show mr5 0x1, rank0_size 0x0000000040000000, abnormal
2. read failure happen on the first check during the Fast ddr lane calibration
(Parameters read from UFS after the first full ddr lane calibration) 
Exp 2.1: Disable Fast K  and test. Result: Pass    ( 30 units 30 times,1 time failure and not reproduce) 
Exp 2.2: Retry RX RDDQC, Check if always pass after the first failure. Result: All Pass.
Exp 2.3:Check Rx Config Register on the first Fast ddr lane calibration compare to the other times. Result: Quit Different ,Conclusion: bad/wrong Rx Config
Exp 2.3.2 Recheck RX Config Register. Result:Rx Config Resister is same ， Revert Exp2.3 Conlusion by Rx Config Normal
Exp2.4 Check HT/LT , Result: LT boot up OK.  Conclusion:bad rx performance on failed unit
Exp2.5 Check 26M CLK, Add 500ms in Mem init and RDDQC(Read Data Q Calibration), Result: No improved, Conclusion: CLK OK.
Exp2.6 Check HV/LV ,Result: No Improved , Conclusion:Voltage OK.
Exp2.7 Check Power Timing,  Result:Power Timing OK.
Exp2.8 Lower ddr Frequency to 1600Mbps during preloader， Result:Failed.  Conclusion:CLK OK. 
3.read failure happend duo to missing of DramCPhy Initial
         Exp3.1.1:Compare the diffirence between first cali and others.  Result: Dram Phy Reset Not executed. 
         Exp3.1.2:Execute Dram Phy Initial Before Fast calibration , Result: No Issue.  Conclusion: Issue happend duo to missing of DramCPhy Initial
Solution:
1.sw work around:RDDQC retry. no side effect. rd validated pass, Factory Validated pass(60PCS*50times pass)
2.SW Patch:Execute DramCPhy Initial before Fast Calibration. RD Validated Pass. 
</t>
  </si>
  <si>
    <t>[na] Issue：Edu 03 ESD test，4/6 OTA Performance Degrade.
Root Cause：
1.Tuner Damaged by ESD Through ANT seam in Bottom 
2.1 Wasin CES TVS can't stablly protect Tuner 
Exp:2.1.1 Change Wasin CESTVS to Panasonic ATVS , Result: RD validated, 1 failure of 3.
Exp:2.1.2 Add 2 ATVS,Result:failed
Exp:2.1.3 Change Wasin CESTVS to Panasonic ATVS,12KV ,Result:Pass
Exp:2.1.3 Change Wasin CESTVS to Panasonic ATVS,15KV ,Result:PASS
3. 13% Avg shorter interval(0.1mm) between Conductive Ant and boarder compare with PVT and DVT
Exp:3.1 anti-ESD foam cover on the exposured and pad and test. Result: Rd validated , Pass 
Exp:3.2 enlarge interval by 0.35mm in middle frame, Result: 6/?  
Solution：
1.Change Panasonic ATVS from Wasin CES TVS.PVT  import
2.enlarge interval by 0.35mm in middle frame. ,6/? me running change</t>
  </si>
  <si>
    <t xml:space="preserve">[na]issue:Edu03 ESD test ,NFC no function after  8k air AD ,D1 units Recover after standing for hours；D2 recovered after battery removed and restart.
         clue: issue reproduced after esd retest. 
Root Cause:
1.NFC Ant 330pf 25V resonance capacitor C1352/C1353 broken .
2.Low Capacitor anti-esd performance
Exp2.1: Change 330pf 50V cap ,Result:RD Validated Pass
Solution:1. Change 330pf 50V cap , 12KV validated pass. 15kV validated pass
</t>
  </si>
  <si>
    <t>Issue：Edu 03 ESD test，D6 After - 15KV air discharge at zone12 (Aging 10),Cap/SAR sensor ch0 no function, unable to recover
route cause：R4509 open 
solution：add tvs</t>
  </si>
  <si>
    <t>[NA] Issue：  WH150730 DVT2 EDU03 ESD Test ,D6After - 15KV air discharge at zone12 (Aging 10),Cap/SAR sensor ch0 no function
Root Cause:    1.R4509  is open，never seen before
Exp1;Send Damaged Resistor to vendor for FA. Result:TBD
Solution: 1.Monitor following Test to see if reproduced.</t>
  </si>
  <si>
    <t>[NA] Issue：  WH150730 DVT2 EDU03 ESD Test ,D1After -15KV air discharage Zone19 aging(10),mic3 no function
Clue:Second Source Verification units
Root Cause:    1.mic3(AAC) damage through mic FPC stiffener steel and Mic Hole on back housing
Info: 1.noisy risky if Mic FPC stiffener steel grounding
Solution: 1.Monitor following test to see if reproduced another one .</t>
  </si>
  <si>
    <t>[S3] Issue： WH150801 DVT2 EDU14 Surge Test ，1mA Leakage current is out of spec.D1(180V),D2(160V)
Clue1：2nd source charge pump SC8541 verification FVC A2R
Root Cause:
1. VBAT Pin of SC8541 which leak 1mA.
Info:1.first source TI BQ25960 300V Pass.
Exp1.1:Check leakage Current stable？ Result: 5/12
2.Surge Path from VBUS to VAC1
Exp2.1: Surge Signal Measurement ,Result:Surge Peak Voltage 46V&gt;36, 80ns duration.
Exp2.2:Add 100nf Cap to suppress peak voltage. Result: No affection
Exp2.3:Add 100R Resistor in VAC1 and verify . Result: Pass
Exp2.4:Send Failed IC to Vendor for Further FA. Result:Application suggestion provided
Solution:
1.Add 100R Resistor in VAC1，RD validated Pass ，TI BQ25960 also Validated Pass ，Running Change</t>
  </si>
  <si>
    <t>[NA] Issue：  Safity certification in Shenzhen Sporton , FOD test fail ,
Root Cause:    FOD limit debug for certification
Solution: SW  FW  update for FOD (change to 800)</t>
  </si>
  <si>
    <t>Issue: DVT2 2 PCS Cap Sensor No function
Clue：1.Main FPC BTB connector Pin burned in sub board side
             2. Cap_ANT1 short to GND after burned
Root Cause: ？
Solution: ?</t>
  </si>
  <si>
    <t>Issue: DVT2 Factory IF fail mostly when battery NTC pin connected  in IF fixture , IKSWS-83340
Clue：1.EVT  have problem in Wuhan factory  but can not reproduce in XM WWTE  LAB . So monitor DVT1           
Root Cause: 
Solution: 1.  remove  battery NTC Pin of IF  fixture on DVT2,not impact test</t>
  </si>
  <si>
    <r>
      <rPr>
        <rFont val="SimSun"/>
        <color rgb="FF000000"/>
        <sz val="11.0"/>
        <u/>
      </rPr>
      <t xml:space="preserve">CR  </t>
    </r>
    <r>
      <rPr>
        <rFont val="SimSun"/>
        <color rgb="FF1155CC"/>
        <sz val="11.0"/>
        <u/>
      </rPr>
      <t>IKSWS-83340</t>
    </r>
  </si>
  <si>
    <t>[S3] Issue：Issue:Factory IF fail in DVT2 2nd source build ?  IKSWS-89240
Clue：0.Phone can't power up after download sw
            1.DVT2 1st source build ok  
            2.DVT2 BB 2nd source component including 8+128 Hynix memory ,SC8541 30W charging IC ,Barometer sesnor ,?
            3.6+128 Hynix memory with other 2nd source board fail too (suspect not Memory related)
            4. other 2nd source +1st  source 30W charging IC  BQ 25960  ,result TBD?
            5. can download and power on in BB LAB with same PCBA (when first board verify), So it should related factory IF envirenment，Power drop is too large.（Vbus &amp; Vbat）
Root Cause:why
实验室复现单台故障的，发现Vbus 有时候会下降比较多，最大的时候Vbat也下降很多。
并且有时候看到电流往Vbat流入（这样会加重Vbus的负载）   
  分析发现产线IF上电顺序有问题，Vbus 比Vbat早上电。
Solution:                   
尝试将ICL改为1A，并且disable 电池充电路径提前一些。   
   2. Vbus 从原来的5.8V 改到6.5V
   3.修改测试序列，将Vbat上电提前到Vbus 之前。---实际验证后
三条solution 都加入后，良率上升到95%以上。该问题不block 生产了。  
4.产线加上retry ，良率会再次提升。  
依此跟踪PVT生产情况再看是否ok</t>
  </si>
  <si>
    <r>
      <rPr>
        <rFont val="SimSun"/>
        <color rgb="FF000000"/>
        <sz val="11.0"/>
        <u/>
      </rPr>
      <t>CR</t>
    </r>
    <r>
      <rPr>
        <rFont val="SimSun"/>
        <color rgb="FF1155CC"/>
        <sz val="11.0"/>
        <u/>
      </rPr>
      <t>IKSWS-89240</t>
    </r>
  </si>
  <si>
    <t>[S3]Issue:DVT1 APM current 13.3mA  no meet TMO request(&lt;5mA)
Root Cause: 1. p-sensor polling interval time 50ms after awake. proper value=250ms. 1.5mA -SW On-Going
2.Modem cannot be powered off due to RF different designs (0.43mA)
3.Display RST 0.3mA Optimized.
4.TP Power 1.5mA ,Optimized.
5.Display 16M CLK -0.77mA  Optimized.
6.Esim Removed 2.2mA Optimized
7.Hall IC GPIO Configuration 3 mA Optimized.
Solution: 
Proposal:1.PSensor Polling interval time optimization.
2-7 according to the root cause
3.32.32 SW meet MTK target(average current=6.93mA,Min=5.77mA)</t>
  </si>
  <si>
    <t>[S3]Issue:DVT1 MP3 playback current  fail,70mA higher。
Root Cause:
1. DVDD_Core Cosume extra 34mA when Mp3 Play. CPU ocupied.
    1.1 Why CPU not sleep? - SW 
2. Current Not Stable
    2.1 Dolby Enabled
    2.2 GMS Enable
    2.3 Battery Tracer Enable
    2.4 TBC
Solution: 1.TBD</t>
  </si>
  <si>
    <t>[S3]Issue:DVT1 Video Playback (local storage) BSP current  fail,CD=340mA。
Root Cause:
1.Display Current Cosume 
     1.1 Fresh Rate Difference.
2.SW configuration or backgournd Service.
Exp:Test with Facotry Version 148mA = MTK Demo Phone 148mA.
The platform power consumption data is the same as MTK Demo Phone data （W/Display+Factory SW version)
    2.1 Dolby Enable  -3mA
    2.2 DDR Config - SW
Solution:1.TBD</t>
  </si>
  <si>
    <t>[S2]Issue:DVT1  Sensor not work after ALT？     1 in 15+2 in 9       total 3 in 24(only in 2nd mainboard)
clue: 
Root Cause:
1 I2C wire crack at BB shielding case Top left   corner 
2. PCB over Strain - ME Analysis.
Solution:
Proposal: 1. Modify Shielding Case Solder Mask to reduce, under validated.
2.Optimize I2C width</t>
  </si>
  <si>
    <t>[S3]Issue:DVT1  Vibration not work after ALT  3 in 10
Root Cause:1 VIB_RST wire crack at BB shielding case Bottom left   corner （layrer 2）
Solution:
1. Change VIB_RST to Layer 3 ，PVT import.</t>
  </si>
  <si>
    <t>[S3]Issue:DVT1 Cap Sensor not work after ESD.  
clue:Sending Unit to Xiamen. 3/8
Root Cause:1.No tvs Protect for this channel
Solution:1.Add TVS on failed channel.</t>
  </si>
  <si>
    <t xml:space="preserve">[S3] Issue： 2% unit can not work on USB connect （No USB port ），CR IKSWS-84946
Clue    1：power cycle cannot recover but Blankflash and Long time press powerkey can recovery
        2.waveform ok onUSB D+D- test point but no signal on Type-C ---Analog switch control problem
       3. Analog headset can work ，and after this ，USB connect recover.        
Root Cause:   Analog switch control issue 
Why ---SW : analysis ongoing---liaohj
Solution:      SW  Analog switch  initial change </t>
  </si>
  <si>
    <t>[S3] Issue：[Tesla][Factory][IF][PVT]WAIT_FOR_NETWORK_INTERFACE_ARRIVAL_POST_FLASH
Clue：实验室复现类似问题，发现这时候，Ibus 一直是0A ，也就是没有抽任何电流， 需要SW 分析下log ，为什么
rootcause：产线设置Vbus 6.5V触发chargepump 默认的OVP最低值6.3V. 
solution：产线设定Vbus电压到6.2V.</t>
  </si>
  <si>
    <r>
      <rPr>
        <rFont val="SimSun"/>
        <color rgb="FF000000"/>
        <sz val="11.0"/>
        <u/>
      </rPr>
      <t>CR</t>
    </r>
    <r>
      <rPr>
        <rFont val="SimSun"/>
        <color rgb="FF1155CC"/>
        <sz val="11.0"/>
        <u/>
      </rPr>
      <t>IKSWS-102720</t>
    </r>
  </si>
  <si>
    <t>[S3]Issue: Camera Power Noise Abserved in Darkness in DVT1 units.
Clue:EVT not found duo to SW not ready.
Root Cause:1.AVDD Power Noise
2.Camera AVDD Capacitor need to fine tune
Solution:1.update Camera AVDD Capacitor C4159 to 4.7uF+2.2uF. DVT2 import</t>
  </si>
  <si>
    <t>[S3] Issue：  BB test ，CQA  battery temp=36 degree ，plug in charge ， battery temp jump to 43 degree 。when 26degree ，jump to 31 degree.
clue ：1. Vbus charging current =3A 。plug out charge ，jump back to 36 degree （Vbus current impact battery NTC reading？）
         2. When charging with QC charger ，jump is 3 degree （27 to 30）
Proposal 1：小板和主FPC 共GND造成的偏移？
Exp1: 小板和主FPC上面NTC拉单独GND，依然有4度的偏高存在。
Proposal 2：ADC 的GND 有干扰，和MTK确认BATON  的参考地是CS_N 而不是GND。
 EXP2：飞线NTC- 到CS_N上面，验证有2度左右改善
Proposal 3：SW上面COM_FG_METER_RESISTANCE 默认的75 ，表示补偿了7.5mR。实际上不需要
EXP3：去掉补偿。改为0 。实际验证下来 结合EXP2，基本没有偏移了，温度准确。
Root Cause:   1. HW：BATON  的参考地是CS_N 而不是GND ，有个5mR对地的采样电阻。
                2. SW：MTK默认代码加了个补偿值7.5mR ，给电池内部的NTC用的。不符合项目设计。
Solution:          1.SW：去掉补偿。改为0 。DVT1 导入  ---柴璐 ，20220215 提交更改
                 2.HW：NTC- 改到CS_N，需要更改主板，主FPC，小板。DVT1来不及改，计划 DVT2 导入---林峰 -done</t>
  </si>
  <si>
    <t>[S3] Issue：EVT  power off current  =424uA，too large ,VS normal project 100+uA
Root Cause: 1.100uA current leakage on MT6685
Solution:1. MTK will upgrade new version MT6685 , import in DVT1.
2.测试DVT1主板(机器) 5pcs，4pcs power off current= 259uA~275uA,1pcs =325uA,关机漏电流有明显改善</t>
  </si>
  <si>
    <t>[S2] Issue： EDU14 Surge Test WH147427 ,D1 Vbus test 150V,D2 test Vbus 100V ，power off current is more than 1mA.
Root Cause:   MT6375  damaged （replace a new MT6375  ,power off current go to 0.4mA ，ok）                
Exp 1: change OVP  point from 18V to 14V ,Result:Failed.
Exp2:change surge TVS D501 to a better part ,Result: DVT1 Verify.
Exp3:change R2701 to 33R  from 0R ( R on PD_Vbus of MT6375) .Result:DVT1 Verify.
Exp4：add one more TVS  near MT6375 .Result:DVT1 Verify.
Solution: 
Proposal 2 :change surge TVS D501 to a better part. 
Proposal 3: change R2701 to 33R  from 0R ( R on PD_Vbus of MT6375) 
Proposal4 :add one more TVS  near MT6375
retest :DVT 1 with  proposal 1+2+3+4   pass 2/25 . 
      rework with Proposal 1+2+3 result ，pass 3/1 WH149393 
Fix solution ：change surge TVS D501 to a better part ESD56161D24 +change R2701 to 33R  from 0R +change OVP  point from 18V to 14V . Import in DVT1 already</t>
  </si>
  <si>
    <t>FA</t>
  </si>
  <si>
    <t>[s3]Issue:EVT Units auto boot up after power down on workaround version.
Clue:1.No this issue with older sw .
Clue:2.Not affect current usage. Closed.
Root Cause:1.4 Power for DDR keep alive after power down which lead to reset and auto power on.
Solution:1.NA</t>
  </si>
  <si>
    <t xml:space="preserve">[S3] Issue：EVT  unit Can't Download on First Board Validation.
Root Cause:
1.DDR5 Power Supply VDD2H not enable duo to MT6368 boot config to LP4.
2.Audio I2s Circuit  Optimization which lead to affecting the config duo to Shared GPIO Usage，this change Point confirmed with MTK.
Solution:1.Enable VDD2H in Downloading Agency Phase, Validated Pass.
2.Recover LPDDR5 HW Config in EVT V03 Version. </t>
  </si>
  <si>
    <t>[S3]VMC_PMU  ，power for 16MHz  clk can not config to 1.8V yet (default 3V)
SW  bringup ok</t>
  </si>
  <si>
    <t>[S3]Risk: Deadbattery wireless charge with QC charger can not work
Root Cause:1. QC charger will output 12V，and wireless charge output 10V ，which trig BQ25960 OVP 6.5V
Solution:1. FW change ，WCHG_MODE_SEL pull down will output 5V。  FW 1.7  ，import from EVT 
2. WCHG_MODE_SEL pull down R 2834 change to mount from EVT . SCH done. 12/13</t>
  </si>
  <si>
    <t>change link</t>
  </si>
  <si>
    <t>[S3]Risk:Battery Connector/GSM PA/Spearker Placement of Dual Speaker Feature can't meet TDD Noise Design Rule.
Root Cause:1.Speaker Interferrenced by magnetic field of Ground Current Flow in Receiver Mode.
Solution:1.Move Battery Connector to the edge and 90 rotated. Xianjun Feedback that FPC too short to be achieved.
2.Proposal:Adding High Voltage Analog Switch YHM1106(2022/1 MP) ,Cost up 0.15$
EVT TDD test pass</t>
  </si>
  <si>
    <t>[NA] requirement:   气压计 sensor，  tdk的20100，目前反馈是spi 可以解掉OTP的问题，希望能把气压计挂到SPI上 ，系统资源是否可以？
Solution:1.   厂家无SPI驱动，不往这个方向评估，close</t>
  </si>
  <si>
    <t>2 in 23 pcs CPU damaged. 
178512 ：Charging too slow。 CPU USB_HS_DM impedance abnomal.CPU damaged by ESD/EOS.
178318：No Turn On.  QC analysis result CPU damaged，suspect is EOS/ESD from USB_HS_DM/DP cause it.  USB_HS_DM&amp;DP  TVS are both  short to GND too.</t>
  </si>
  <si>
    <t>EWG sheet</t>
  </si>
  <si>
    <t>[s3] Issue 1:  TMO test ，discharge capacity is too small . 2465mAh .
root cause 1 : The discharge capacity test have problem . discharge test form 71% but not 100%  ，Log data in : old-power_supply_info（Total capacity is just 71%*5000mAh=3550mAh）,log link
root cause 2: external R that caused by the test is too high . 262mΩ(from the test log file by TMO with rework parts log link)-106mΩ(From internal test log file with close phone)=152mΩ   （ this cause power off at SOC 16%  too earlier than normal one . When it power off, battery  OCV is about 3.7V . Which is the real battery voltage . ）</t>
  </si>
  <si>
    <t xml:space="preserve">[s3]Voice Echo found in DF with Car kit audio.
Root Cause:1.Audio Car Kit input resistance below 5KΩ，which lead to apply earphone mode echo surpression.
Solution:1.Shift Input Resistance Judge Point to 2KΩ ，Validated Pass.
2.Carkit Audio mode params optimized. Validated Pass
</t>
  </si>
  <si>
    <t>[s3]Issue:ESD 3/8 units 8KV/15KV auto power off on Second Vendor FPS. Recover after boot up.
Root Cause:1.Clk of FPS affected by ESD.
Exp:1.add TVS on FPS_Clk , Result:No Issue on 1 units. 
Exp2.Repeat Exp1 on more units. on-Going
Solution:Proposal:1.Add TVS on FPS_CLK.</t>
  </si>
  <si>
    <t>[s3] Issue:FVCV29 capsensor ESD ，15KV air，100 times/zone1：Ch1 no function,unable to recovered 15KV zone1:D2
Clue :1 . CAP C502 shorted to the GND
Root Cause: electricity discharge through the signal between camera deco and the inlay fleeing into the antenna and damaging the capacitor, causing the capacitive sensor to function 
Solution: 1、Proposal: ME add black film to cut the discharge path ，12/15 
                  2、ANT 5 and ANT 10 add DNS TVS</t>
  </si>
  <si>
    <t>[s3] Issue:MILAN5G USB can not connect sometimes  IKSWS-25957 , Get 1 unit N5MV120284 that can reproduce.
Clue: 
0. NEW cable can not reproduce  .  some old cable easy to reproduce.
1. when it reproduce ，move Type-C  at phone side   , it turn ok 
2. when it reproduce ，replug cable at PC side ，it still NG
3. when it reproduce ，Power cycle Phone ，it still NG
4. when it reproduce ，replug Battery connector and Cable At PC side ，it still  NG
5.  swap TMO Main PCBA ，old cable can reproduce，NG
6.  swap a NEW sub PCBA ,old cable can not reproduce, ok. 
7. Type-C Connector Vendor of this unit is Lecton
Root Cause:   Type-C connect issue
Solution:  KP  do the further analysis -xiongxiong</t>
  </si>
  <si>
    <t>IKSWS-25957</t>
  </si>
  <si>
    <t xml:space="preserve">[s3] Issue:MILAN5G  2nd source Ti BQ25890H  OTG easily to triged when connect some hub ，report by SW test team
Clue: 1.change Boost limit from 1.2A to 2.4A ,it is better (some hub can work )
2.SGM41542 is ok with 1.2A boost limit .
3.test the current waveform ,SGN41542 is same to BQ25890H 
4.there are to many Current burst when a hub is working .
5.different hub  have different current burst 
6.TI reply they can not change OCP  deglitch time (250uS）.it is BQ25890H HW limitation .   And OCP setting is = boost I limit.
Root Cause:  there are  big Current burst when a hub is working , and some hub have more big current hurst that trig BQ25890H OCP .
Solution:  change Boost limit(OCP) to max  and add Ibat monitor to make sure Ibat will not Over the battery SPEC 3.5A  (monitor Ibat ,if Ibat is bigger than 3.5A ,disable OTG . Import form 20211217 . It can cover more hub .
 </t>
  </si>
  <si>
    <t>[s3] Issue:FVCV19 capsensor ESD ，15KV air，100 times/zone1：Cap sensor no function,unable to recovered 15KV zone1:D2(40),D3(20),D4(70)
Clue :1 . CAP C502 shorted to the GND
Root Cause: electricity discharge through the signal between camera deco and the inlay fleeing into the antenna and damaging the capacitor, causing the capacitive sensor to function 
Solution: 1、Proposal: ME add black film to cut the discharge path ，12/15 
                  2、ANT 5 and ANT 10 add DNS TVS</t>
  </si>
  <si>
    <t xml:space="preserve">[s3] Issue::DVT1 2nd  WH145578 fail (unable to power on：D1/N5MT1C0102(after desence)）
Clue :
Root Cause:1 .L7A short to GND which lead to power on failed.
                      2.The short-circuit area was found inside the PCB
                      Exp:L7A is still short-circuited after  removal IC
                      3.Why pcb short ? 
                      Exp:send to Tripod for analysis,Result:L7 A Short to GND Via on one Point. 
Solution: 1.Expand Via distance on this point. and DRC the whole PCB  to find if other risk exit.
</t>
  </si>
  <si>
    <t xml:space="preserve">[s3] Issue::DVT1 edu03 WH145517 fail (Unexpected auto power off:C1(8kv air,Zone6),C2(15KV air,Zone6）
Clue :1 .Unexpected auto power off:C1(8kv air,Zone6),C2(15KV air,Zone6
Root Cause:FPS signal interference leads to system shutdown
Solution: 1.FPS SPI MISO/MOSI resistance  from 100R change to 470R
                 2.FPS CS/RST/INT resistance from 100R change to 1K
Test Verification PASS            
</t>
  </si>
  <si>
    <t>[s3] Issue:DVT1 ATT Drop(WH145506) Cap-sensor CH2 no function
Root Cause:1.
Solution:
1.ME will change screw holes to optimize structural stress
2.Optimize cap sensor signal line width(0.05-&gt;0.2)</t>
  </si>
  <si>
    <t>[s2] Issue:DVT1 ATT Drop(WH145506) Unable to enter system:D6(1m,top),D11(1.25m,right)/Unable to power on:D10(1.25m,back) 
Clue: 
1.The units enters the 9008 mode
2.If memory pressed  by external force, it can be turned on.
3.one unit Press Memory Display error and system hanging with blank display.
4.One unit sometime can't boot up ,no uart log,Qdutt sometime abnormal connection.
Root Cause:1.Memory signal path broken
Exp: Memory Solder Crack from  red dye  test and cross section Result: PCB inner Via Crack and Solder Crack Observed. 11/10
Solution:1.ME Optimize Strain Design
2.Reserve Memory Underfill Capability on Shielding Case.</t>
  </si>
  <si>
    <t>[s3]Issue:Unable to power on after Pulse Transient Surge Test on 150V.
（1）WH144512  DVT EDu14 - Pulse Transient Surge Test fail
2.After 150V surge test, unable to power on,D3(486uA)D4(14.58mA)(Vbat）
3.Initial Leakage Current:D1(240uA)D2(225uA)D3(220uA)D4(227uA)
（2）WH144526 DVT EDu14 - Pulse Transient Surge Test fail
1:Initial leakage current out off spec:D1(230uA).D2(229uA)
2:unable to power on:D1(250V,12.7mA)D2(150V,115mA) Vbat
Clue: Monitor DVT build if any failure rate. Result: DVT build
Root cause: 
    1.Surge cause damage of Charger IC and Fuel Gauge which connect to Vbat
    2.Charger IC and Fuel gauge have lower anti Surge Capability(6V) then QC PMIC.
    Exp1. Change a better surge protector(10.5V-&gt;8V Clamping Voltage) and layout improved for fuel gauge , Result:10/26-- two machines pass EDU14 test
Solution:1.Change a lower Zenar Diode. 10.5V-&gt;8V
                 2.layout improvement for fuel gauge
with Solution 1&amp;2,DVT1 (1st RT/FG+1st SGM/Charger) Vbat EDu14 test pass</t>
  </si>
  <si>
    <t xml:space="preserve">[s3] Issue:DVT1 EDU14 Second Vendor Verification Unit Vbus 1 unit 190V &lt;200V failed
Clue :1 .EVT 2unit ，DVT1 2unit pass 500V
2. The Variant is OVP Second Vendor
Root Cause:1.OVP IC damaged
Solution:remove SGM Second Vendor OVP from Milan 5G . Done from DVT2 BOM
further study for incoming project：  add a 22pf cap on OVP voltage feedback pin  Verified pass 2 units .but no place to add the cap in Milan 5G.
</t>
  </si>
  <si>
    <t xml:space="preserve">  [s3] Issue:DVT1 2nd charging IC Ti BQ25890H , input current can not reach 3A.  （setting to 3A，test result is about 2.7A ）
Clue :1 .Log check :IINDPM occurred . (suspect some Ilimit occurred . but why it  occurred ?)
           2.setting to 3.25A（MAX setting）  , test result =2.8A .  setting to 2A， test result =2.2A 
           3.setting higher  Vbus ,Ibus no change . 
        4.setting higher Ibat MAX to 4A from 3A , Ibus no change
5. Ti  reply it is   average  current limit .
Root Cause:1.Proposal:Ibus limit accuracy problem 
Solution:  Keep current setting ，and use higher Voltage for enough input power</t>
  </si>
  <si>
    <t xml:space="preserve">[s3] Issue:DVT1  2nd barometer TDK 20100  pressure deviates from 10K Pa relative to 1st BMP580/Bosch
Root Cause:1.Configuration Issue
Exp:1.mode config check. Result:Issue Solved.
Solution:1.SW bug fix
</t>
  </si>
  <si>
    <t>[s3] Issue:DVT1 2nd charging IC Ti BQ25890H , QC 3 can not work sometimes
Clue :1 .D+&amp;D- can not out put 3.3V (similar to the EVT phone that without Dsel 47nf cap)
2. Ic charging type detection it too slow. (similar to the EVT phone that without Dsel 47nf cap)
3. V  D+&amp; D- At Charger IC is 3.3V .  and 0.983V at USB connect side. --suspect CPU pull down the USB BUS
Root Cause:1.Proposal: Dsel Cap is too faraway from pin and wire width is only 0.05mm.
Exp1: EVT1 phone rework 1 unit 47nf cap and clue1 &amp;2,result is ok
exp2:DVT1 phone ,reowork 1 more wire from 47nf cap and pin. result :ｆａｉｌ
exp3 : DVT1 phone , rework 47nf cap closer to pin . result :ｆａｉｌ
        2.SW logic control for CPU High Z have some bug（BC1.2 interrupt do not  set CPU High Z）
Solution:        1. BC1.2 interrupt change to set CPU High Z  ---SW change import from 11/12 .temp  sw test ok
 2.change Dsel 47nf cap closer to IC pin  and add wire width in DVT2  for better cap performance. done---wenting</t>
  </si>
  <si>
    <t xml:space="preserve">[s3] Issue:Charging I2C bus error sometimes(Feature firstly ready on 10/22)
Clue: 1.Reproduce 1 time when use 2A OTG , recovered after power cycle （press powerkey for 10S）。When Issue happen no charging status change can happen again：such as USB cannot work，charge Icon not change
2.There are some charger IC I2C reading error before I2C bus error in Log --suspect charger IC I2C reading have some problem.
3.this unit use SGM41542 charger IC.  I2C error is I2C error -110 when I2C Bus can not work.
4.Rry to reproduce. Pressure Test. Result: 1 units reproduced.
5.There are some interference on  I2C when OTG 2A working.  
6.Not reproduced on formal Maximum Current Charging Scenario ,Test by BB and Test Team. 
Root Cause:Proposal: 
1.SDA Signal of I2C interfered.
Exp:Add 33pf on I2C  SCL&amp;SDA (close to AP) .result : 1 unit can not reproduce in OTG mode. (remove 33pf and it reproduce again )
2.AGND and DGND not separated in Charge IC Design and Noise coupled to SDA.
Solution:
1.Add 47pf +47R on  SDA(Close to AP),reserved 47pf +47R on  SCL(Close to AP) . reserverd 20R on BTST at charging IC . DVT2 Import. </t>
  </si>
  <si>
    <t>[NA] Risk：  CC SGM7220 current leackage is about 70uA when phone power off . （found by ODM project）
Root Cause: VDD is VPH_PWR  ，and /EN design to GND . which means the SGM7220 is always on . 
 solution : proposal 1:no change and accept 70uA current leackage 
                    proposal 2:change EN to a GPIO 58  (reserved Pull down 0R )  ，from EVT2  
 EVT V04机器低电流是194mA，比V03降低42mA 。 close</t>
  </si>
  <si>
    <t>[s3] RISK:Charging  IC EN GPIO control ，can it work when  Battery is very low (System not turn on)
Solution:test and check can charge dead battery . so no risk</t>
  </si>
  <si>
    <t>[s3]EVT Handset TDD  -60dB
clue: Block the MIC hole，noise disappear
Rootcause:  
1.Spring on Sub board ?
Exp:Check Spring.
2.other noise auido come into mic.
EXT: Remover C304,improve to -80dB
Rootcause:The 100pf CAP vibrate on GSM max power , the special position Intensifying problem.</t>
  </si>
  <si>
    <t xml:space="preserve">[s3]Issue:WH144494 Rear flash light lens fusion:A1~A6,B1~B6(2)-TH/TC
Root Cause:1.Flash on time set to S level,too long.
Exp:1.Re-Config to the right parameter. Result:
Solution：1.Fix config bug.
</t>
  </si>
  <si>
    <t xml:space="preserve">[NA] Risk： USB disconnect in GSM900 MAX power with long USB cable for Audio tuniing ，report by Xiaozh1
Root Cause:    long USB cable easier to be coupled by RF energy.
 solution :     monitor ,EVT build no issue found . and this is not a user case                
 </t>
  </si>
  <si>
    <t xml:space="preserve">[NA] Risk：Charging  IC   NTC design risk    ，Vendor  review
Root Cause:   Need  to check with Vendor again and get a design for DVT1 build (pull up and pull down R ,and NTC  selection )
 solution :       1. Change to fix temp design for charging IC。 
                         2. and SW config the thermal protection base on Fuelgauge NTC data            
 </t>
  </si>
  <si>
    <t xml:space="preserve">[S3]  Issue ：SOL LED light guide  performance not good
Root Cause:   need to check the phone with ME
 solution : ME own          
 </t>
  </si>
  <si>
    <t xml:space="preserve">[NA] Issue:   1 EVB2  board  RT9246 fuelgauge  Device ID read error
 </t>
  </si>
  <si>
    <t xml:space="preserve">[S3] Issue: RT1715  PD  fail sometimes . found by SW Chailu
Clue1: 1.I2C go keep low most of the time . 2. power on with charge plug in and it can work 3.Resester reseted found by vendor.
Root Cause:  I2C SCL  keep low cause RT1715 reset . (reset function is open with vendor SW code ）. SW find the rootcause and solve the issue
Solution: 
Proposal  1.  disable RT1715 reset buy I2C timeout function .  （temp SW checked ok with 2pcs PCBA）
  Solution2.  make I2C keep high when no I2C communication .    change import  </t>
  </si>
  <si>
    <t>[S3] Issue: 2nd charging IC  RT9467 bringup found ,the phone power up when no USB plug in sometimes . 
Clue1: 1.log show power on reason is charger power on
     2.  RT9467 REGN = Vbat some time (without USB plug in)
     3.checked ，REGN will on 500mS when plug in Battery  or  each I2C reading.  
Root Cause:1 REGN = Vbat some time (without USB plug in)  ，which will cause main PMIC power on then cause phone on 
Solution:
Proposal  1.  For EVT  temp solution ，Delay 550mS before kernel shutdown ？----SW：Weiwei，huosheng
            Proposal 2.   For DVT1 ，change to Vbus for the mos control ？---BB：Xuemin
                Exp2： use VBUS replace REGN to pull down CBL_PWR_N,VGS=1.5V can drive the MOS to pull low CBL_PWR,R1:R2=7:3 ，When VBUS=13.2V,VGS=3.96V;when VBUS=5V,VGS=1.5V
Close: remove Rt9467 From Milan 5G  base on GCM feedback (replace it with BQ25890H from EVT)</t>
  </si>
  <si>
    <t>[S3] Issue:    Keys can not work  in Fastboot mode 
Clue1: 1.it is ok in normal mode. 2. it is first time connect V+ to PMR735A  .    3. Corfu 5G DVT1 meet same issue
Root Cause:1. suspect pull 1K to 1.8v for PMR735A GPIO is too large .  
Exp1.  change pull up R form 1K to 10K and it works . (only SM4350 use 1K pull up ,other projects use 10K )
Solution:1.  change pull up R form 1K to 10K（R1018）  ，done from EVT</t>
  </si>
  <si>
    <t>IKSWR-143124
SM8350// Yukon // R //Phone is OFF. Connect the usb cable, the phone keeps turning off
关机界面的瞬间，插入USB，关机后不会自动进入关机充电界面
1.not  a real issue</t>
  </si>
  <si>
    <r>
      <rPr>
        <rFont val="Georgia"/>
        <color rgb="FF1155CC"/>
        <sz val="11.0"/>
        <u/>
      </rPr>
      <t xml:space="preserve">
[NA]   Yukon  DF  DP issue   IKSWR-137479
</t>
    </r>
    <r>
      <rPr>
        <rFont val="Georgia"/>
        <color rgb="FF000000"/>
        <sz val="11.0"/>
        <u/>
      </rPr>
      <t>cable issue 
change a cable and ok</t>
    </r>
  </si>
  <si>
    <t xml:space="preserve">电量计：充电到68% ，关机后，一段时间开机变成56%.  IKSWR-139932
高通 case：Case Number        05446277 [View Hierarchy]
Action：外加检测电阻用电源侦测一下，看实际电量和UI 偏差到底多少。 10/13 前
Root cause：SW config issue。
Solution： change SW </t>
  </si>
  <si>
    <t xml:space="preserve">
[S3] WH144198 D3 ESD capsensor ，After -8kv air discharge,capsensor ch4 no function and recovered after reboot, 15kV ok.  
Root Cause:1.  monitor
Solution:  Pilot ok</t>
  </si>
  <si>
    <r>
      <rPr/>
      <t xml:space="preserve">【故障来源】PVT MXc03跌落试验。
【复现现象】敲击主板的时候图像卡住，重开相机可恢复。测量连接器各个引脚阻抗、连接正常。
【历史线索】产线也有发现几台主摄异常，有发现U1000 和J3150-15印刷少锡。
【推测原因】U1000 MIPI引脚缺锡断裂，震动时断路，MIPI信号终止，CQA图像卡住。
【Next Plan】
1. X-ray查看锡量。=====&gt; 无异常
2. 安排切片查看U1000和J3150引脚是否锡球断裂。===&gt; </t>
    </r>
    <r>
      <rPr>
        <color rgb="FFFF0000"/>
      </rPr>
      <t>发现J3150连接器底部出现开路情况（报告待更新）</t>
    </r>
  </si>
  <si>
    <t xml:space="preserve">Issue Description:
     PVT ROW 8+256 bom wrong
Root Cause analysis:
PCM CR @ DVT2 after DVT2 BOM released,Manual Changed variant BOM at DVT2，but Lost update ROW 8+256 BOM when PVT BOM released.
Solution:
 Add 8+256 memory configuration variant to schematic files
 Update the BOM
Corrective / Preventive Actions
 Check released BOM list  base on SKU information table （including  Memory config ，HWID config ，SKU config）
</t>
  </si>
  <si>
    <t xml:space="preserve">
[S2] uplink has noise when handset calling
clue: 1. When charging ,noise dispappear
          2. When close calling arithmetic, noise disappear
          3.  On idle calling mode,no noise
          4.  On record mode,no noise
          5. Volte MODE no noise
          6.  GSM mode (low power transmit) has noise
          7. No noise  on handfree mode and no noise  when change mic1 to handfree mode
         8.  No noise before moden node.
          Next step: 1..Ask qualcomm for help 2.Moden team analyze
</t>
  </si>
  <si>
    <r>
      <rPr>
        <rFont val="Georgia"/>
        <color rgb="FF1155CC"/>
        <sz val="11.0"/>
        <u/>
      </rPr>
      <t xml:space="preserve">
[NA]   Yukon  DF  Device Rebooted - Stuck in Boot Screen   IKSWR-139460
</t>
    </r>
    <r>
      <rPr>
        <rFont val="Georgia"/>
        <color rgb="FF000000"/>
        <sz val="11.0"/>
        <u/>
      </rPr>
      <t xml:space="preserve">Clue ：1.L5E  LDO error in Ramdump log.
</t>
    </r>
    <r>
      <rPr>
        <rFont val="Georgia"/>
        <color rgb="FF1155CC"/>
        <sz val="11.0"/>
        <u/>
      </rPr>
      <t>QC CR：https://qualcomm-cdmatech-support.my.salesforce.com/5004V0000181Vef
2. L5E is RF  Power for SDR
RF Tracking this case</t>
    </r>
  </si>
  <si>
    <t>[NA]  found 1 WH143148  D1（NYKR270825） After-8KV air discharge at zone3,Display Flickering and Display color change ,30 minute recovery.(11:06 2021/8/26)
clue: 1. 
Root Cause:1. suspect display module damage
Solution:1.PVT ok</t>
  </si>
  <si>
    <t xml:space="preserve">
[S3]  TUV  certification ：battery output current =5.8A &gt;4.85A of CB in battery spec.   testmode : pull current from type-C 
Root Cause:1.   PM8350BH OTG  dont have OCP .  
Solution: add a detection on Ibat to monitor Battery current . when it output &gt;4.85A ,disable OTG .    temp SW test ok by BB .  TUV retest  4.69A ,&lt;4.85A  pass</t>
  </si>
  <si>
    <r>
      <rPr>
        <rFont val="Georgia"/>
        <color rgb="FF000000"/>
        <sz val="11.0"/>
      </rPr>
      <t>[S3]Yukon intermittently notice Pluging/out after charger connected.
Root Cause:
1.Charger Reset Frequent</t>
    </r>
    <r>
      <rPr>
        <rFont val="Georgia"/>
        <color rgb="FF000000"/>
        <sz val="11.0"/>
      </rPr>
      <t xml:space="preserve">ly
</t>
    </r>
    <r>
      <rPr>
        <rFont val="Georgia"/>
        <color rgb="FF1155CC"/>
        <sz val="11.0"/>
        <u/>
      </rPr>
      <t>2.CC</t>
    </r>
    <r>
      <rPr>
        <rFont val="Georgia"/>
        <color rgb="FF000000"/>
        <sz val="11.0"/>
      </rPr>
      <t xml:space="preserve"> GND Voltage &gt;0.43V 
3.Cable GND Mesh Broken ,165mΩ(Spec 83mΩ）
4.2018 Cable
Solution:1.Cable Team Own</t>
    </r>
  </si>
  <si>
    <t>[S3] Issue: 2nd micron memory stress test ，3/20@55°C ， 7/20@-20°C auto power cycle.
Reproducing:Retest No Issue@55°C，  ，5/20@-20°C 
Clue1: 1.RPM_ERR and AOP Log show some LDOor SMPS fail.-Need RPM expert Double Check and confirm it.
Root Cause:1.Memory Power Issue?
Exp1.Monitor Memory Power @-20°C. Result:9/17
Exp2.Log Analysis. Result:SPMI Communication Time Out. 
Exp3.Enhence SPMI Driver Strength. Result: 9/17---with SW RRX31.Q3-50,memory stress test run 24hrs,no auto power cycle happen
Solution:
1.  Enhence SPMI Driver Strength，Validated Pass，SW updated</t>
  </si>
  <si>
    <t xml:space="preserve">
[S3] WH143213 C1 ESD capsensor ，After -15kv air discharge,capsensor ch2 no function without recovery. 
Root Cause:1.  C204 on CH2 short to GND， change C204 CH2 recovery  2.found crack on C204  
Solution:  Factory check build process
PVT  No issue found  in build and TCC test. </t>
  </si>
  <si>
    <t>Analysis  link</t>
  </si>
  <si>
    <t xml:space="preserve">[NA]   EUT found 1 charger+cable cannot charge 
clue：1. it is 45W DVT1 charger sample + cable（without any mark on calbe）  
           2.swap EXP check :issue follow Cable
          3. issue happen when Iubs &gt;3A 
Rootcause：the cable R of GND is too high causing PD  process abnormal(160mR VS  83mR MAX in SPEC  ）. 
solution：No real  issue </t>
  </si>
  <si>
    <t>[NA]  found 1  DVT2 unit go dead when sleep ， sometimes 1 day,Need press powerkey more than 10s to recovery.
clue: 1. reflash some SW version but all reproduced .   2.  128GB Kioxia UFS
exp：The fail is very similar to the Kioxia UFS issue . We update the SW to latest one RRX31.Q3-44 which checked solve the Kioxia UFS issue . monitor the result  From 9/10 to 9/15 ，no  reproduce
Root Cause:1. memory  ufs issue
Solution:1. chenge SW</t>
  </si>
  <si>
    <t>IKSWR-130146</t>
  </si>
  <si>
    <t xml:space="preserve">
[S2] DVT2 WH143213 ALT A1这台有出现跌落后P/L sensor no function，重启后P-sensor 恢复，但是L-sensor问题还是存在，Loop5（NYKC2F0130）
Clue：Issue：ALS can not go DARK status （maybe light leakage）
Root Cause:1.   CG  tilted(CG翘起) increased ALS reading
Solution:ME follow
</t>
  </si>
  <si>
    <t xml:space="preserve">[S3] DVT1  Mdu30 Failed on Charging Scenario(7.1°C@back,4.0°C@Front).
Root Cause:1.SW Bug and Thermal config fine tune.
Solution:1.SW Bug Fix and import New Charging Thermal Config.  RD Validated pass.
</t>
  </si>
  <si>
    <t>[S3] Issue: cap sensor can not work on CH0&amp;CH4  after ESD ， recover after charger Plugin.
Clue1: D1、D2、D4 failed without chargers，D3 pass with a charger
Clue2：recover after charging
Root Cause:1. CapSensor Affected by ESD Through ANT.
Exp1.   take another phone ，recover after quiting CQA texting
Exp2.  catch log after cap sensor ch0、ch4 no function
Exp3:Confirm the detailed recover duration
Solution:1.  Accept</t>
  </si>
  <si>
    <t>[S3] Issue: DP Eye Diagram 4 lane fail on 8.1Gbps
Clue1:Eye Height not enough
Clue2:Layout Improved.
Root Cause:1.Voltage level not enough or Pre-emphasis 
Exp1. Fine Tune voltage and Pre-Emphasis Parameter,Result: 8.1G mostly Pass while 1 lane failed a little.
2.Proposal:Parasitic capacitance effect
Exp2.Optimized lane and Grounding separation . Result: DVT2 verify.
Solution:1.Update Redriver Parameter. Validated Mostly pass
2.Optimize FPC and PCB layout .  DVT2 import and verify.</t>
  </si>
  <si>
    <t>[s3]  Power off current =350uA  Vs normal project 200-uA
Clue:1 NFC  boost is on when phone power off
2. Lenovo MP project  DOOM   =320uA ，Qualcomm phone  QRD= 340uA 
  Root cause:  1.NFC  boost alwayse on  . 59uA ,should be off when phone  power off 
                    2. SM8350 power off current is higher than other platform                   
solution :  1.NFC  boost EN change to pull down from EVT-B （V03）
                   2. Yukon Power off current target should be 300~350uA ，monitor in DVT1 factory BT test 
                  3. Base on the DVT1 test data，output shipping keep time limit for Yukon project to PQM.
DVT1 testdata：300~350 uA. sync result to PQM yet</t>
  </si>
  <si>
    <t xml:space="preserve">[S3]Issue:Camera Team feedback DVT1 unit,  RC adjust Value Avg=13, Over Spec 10 .
Issue Check: After Test with more Units , We found Yunkon has Same Performance with Sierra .
Furtherly seek if any chance to improve R/C adjust performance.
Root Cause:
1.Speculation: AVDD Ripple , Result: Not AVDD Ripple.
Exp:AVDD Measurement . Result: &lt;19mV ,Best Class. 
2.Speculation:EMI ,Result:No effect
Exp:Shielding Whole Camera with System Ground , Result:No effect.
Exp:Dismantling PCBA and Change Cam Grounding , Result:Worse 6%.
Exp:Replace 100pF Cap with 2.2UF after Dismantling. Result:Better but little optimized than Original.
Exp:Supply Cam DVDD externally. Result: No effect.
3.Speculation:Camera Thermal Noise?  Result:Suspend duo to no available exp.
Exp:Cooling help to reduce background noise , and R/C increasing 
4.Speculation:Camera Module?
Exp4.1:Switch Camera.Result:Suspend duo to no available exp
Exp4.2:Replacing AVDD&amp;DVDD ,Result:No Effect.
5.Camera Sensor
Exp:Exp4.2:Replacing AVDD&amp;DVDD ,Result:No Effect.
Exp:Optimize Sensor PSRR through Parameter  Setting from samsung. Result:Better.
Solution:1.Replace 100pF Cap with 2.2UF, DVT2 BOM import.
2.Optimize Sensor PSRR through Parameter Setting from samsung.
</t>
  </si>
  <si>
    <t>[S3] Issue:  camera LED  torch  brightness differ with EVT
Root Cause:1. EVT pcb LED CH1 leakage to CH4, CH2 leakage to CH3
2.Async on Capture and light.
Exp:1. camera tunning issue,Align Capture and light Timing  and adjust light width, Result: 8/3
Solution: 1.SW update</t>
  </si>
  <si>
    <t>[NA] Issue:  ADR test can not read IT3 SIM (一种模拟SIM卡for test )
Root Cause:1.     Data line without pull up   
Solution: 1.ADDpull up  15K，retest pass . Import form DVT2
             2. rework 2 more unit for ADR test</t>
  </si>
  <si>
    <t>[S3] Issue: RS Pretestfail  ，uplink Over 13DB 
clue1: test 4 headsets with same result
Root Cause:1.Audio Switch Modulation
Exp1.ADD 1nf cap on headset MIC channel ，after Audio switch （C1817 ）  Result: 4dB improvement,Still failed 8dB
Exp2: Modify Cap 2.2 nf  ,Result: pass(over 15DB   margin）on 1 unit  
Exp3: without Back Cover and Graphite Film ,Result: fail 5DB on 1 unit. 
Exp4: Modify Cap with bigger value and with Cover and Graphite Film,retest 2 units. Pass
Solution: 1.Modify Capacitor Value on Aux Channel. Validated Pass.</t>
  </si>
  <si>
    <t>[S2] Issue:Obvious line noise on 108M image preview in darkness.
Root Cause:1.AVDD power  noise
Solution: 
1.Optimize AVDD Power feedback routing,DVT1 Improved
2.Optimize AVDD Grounding on DVT2</t>
  </si>
  <si>
    <r>
      <rPr>
        <rFont val="Georgia"/>
        <color rgb="FF000000"/>
        <sz val="11.0"/>
      </rPr>
      <t xml:space="preserve">[s3]Issue:Flash Led  can not work    4/300 in EVT.
Root Cause:suspect LED CH 3  control impact LED CH 2 
Exp:   enable LED CH 2&amp;3  at same time  by adb command and it can work .
Exp:     SW version enable LED CH 2&amp;3 both </t>
    </r>
    <r>
      <rPr>
        <rFont val="Georgia"/>
        <color rgb="FFFF0000"/>
        <sz val="11.0"/>
      </rPr>
      <t xml:space="preserve">,but fail </t>
    </r>
    <r>
      <rPr>
        <rFont val="Georgia"/>
        <color rgb="FF000000"/>
        <sz val="11.0"/>
      </rPr>
      <t>. need more check
Solution : 1.Change SCH&amp;PCB  to disconnect LED CH3&amp;4 （LED driver  1CH  can support 1.5A ,we just need 1A each CH ,it is enough .） monitor DVT1
DVT1 no issue so far</t>
    </r>
  </si>
  <si>
    <t>[s3]  Backlight not work sometimes , recover after power cycle .(found by Chenwt)
Clue 1 .Log checked : Backlight Driver IC I2C read fail when initial . but  Other ICs on the same Bus I2C reading are ok.
            Can not reproduce 
    solution :  close ，reopen it if it reproduce</t>
  </si>
  <si>
    <r>
      <rPr>
        <rFont val="Georgia"/>
        <color rgb="FF000000"/>
        <sz val="11.0"/>
      </rPr>
      <t>[s3] rear camera 2 test in CQA  will cause rampdump sometimes
Camera2 Kernel panic</t>
    </r>
    <r>
      <rPr>
        <rFont val="Georgia"/>
        <color rgb="FF000000"/>
        <sz val="11.0"/>
      </rPr>
      <t xml:space="preserve"> </t>
    </r>
    <r>
      <rPr>
        <rFont val="Georgia"/>
        <color rgb="FF1155CC"/>
        <sz val="11.0"/>
        <u/>
      </rPr>
      <t>https://idart.mot.com/browse/IKSWR-100409
 clue：can preview ，and video capture fail</t>
    </r>
    <r>
      <rPr>
        <rFont val="Georgia"/>
        <color rgb="FF000000"/>
        <sz val="11.0"/>
      </rPr>
      <t xml:space="preserve">
Root Cause：Speculation:SW issue
Solution: temp SW continue build 107  checked ok .  close issue .  
</t>
    </r>
  </si>
  <si>
    <t xml:space="preserve">[S3] Obvious Audio noise in receiver when calling enable.  
Clue1:400hz and Harmonic, Not TDD.
Clue2:No noise with Wechat and Earphone
Root Cause:1. Wrong audio path config  and noise import by sidetone
Solution: Modify audio path config ,temp SW check ok.  plan to merged form 7/2 </t>
  </si>
  <si>
    <t>[s3]Dark  display 3 in 24 pcs in EVT build
Clue: 1. display connector damaged . 2. Backlight  IC  burned . 
Root Cause:
1.Display Connector Damaged which lead to IC Burned.
2.Connector is not in the best place 
3.ME need one time to adjustment the accurate position
Solution: 1.Move connector upper 0.66mm, PCB modified in DVT1.
Tracking in DVT1 ，reopen it if  issue reproduce in DVT1 build</t>
  </si>
  <si>
    <t>[s3] SPK sound weak in EVT CQA test ，100% 
Root Cause:
       1.Smart PA out N &amp; sns N swap
Solution:
       1.Fix current 32+3 units through Change R4650，R4651 to 0201  0R, done.
       2.Fix Smart PA Sch in DVT1 Version,Done
Tracking in DVT1 ，reopen it if  issue reproduce in DVT1 build</t>
  </si>
  <si>
    <t xml:space="preserve">[s2] Cap sensor  CH3 no function  in CQA test ，100%
Rootcause： parameter not ready .  
Solution: change parameter,New parameter tested  and CH3 can work.  by 6/22
</t>
  </si>
  <si>
    <t xml:space="preserve">[na]Issue:some user feedback  power drop when Video when battery on 4%.
Root Cause:1.Battery Voltage drop to 3.0V.
Solution:Proposal:1.3.2V Shut down voltage -&gt;3.4V , 50mA 1% power loss. </t>
  </si>
  <si>
    <t>[s3]Issue:  CQA-BATTERY- USB  test result unknown,CR :IKSWR-110537
Clue1: log check 4, BATT_ID_2 = 239720  ， Unknown battery detected, unknown_battery_behavior: 1 
Root Cause:
1.Batt_ID pull down R=243K +/- 1%， but reading 239.9K from SW log. SW check ： 240K ~450K  .Can not cover this case
Impact：phone can not charge and con not power on when Vbat is too low (lower than power on  voltage limit)
Solution:
1. SW Open limitation to 220K ~450K .  Import from 7/19 in to mainline.  change : https://gerrit.mot.com/#/c/2012268/  
coming project : Yukon change Batt_ID  to 100K  which SW check is 15K ~137K .  Milan5G  use 100K too .  
     notice Corfu 5G change to 100K too.</t>
  </si>
  <si>
    <t>[s3]Issue: 
USB Connector Temperature Detection 125°C mistriggered found.
Clue1:No abnormal signal on NTC found.
Root Cause:
1.Speculation:ADC Not stable when sampling.
Solution:
1.Notice triggered only after Sampling 3 times each second and all over 75°C.   SW release new version and verify. on-going</t>
  </si>
  <si>
    <t>[na]Anti -water Icon showed when DP insertion  in Factory ,recovered after unPlug for 1 Min，0.4% FR.
Root Cause:1.LPD Mode Active when only one CC Ra attached in 200ms(Powered Cable without Sink attached).
Solution:
1:SW Workaround to re-verify cc status before Show Anti-Water Icon.-SW ，Validated Pass.</t>
  </si>
  <si>
    <t>[s3]Issue:
DFer Feedback that LPD Triggered when Charged with 120W VIVO Charger.
Clue:VIVO 120W has their own protocol and SBU used. 
Doc link:https://docs.google.com/presentation/d/1n0tqqY8eS7C6cWWbVOopxZkmtI4Qo3L22XRAebT7d2g/edit#slide=id.g4057557fca_0_46
Root Cause:
1.When Charging,CC Detection Triggered and SBU found 45K resistance,which match LPD condition and trigger Notice.
Exp:Log analysis. Result:VBUS Shut Down and CC&amp;SBU triggered.
2. SBU(45K resistance) used in VIVO 120W Charging Cable, When no VBUS input,LPD tirggered.
Exp:Test Samsung S20 ,Same Issue happened.
Solution:
1.Proposal:Accept it.  since this issue also found in industry released products.
2.Proposal:Adding uncompatible attachment found in LPD notice context.</t>
  </si>
  <si>
    <t>[na]Screen Keep Turn on/off  in about 10s when PD Charger Plugged(Display LG 2K Game TV) -Brazil DFer feedback .
Clue1. Reproduced in third party Dongle.
Clue2: No Issue without PD Charger Plugged.
Clue3:No error found in log.
Clue4:Verify about 20 different 4K Display/TV in china，Result:Can't Reproduced
Root Cause:1.Using LG 2K Gaming Display low speed hdmi port. No Issue with high speed HDMI Port.
Solution:1.need user to plug into right hdmi port</t>
  </si>
  <si>
    <t>[s3]Issue:DP not work when Plug Charger with a 9 in 1 hub. -Brazil DFer feedback .
Clue1:No issue with inbox dongle.
Clue2:Buy Same Dongle to reproduce. Result:Tahoe using Parade PS5169 Redriver also have issue.Onsemi No Issue.
Root Cause:
1.PD Charger Insert and raised up to 9V,Hub Reset occured at 8.6V. 
2.PS5169 Redriver shut down data Lane after hardware reset received which lead to DP re-training failed.
3.Speculation: If Plug in PD Charger Firstly and then plug sierra，Hub Keep Reseting duo to 9V3Amode comsume more current and more voltage drop on hub and triger the hub defects,this is reset on 8.6V.
Solution: 1.Hub Issue,Accept it.
2.SW Pick newly PS5169 Fix from QC,Issue fixed in XiaMen Dongle when PD Charger Plug Later.But If Plug in PD Charger Firstly，Hub Keep Reseting,Issue Remained. 
3.Proposal:SW Workaround - Keep PD Charger working in 5V/3A Mode after multiple Hardware reset received and DP on Position. -It Works but needs SW Evaluation.</t>
  </si>
  <si>
    <t>[na]Issue:DP not work when Plug Charger with a 3 in 1 Dongle. -Brazil DFer feedback .
Clue1:No issue with inbox Dongle.
Clue2:Buy Same Dongle to reproduce. 
Clue3:No any error found in log
Clue4:No Issue with 1080p
Root Cause:1.Speculation-Issue in HDMI Part between 3 in 1 Dongle and Display in high speed.
Solution: 1.Change Dongle.</t>
  </si>
  <si>
    <t>issue：display stuck after 15kV air/6kV contact  discharge，recoverde by Slide screen
clue1：remove deco board testing camera module，appear easily
clue2：12kV air not appear when removing the copper foil on the back of the main camera
Root Cause：camera mipi data of module shocked when ESD testing
solution：</t>
  </si>
  <si>
    <t>[s3]Issue: QC3+ can not work with 33W Saierkang Charger ,but ok  with 33W Kangsu Charger
Clue 1. Different Charger Vendor .  
Root Cause:1.  Saierkang   charger  can not output 6V when 2nd QC 3+ process .   The time form 1st QC3 process to 2nd QC3+ process is about 845mS
Solution:1.   change SW，complete QC3+ process at first process，similar to Berlin. solution import from 6/4</t>
  </si>
  <si>
    <t>[s3]Issue:Test Thermal @元神 keep 60FPS，46°C observed.  
info: Mdu30 Pass.
Root Cause:1.High Performance Game Mode.
Solution:1.Optimize Thermal Config to meet thermal target.  on - going.</t>
  </si>
  <si>
    <t>[s3]Issue: 30W charging PD charging current low at last stage
Clue:1. Code change at sm8250 baseline:
296   /* This is for burton ONLY – specific to the battery configuration / 297   / Enable float voltage compensation (0x1071) and set resistance to 30 ohms (0x118B) */ 298   err_flag |= pm_comm_write_byte(0x2, 0x1071, 0x60); 299   err_flag |= pm_comm_write_byte(0x2, 0x118B, 0x0F);
Root Cause:  AFVC cause this case
Solution:1.SW Config, RD Validated Pass.</t>
  </si>
  <si>
    <t xml:space="preserve">https://idart.mot.com/browse/IKSWR-101718
</t>
  </si>
  <si>
    <t>[s3]Issue: 30W charging UI100% point test result is 2A  VS 0.82A  in SW setting.  CR：IKSWR-94815
Clue:1.  USB charing  result  100% in UI  VS  90% in Coulomb Counting .
          2. charging current jump up for a few minutes when BQ 30W charging switch to PMIC charging  
Root Cause:
1. SW Not Config Correctly
Solution:1.SW Config, RD Validated Pass.</t>
  </si>
  <si>
    <t xml:space="preserve">[na]Risk:33W Charging full power rate  Verification
Exp:SW build a Open limitation of 33W and verify. Result: 6/2
BB test done. No issue related power found. </t>
  </si>
  <si>
    <t>Test summary link</t>
  </si>
  <si>
    <t>[s3]Issue:DVT2 Mxc04 ,Can't Charging and Can't Recognize PC.
Clue:Tester Enable USB Function though USB Port Damaged Informed.
Root Cause:1.Observed ForeignMatter over most of USB Socket Pin Pad.- ME Analysis
Solution:1.</t>
  </si>
  <si>
    <t>[s2]Issue:Mxc04 USB Corrosion 1/4 in EVT.
Root Cause:Salt Water in USB Port and VBUS/CC/D+/D- Active in Plugin which lead to Electrolysis effect
Solution:1.Import Salt Water ingression detection ,DVT import and Validated 12 units Pass.
2.Proposal:Refer Samsung S20/S21 's mechanism,Enable 2 Level LPD Notice:Vibrating and notice on charger plugin when in LPD Mode.</t>
  </si>
  <si>
    <t xml:space="preserve">[s3]Issue:  Sierra Current abnormal （+100mA）when plugin A to C cable without PC or charger connected 
Clue1： There is 56K Pull up Resistor from CC to VBUS in A to C Cable
Clue2： No issue with C-C cable which used as standard configuration in 30W PD Charger. 
Root Cause:
1.constant typec-or-rid-detect-change interrupt lead to extra current drain.
        Exp1:Log observation ,result:too many  typec-or-rid-detect-change interrupt cause current abnormal
2.1 speculation:cc pin pull 56k to ground lead to interrupt ? ，Conclusion:Not Relative
        Exp2:pull 56k down to gnd, result:reproduce  interrupt
2.2 speculation:Added Audio Analog Switch trigger? ,Conclusion:No Relative.
        Exp:Connect CC Pin to Vbus with 56K in mainboard and remove sub board(Include Analog Switch with CC1 parallel).  Result:typec-or-rid-detect-change keep triggered ,Issue Reproduced. 
2.3  CC Pin interrupt lead to extra current drain
        Exp:CC Trigger Source Validation. Result:Pull down resistor below 444K will trigger.
        Info:125K Resistor
3. water ingression detection lead to CC Pin abnormal Interrupt
        Exp1:water ingression detection keep triggered when insert A-C Cable but failed to confirm water ingression.
        Exp2:Flash EVT SW, Result:No Issue(No Water Ingression Detection in EVT)
Solution:Proposal:1.Disable Temporarily to help Auto Current Test. 5/18  （Kiev project have same problem ，and Disable LPD with adb command before  Auto Current Test ）
                                  2.set long time for recheck to lower down current. (2 mins pers detect and avarage current up 1mA   VS    100mA in issue）. </t>
  </si>
  <si>
    <t>[S3]
Issue:WH137571, unit A1 Cap sensor no function after loop 5
Clue:1. CH1 no function          
Root Cause:1. M101 Spring collapse
Solution:1.ME Improve</t>
  </si>
  <si>
    <t>[S3]
Issue:WH137608,unit B2(1) cannot enter front camera mode and unable to read SIM Card
Clue:1. issue happened before loop1 drop test.
Root Cause:
1.SIM Card connector PIN cold solder joint
2.camera BTB connector damaged by assembly
Solution:1.Factory Improve Process.</t>
  </si>
  <si>
    <t xml:space="preserve">Issue:WH137571, DVT1 ALT loop4 one unit auto power off after drop test
Clue:1. drop test in 4 areas（bottom,left,right,bottom right corner）,unit was blank screen,can power on normally without ramdump
Root Cause:
1.Battery connector assembly issue.Retest pass after fit connector again.
Solution:
Assembly improve-owner:ME
</t>
  </si>
  <si>
    <t xml:space="preserve">[S3]Issue:DVT1A Instant 60mA Current Found.
Clue:1.EVT found abnormal current in sleep mode, solved through QCN update. 2 units verified.
Root Cause:
1.L5A@S6A used for PCIE/UFS/USB/SDC PHY Consume 200mA Current which lead to extra 60mA@3.8V 
2.SPU Consume additional 200mA@0.85V
3. L5A affected by magnetic interference of S7A when CPU Big Core and PCIE works in the same time
Solution:Optimize L5A Layout,using Star type Routing for VDD_SP_Sensor. RD Validated 3 pcs ,Pass.Import in DVT2B
</t>
  </si>
  <si>
    <t>[s3]Issue: RS  pretest fail. noise value over 15DB
Root Cause:New .Analog Switch FSA4480UCX need new parameter
Solution:1. SUB1,SUB2 add 100PF /REF,R,L change to 0R / REF,AUDIO_GND add 1NF, Validated Pass.
DVT2 Import.</t>
  </si>
  <si>
    <t>[s3]Issue: -90dB Noise found when in talking/recording mode on Earphone when display off.
Root Cause:1.Analog Switch FSA4480UCX 's Power supply Vbob lower down frequency from 40Kto 2K  in PFM mode when display off which lead to  noise in earphone.
Solution:1.Add RC filter(10K+1uF) in Vbob,Noise downgrade to -110dB.RD Validated.DVT2 Import.</t>
  </si>
  <si>
    <t>[s3]Issue:charging curve not correct ,need check why it jump to 500+mA from 1.8A .  
        Analysis: Log share to SW ,  SW analysis ongoing
Root cause:SW related . Need solve the bug</t>
  </si>
  <si>
    <t>[s3]Issue:When charging ，Battery NTC data is higher than Battery ，Over 46 degree  ，impact charging performance
Clue：2-3°C Gap.  (Ref RIO-H 30W Charging Design)
Root Cause:wired  NTC additionally heated by Battery Protection Board and Mainboard 
Solution：Action ：1 checking the battery test data with full speed charging rate.(including Voltage,current,capacity, NTC reading and surface thermal data .)
                    2.checking if we can have better thermal solution for battery?
Not block PCB gerber out.</t>
  </si>
  <si>
    <t xml:space="preserve">Issue:SM8250 can not support QC3+（33W charger running change）with  3rd part chaging IC
Root Cause:1.Qualcomm announced no support plan on SM8250 duo to software development complexity and high couple with SMB.
Solution:
1.SW Develop 33W QC3+ </t>
  </si>
  <si>
    <t>Issue:Blank Display when ESD strike on Display,1 of 6,Recovered after power cycle.
clue:can't reproduce on failed one.
Root Cause:1.Display Issue,Inform risk to Display Team.</t>
  </si>
  <si>
    <t xml:space="preserve">CR： SIM 2 can not work
Rootcause：connector design issue : UIM2 power and GND  not connect 
solution：1. rework UIM2 power and check SIM2 function ok
                   2.change EVT Main board and main FPC </t>
  </si>
  <si>
    <t xml:space="preserve">CR： VIB，SPK，DP，Capsensor...can not work ， 
Clue：1. share 1 I2C 2.remove Capsensor and ok 
Rootcause： Cap sensor not power on before  I2C Bus work may cause I2C  issue.
solution：1.  change cap sensor power L8C to always on ，need to check SW ok or not  1/27  shengnan
                   2. EVT  change to Singal I2C for capsensor  for better </t>
  </si>
  <si>
    <t>CR： Camera No power
Rootcause：I2C error (SDA &amp;SCL swap)
solution：1. rework LDOs IC  I2C  -Done
                   2.change EVT PCB --SCH  -Done</t>
  </si>
  <si>
    <t>CR： USB  can not work
Clue：Main board ok，sub board issue。
Rootcause：OVP GND not connect
solution：1. rework  the Vbus（short output and input of OVP） 
                   2.change EVT PCB --SCH change done</t>
  </si>
  <si>
    <t>[na]Issue:Audio Aux Detection Issue
Root Cause: When insert the  AUX cable, trigger  PHP surge protect,  and the PHP Impedance test error.  The AUX is
dectcted as headset.
Solution:  workaround :When the impedance is dected as 0 ,Change the headset mode to AUX mode.</t>
  </si>
  <si>
    <r>
      <rPr>
        <rFont val="Georgia"/>
      </rPr>
      <t>[na]</t>
    </r>
    <r>
      <rPr>
        <rFont val="Georgia"/>
        <b/>
      </rPr>
      <t>Issue:</t>
    </r>
    <r>
      <rPr>
        <rFont val="Georgia"/>
      </rPr>
      <t xml:space="preserve">DVT2 units Barometer Test Failed in TMO,Avg Data@4 Group @24units Exceed +/-36Pa.
</t>
    </r>
    <r>
      <rPr>
        <rFont val="Georgia"/>
        <b/>
      </rPr>
      <t>Root Cause:</t>
    </r>
    <r>
      <rPr>
        <rFont val="Georgia"/>
      </rPr>
      <t xml:space="preserve">
1.Precision of Reference Calibrator BMP388(calibrated by Drunk8100)  over Spec.
2.SMT  Thermal Strain Not Released  when Calibrated which lead to over calibration.TDK 2.6Pa/Day.ST Pass@5D Standing after SMT
</t>
    </r>
    <r>
      <rPr>
        <rFont val="Georgia"/>
        <b/>
      </rPr>
      <t>Solution:</t>
    </r>
    <r>
      <rPr>
        <rFont val="Georgia"/>
      </rPr>
      <t xml:space="preserve">
1.Recalibrate PVT Units for TMO in Chicago Mart. 
2.Recalibrate BMP388 with Drunk1000 that calibrated with Pace5000.Done.
3.Sending long Standing Time units,re-calibrate for LE.
4.Hold Standing Time for at least 5 Days from SMT to Calibration for TDK and ST. Go OK2Pilot.
5.Proposal:Furtherly low down Standing Time Solution from Vendor. 5D OK ,Try 3D .
6.Proposal:Import dynamic calibration for </t>
    </r>
    <r>
      <rPr>
        <rFont val="Georgia"/>
        <color rgb="FF1155CC"/>
        <u/>
      </rPr>
      <t>barometer.TM</t>
    </r>
    <r>
      <rPr>
        <rFont val="Georgia"/>
      </rPr>
      <t xml:space="preserve">O Agree Using Google </t>
    </r>
  </si>
  <si>
    <t>怀玉</t>
  </si>
  <si>
    <t>5.3 ME DVT</t>
  </si>
  <si>
    <t>[S3]DVT2 2nd source ATT drop, TP no function/cannot enter camera(FR 2/15)
Root Cause:
1.TP Signal and SAR_Int Signal Open near Screw post and and under shielding case corner duo to High PCB Strain
Exp:1.1.Reduce SolderPaste on Corner of Shielding Case,PVT Verify
Exp:1.2. Add More Foam on Shielding Case to reduce PCB Strain. PVT Verify
Solution:1.Reduce SolderPaste on Corner of Shielding Case,PVT Verify</t>
  </si>
  <si>
    <t>[S3]Issue1:DVT2 ATT 12 RASS-Tumble   WH135516  48M failed (FR 1/15).
DVT2 2nd source TMO drop, cannot enter camera(FR7/10)
Root Cause:
1.Camera RST Open under Shielding case corner duo to High PCB Strain.
Exp:1.1.Reduce SolderPaste on Corner of Shielding Case
Solution:1.Reduce SolderPaste on Corner of Shielding Case,PVT Verify</t>
  </si>
  <si>
    <t>[S3]Issue1:
Denver DVT1B WH135380 ALT ,P/L sensor no function：B5(4) 1 of 11.
Clue:reworked units 6pcs 2nd display+5pcs 1st display 
Clue2:Can  not reproduce
Root-Cause:Monitor</t>
  </si>
  <si>
    <t>[S2]Issue1:
DVT1 ALT ESD ，C2 After +15kv air discharge at zone 9(aging 10), headset MIC no function without recovery.(12/23/2020 18:30)
Clue：1.EDU03  6units  pass 
   2. have add TVS and layout is ok.
Root Cause: wating for the unit back to XM for analysis，maybe ETA XM by 12/30
Solution:1.No reproduce when get the fail unit。 keep monitor</t>
  </si>
  <si>
    <t xml:space="preserve">[s3]Issue:
1.Mic2 Drop during TMO&amp;ATT ,⅕ Loop2 ; ⅕ Loop3
2Mic1 Drop During ALT ,1/12,Loop5
Root Cause:
        1.unti-pcb strain lower than pcb strain
              Exp:increasing space between Mic2 and PCB by more solder Paste workable?
          2.lower down pcb strain through more support on pcb near mic2
Solution:
        1. to add space between mic &amp; PCB through +15% Solder Paste Mask Area from 0.37*0.65*2  to 0.75*0.65 (mm) on both Mics. DVT1 Verify.
        2.Add more support on PCB near mic2.
 DVT1  No issue so far
</t>
  </si>
  <si>
    <t>[na]Denver WH134702 Tumbling on Second Vendor(including PCB Vendor Found)
Issue 1: 1:7 of 9 Capsensor no function :D1/D3/D8(100),D4(450),D5(300),D7(500)D9(300)    
Issue 2:4/9 P/L sensor no function :D1(500),D3(450),D4(400),
Issue 3:1/9 Boot Failure.
Clue 1:P/L sensor no function：D4 ，I2C wire open ，
2.No Camera Foam Attached and BTB Connector Deattached
Root Cause:1.No Camera Foam Attached in Assembly lead to Mainboard Deformed and extreme high PCB Strain occurred. 
Solution:1.Invalid test,Assembly Correctly and Retest.</t>
  </si>
  <si>
    <t>[S3]Issue1:
Denver found Auto Power Off/System Hang Issue on EVT/DVT1 on 10% Reproduce Rate each day.
Root Cause:
1.PBS_WD_TO/GP_FAULT2 duo to SPMI Hung which lead to Power Off/System Hung
2.SPMI Hung duo to CPU/RPM Hung 
3.CPU/RPM Hung duo to Dip found in S5A which in PFM mode in deep sleep  and happened when AP need more power when wake up.
4.S5A Couple with other buck through Grounding under PMIC.   
   Exp4.1:Improving S5 Buck Response Time. Result:100mV improved. 
   Exp4.2:Improving Grounding Path Isolation of S5A . Result:50mV improved.
   Exp4.1+4.2,No Dip found.
Solution:
1.Work Around:Increase S5A by 150mV . 1/4 validated pass.
2.S5A Layout Improvement+Improving S5 Buck Response Time. Validated Pass.</t>
  </si>
  <si>
    <t>slide link</t>
  </si>
  <si>
    <t>[s3]Issue:Hand-Free Mode Mic -65dB,Spec -71dB
Root Cause:1.Mainboard Mic Routing
Solution:1.Modifiy Mic Routing,DVT1 Verify.
20201218:updata DVT1: -76dB ok</t>
  </si>
  <si>
    <t>[NA]陈文亭机器：遇到一次按开机键开不了机，插QC快充充电器，没反应，SOLLED 也没反应。
clue:1. 前一天充满电，然后放在抽屉里面
   2.SW 版本 denver_retail_userdebug_11_RRE31.1_e3622e_intcfg-test-keys_retail_US
   3. 电池  断掉一次后故障现象暂时不复现。开机显示电量96%。
合并到 后续总issue里面</t>
  </si>
  <si>
    <t xml:space="preserve">[s3]Issue:power off current =240uA ,normal should be 100+uA
clue:1. VDD_1P8_SYS =80uA 
2.QC release reference design with solution of power off current issue. 
rootcause： PMK8003 current leakage 
solution：add 10K pull down on pin5 ，base on QC reference design.
DVT1 PCBA test ok </t>
  </si>
  <si>
    <t>[NA]issue:USB 2.0 eye-diagram test,marginal pass
Clue:tune1=default  ,marginal pass
debug:temp change  tune=0x47 ,pass.  0x67 is better.
  SW change done ，from 12/7</t>
  </si>
  <si>
    <t>[s3] SM4350 will support UFS2.2
物料上会有2.2和2.1两种，需要关注下FW升级问题。
1.针对hynix料，ufs2.2的4+64和4+128都是新料，不存在FW升级问题。
2. 针对三星，ufs2.2的4+64是新料，不存在fw升级问题。
                   ufs2.2的4+128是目前nairobi上用的2.1的料，需要FW升级，三星不愿意单独区分料号。
3.针对micron，ufs2.2的4+64和4+128都是目前nairobi在用的2.1的料，需要FW升级，micron不同意区分料号。
我先把信息先放在这儿，我们都从各自site看看solution和risk，产线混料风险谢谢
Denver使用hynix4+128 ufs2.2做一供，三星4+128做二供，产线升级fw到ufs2.2。</t>
  </si>
  <si>
    <t>Department</t>
  </si>
  <si>
    <t xml:space="preserve">[S2]Issue: Stingray Black screen making call issue ，after sale  
Clue:
1. CT higher than 400？IKSWP-105766  CT=600.
2. Factory build CT up limitation is 350 now.
Root cause: 
1. Proposal: with a screen protector that cause CT higher？
2.Proposal: Build without a rubber?
Solution:
1 .Proposal: New SW calibration algorithm，CT coverage change  from 0~400  to 0~654 ---done in MR
2.Proposal:  change the CT up limitation to lower 
         Action: change the CT up limitation to lower to get the units CT higher than 200  and check the rubber status. 
          change CR IKTM-5940 :Update P sensor Test limit in JOT station From 0~350 to 0~150
</t>
  </si>
  <si>
    <t>[S3]Issue: 3 units in 13 EWG units, Blank display.
Clue:
1. #167400, VINT block damge.#167406,VLOUT3 DCDC damage. #167412,VGL FPC abnormal.
2. No display permanent damage issue in 3T TCC ESD(Edu03) test.
3. ESD and 5 ORTs , No Display Relative ESD Failure.
Issue1:    #167400 VINT block damge
Clue: Get power block from MagnaChip to figure out the relationship among VINT, VLOUT3 and other power source.
Root Cause:
1.Speculation:Inrush Current/EOS cause by Hot Plugging
Exp1.1:Hot Plugging and Observe . Result: Issue is not reproducible after hot-plugging. Conclusion:NA
Exp:1.2:Higher Voltage on Vreg_Oledb Result:Issue is not reproducible after 8V/9V/10V 20us@1Hz pulse charge on VREG_OLEDB(7.6V, the input of DCDC). Conclusion:NA
Exp:1.3:Factory Failure Data Collect. Result: similar failure in LDA electronic test.
2.Speculation:User ESD? -&gt; Low Pissibility
Exp2.1: ESD after MP . Result:1 Day Return. Conclusion:Low Possibility of ESD
Exp2.2:ESD Test Result Summary. Result:13 ESD before MP and 1 ESD &amp; 5 ORT after MP,No Display Relative Issue. Conclusion: Low Possibility on ESD of User.
3.Speculation:Abnormal Loading of Panel
Exp3.1: Add load on VINT/VLOUT3 to verify. Result: ??
Issue2:#167406,VLOUT3 DCDC damage. 
Clue:
Root Cause:
1.Speculation:Inrush Current/EOS cause by Hot Plugging
Exp1.1:Stress test Hot Plugging and Observe on 1 unit . Result: Issue is not reproducible after hot-plugging. Conclusion:No Conclusion
Exp:1.2:Higher Voltage on Vreg_Oledb Result:Issue is not reproducible after 8V/9V/10V 20us@1Hz pulse charge on VREG_OLEDB(7.6V, the input of DCDC). Conclusion:NA
Exp:1.3:Factory Failure Data Collect. Result: similar failure in LDA electronic test.
2.Speculation:User ESD? -&gt; Low Pissibility
Exp2.1: ESD after MP . Result:1 Day Return. Conclusion:Low Possibility of ESD
Exp2.2:ESD Test Result Summary. Result:13 ESD before MP and 1 ESD &amp; 5 ORT after MP,No Display Relative Issue. Conclusion: Low Possibility on ESD of User.
3.Speculation:Abnormal Loading of Panel
Exp3.1: Add load on VINT/VLOUT3 to verify. Result: ??
Issue3:#167412,VGL FPC abnormal.
Clue:
Root Cause:
1.Proposal:FPC Material? 
SDC Send it to FPC Vendor for FA.
Action:
1. Get power block from MagnaChip to figure out the relationship among VINT, VLOUT3 and other power source.
2. Add load on VINT/VLOUT3 to verify.</t>
  </si>
  <si>
    <t>吉吉</t>
  </si>
  <si>
    <t xml:space="preserve">[S2]Issue:Phone goes dark during calls
Clue:1.Try to get the units. 8/23 (VZW will get the units on 8/23?- Syncing)-Ross 
Clue:Try to Reproduce- 8/26 Tony
Root Cause:
1.Proposal:Screen Protector?
2.Proposal:CT&gt;400
Solution:
1.Proposal:User Abuse,Remove/Modify Screen Protector in case of no cover on P-Sensor
2.Proposal:Update Calibration Algorithm on High CT. Before MR 8/30
</t>
  </si>
  <si>
    <r>
      <rPr>
        <rFont val="Georgia"/>
        <color rgb="FF000000"/>
        <sz val="11.0"/>
      </rPr>
      <t>Issue:FFRP ID 167653
RTT function on the phone is physically off, make an outgoing call it shows up on my phone call, and the ppl on the other line canot hear me properlyl
Clue:There is  screen protector .
RootCause:
1.Speculation: It will increase the CT of the Prox sensor , and more important is that the increases count is unstable because the screen protector is not fully adhered to the 2.5D glass at the edges which is the Prox area.
Solution:
1.</t>
    </r>
    <r>
      <rPr>
        <rFont val="Georgia"/>
        <color rgb="FFFF0000"/>
        <sz val="11.0"/>
      </rPr>
      <t xml:space="preserve"> Requirement for screen protector is to cut off the prox area.</t>
    </r>
    <r>
      <rPr>
        <rFont val="Georgia"/>
        <color rgb="FF000000"/>
        <sz val="11.0"/>
      </rPr>
      <t xml:space="preserve">
other same root cause return unit :FFRP ID  167693  </t>
    </r>
  </si>
  <si>
    <t>小范</t>
  </si>
  <si>
    <t xml:space="preserve">Issue:FFRP 167552  45 - Uninitiated actions        Powers off
CR ：https://idart.mot.com/browse/IKSWP-101607
RootCause:
1.Speculation: 
Solution:
1. </t>
  </si>
  <si>
    <t xml:space="preserve">Issue:FFRP ID 167409
SW-Kernel Panics
Clue:Continues ddr error when MemTest.
Clue:Samsung Involved, Result:??
RootCause:
Why Issue?
1.DDR flip
Exp:Log Observation Result:  ddr flip  Conclusion: R1 Confirm.
Why R1?
2.1 Speculation:Mememory Solder Crack
Exp2.1.1:ReHeat Memory ,Result:No ddr error until 300 Cycles. Conclusion:May R2
Exp2.1.2:Solder Crack point checking using QDUTT ,Result:on-going Due data?? 
Solution:
1. </t>
  </si>
  <si>
    <t>8.Mods</t>
  </si>
  <si>
    <t>Issue:FFRP ID 167457
MOD Detect Failure
Clues:
UI shows “the Moto Mod isn’t lined up correctly. Make sure the connector is clean and try attaching again” when attach Mod.
Analysis：
        Experiment: 
1. Measure SPI &amp; CC pins with multimeter ----&gt; OK
2. Measure the waveform of SPI -----&gt; there is some clutter on MISO when CC is connected.
3. Measure BPLUS ----&gt; No BPLUS output when Mod CC is connected. 
4. Measure EN pin ---&gt; OK
5. Measure OC pin of switch ----&gt; 1.37V voltage at idle time. It should be 1.8V.----&gt;same 1.37V on normal unit, why?
Root Cause:
PowerSwitch U710 (FPF2595) is Damaged（Apply new IC to replace and verify BPLUS control---&gt; Verified OK.）
Next Step:
Send IC to Onsemi for failure analyze 
EOS ,monitor</t>
  </si>
  <si>
    <t>Issue:FFRP ID 167513     01 - Does Not Power On at all        Device will not turn on
Clue：Blank Display
RootCause:
1.Speculation: 
Solution:
1. PM6150A  EOS ，monitor</t>
  </si>
  <si>
    <t>Issue:FFRP ID 167519
No Mic Audio 
RootCause: 
MIC brocken
Solution:
1. Audio team owe</t>
  </si>
  <si>
    <t>Issue:Field unit:PVT:Stingray: Prox keeps on falsing and waking up during calls on earpiece
IKSWP-99509
RootCause:
1.Speculation:Prox Keep bad performance  due to High Threshold Setting by calibration
2.Speculation:recheck FFRP ID 167516 HW ： meet 0.3mm Blank card detection design
Solution:
1.IKSWP-102131 to correct observed calibration issue</t>
  </si>
  <si>
    <t xml:space="preserve">[S3]Issue:Motor Keep Vibrating or no vibration，60%+ failure Rate on AAH4 Batch after over 100K mass production.
Clue:Failed I2C：Address High&gt;0.98V ，I2C Adress due to Address Low&lt;0.82V
Clue: IC Work normally if 10M Pull Down
Clue: Can read chip ID noramly when start up  
RootCause:
1.AWINIC 8690 work abnormal due to I2C Address shift.
  EXP1: I2C Control to read chip ID after power on
  Result:  Address form 0xB4 to ox B6 
  Conclusion: i2c Address shift
            2.1 wrong config
              EXP3： Reset chip register
              Result : Chip address recover
             Conclution: wrong config
              EXP4: One by one config start up register
              Result:0x36 config to 0x01 (0x21 defaut-Internal 2M Pull Down) after initiating
              Conclution:: wrong config(0x36 no showed in spec.)
2.2 I2C shift due to Batch difference, AWINIC under investigating
Solution:
1.Don't set 0x36(Hiden Register)  to 0x01(Disable Pull Down，Default 0x21-Internally Pull Down) 
  SW  CR :https://idart.mot.com/browse/IKSWP-101218 </t>
  </si>
  <si>
    <t>[S3]Issue:Stingray CFC 发现76%直通率，出现问题时是掉口
       Clue:1. 换一根 新的C  to C 数据线 就好了。
                2. shelby ，shelby+ ，RIO 没有问题。
                3. 更换USB 2.0 的下载盒子和数据线，有极大改善，到97%+
    RootCause:     proposal 1：USB 连接器的铁壳比较短，由结构和较短的外壳限位，稳定性比较低。
                           proposal 2：
    Solution:       1. 更换USB 2.0 的下载盒子和数据线
                           2.  Quattro 有同样问题，同样的solution</t>
  </si>
  <si>
    <t xml:space="preserve">[S2]Issue:Stingray 后拍录像播放卡顿异常反馈 ，视频 link
       Clue:1.video 里面帧在不在？
                 2.卡顿出现之后，声音和 视频 是否同步
                3. 手机稳定拍摄 背景动态   和  手机 动态 拍摄 静止背景。
          4.[‎2019/‎5/‎21 11:48]  Shunyong SY6 Xu: 有概率出现录的时候也会卡，大部分是播放的时候卡
         5.通过视频观察：停顿时，声音播放，但是画面丢失。（停留在卡顿前画面1S左右，然后跳到另外一个画面，而不是连续画面）
    RootCause:     
    Solution:       1. </t>
  </si>
  <si>
    <t>[S2]Issue:
       CQA found some units auto Black Display ,CR：https://idart.mot.com/browse/IKSWP-84566
analysis：1.when it happen ,current =30+mA . Need long press powerkey to power on the units.
              2. power on current some units more than 300uA . and unstable
               3.replace U2400 with  a new one , it it ok.
              4. fail units retry IF and BT ,it it ok.  then go PAT &amp; JOT  , it fail again .
             5. fail units most reproduce after power on 5 second . ( few  need longer)
    RootCause:
       1.U2400 PM6150A damaged on VBAT?
       2.Power Supply on Vbat set to 4.35V,and Over Voltage 4.95V Observed on Vbat(B_Plus) when Power Supply on.
       3.Proposal:Place board with VBAT on during IF
    Solution:
       1.Power Source Set to 3.8V,and using 2 Phase Power Supply(0-&gt;2V-&gt;3.4V-&gt;3.9V)
       2.Proposal:Longer GND Pin in IF&amp;BT.
       3.Proposal:Adding 100K between VBAT and GND Pin in BT Fixture. and Connect GND Pin with other Position Column
       3.Proposal:Close IF VBAT,Try in Quattro first.</t>
  </si>
  <si>
    <t xml:space="preserve">[S3]Issue:
   1 unit auto power off when make call in China Mobile SIM .
     Clue ： 1.USE CMCC SIM  ,it is ok
                   2.open the Display module with 90 degree , It is ok. Close the Display module ,it reproduce
                   3.Not Reproduce.
</t>
  </si>
  <si>
    <t>[S3]Issue:
  Issue 1.Accessory_On_Current_Board_1, True Failure, 
     Clue:April 
     Clue:Several 7.5V 100ms burst on VBAT will reproduce U2400 Failure.   
     Clue:Battery_Off_Current_Board_1 ,1-3Mon 0%, 4/1 - 4/25 0.22%,  4/25-5/7(2 stairs Power Supply 3.9V) 0-0.75%.
     Clue:1.Accessory_On_Current_Board_1,0-4%,NTF,Small Amounts units.
  RootCause:
       1.U2400 PM6150A damaged on VBAT, QC Feedback:Vddgen on metal layer 4 EOS issue
       2.Power Supply on Vbat set to 4.35V,and Over Voltage 4.95V Observed on Vbat(B_Plus) when Power Supply on.
       3.Proposal:  Place board with VBAT on during IF       
       3.Proposal:CDM ESD? Need follow up Action - TE liubin
           Exp1:Longer GND Pin  Result: Wait for Pin Arrival . Conclusion:
           Exp2:Add 100K Between VBAT and GND Pin,And Connect GND to Position Column
       4.Proposal:PM1650A Lot?   
           Exp:Analysis Lot Relative, Result:Not Relative, Conclusion:Proposal Drop
    Solution:
       1.Set to 3.8V,and using multiple Phase Power Supply(0-&gt;2V-&gt;3.4V-&gt;3.8V), 1.77%-&gt;0.05%, Validated. Need follow up action with more IF site.
       2.Longer GND Pin in IF&amp;BT. 0.8%-&gt;0.2% 6/10
       3.Proposal:Grounding Positioning column</t>
  </si>
  <si>
    <t xml:space="preserve">[S3]Issue:
    Mods  USB SS Drive Strength level  change from 925 mV -100% to  253.6 mV-27%, Data ThroughPut = 51Mbps
   Clue1: While Shelby Plus finalized 261mV duo to failed on DF when use 219mV
   Clue2: 5G Mods Fixed on 290mV.
Root Cause:
        1. USB SS Drive Strength 220mV(0x21) Can Not Meet Minimum Signal Integrity Requirement
Solution:
    1.Using 265mV(0x23 confirm by 4/9) , Match Shelby Plus Driver Strength Level
     Data ThroughPut=808Mbps (User Debug SW) 
       -Soak Test on USB SS 0x23 under -30°C and 60°C .Pass
       -Test Data ThroughPut on 0x23 with User Version- 4/12
    </t>
  </si>
  <si>
    <t>[S3]Issue:  Cap sensor  impact  Active pen 
Root Cause: Both Cap snesor &amp; Active pen Woring Freq 25Khz 
Solution:  Evalute change Cap snesor Woring Freq to 41Khz , there some bug ,need to be fixed 
     Can not use 41KHz ,No time for the SW update.</t>
  </si>
  <si>
    <t>[S3]Issue:  Cap sensor  Bug when tempreture change too quickly
Root Cause: 
Solution: FW  update？, there some bug ,need to be fixed.   No time for the SW update.</t>
  </si>
  <si>
    <t>[S3]Issue:  Some times can not power on , Track ID NNBA2K0001   ,NNBA2K0008(DVT2B)
Root Cause:suspect 9008 mode issue 
Solution:Rework these 2 units and sent back to user（CXD Matias ） monitor  from  3/26 to 4/4
           No problem by 4/22 ，close</t>
  </si>
  <si>
    <t xml:space="preserve">[S2]Issue: Unit Stuck on Andriod Logo Screen after Power On. CR : KSWP-69943
    1.DVT2B 1 unit failed /183 ,PVT 18 unit failed /319
    2.Issue found on IF,Assembly,CQA,ALT
Root Cause:1.Sequence of Register Dump Process for Log Error when Error Correction,Known WD Memory Issue 
     2.PCN Supposed to release on 3/7 but fail to sync with lenovo before 3/12.
Solution:
     1.Using New Memory with new Ver.78 FW,
             -DF update and no issue found. 4/4
            -Edu12 eMMC Durability Test Pass. 4/1
     2.
            -Build Validation &amp; Rack Test on 4/15 ,  SMT on 4/9
      DF Validate Pass over 10,000Hrs. Go WD.
</t>
  </si>
  <si>
    <t xml:space="preserve">[S3]Issue:  DVT2A thermal test  camera related fail
Root Cause:
        RC1: camera power consumption &amp; performance need balance
Solution:
         1.Proposal:SW29.64 import 1st  mitigation Strategy for camera  ，waiting for TCC retest  
               PQM ,PQA,SW,BB check accept the result  29.105-     </t>
  </si>
  <si>
    <r>
      <rPr>
        <rFont val="Georgia"/>
        <color rgb="FF000000"/>
        <sz val="11.0"/>
      </rPr>
      <t xml:space="preserve">[S3]Issue: Unexpected auto power off after ESD CD on MODS area, recovered after reboot.  </t>
    </r>
    <r>
      <rPr>
        <rFont val="Georgia"/>
        <color rgb="FFFF0000"/>
        <sz val="11.0"/>
      </rPr>
      <t>TM display</t>
    </r>
    <r>
      <rPr>
        <rFont val="Georgia"/>
        <color rgb="FF000000"/>
        <sz val="11.0"/>
      </rPr>
      <t xml:space="preserve">
RootCause: Display error
1.Display TE check failed and carry on recover procedure.
2.Display pwr_mode register meet error after power down and on.
3.AP halted after two recover fail.
Solution:1. Not reproducible in PVT and Quattro</t>
    </r>
  </si>
  <si>
    <t>[S2]Issue: Cannot detect MODS after ESD
Front camera(and Front flash) is ON,After +8KV air discharge at zone16 (zap16),The 360 mods I used had the constantly sound of devices connected,Then changed the turbo mods and it completely undetectable in CQA test.I restarted the phone and I found all mods connected normal.
Root cause:
1. mods cc signal error.
2. mods detection IC error after ESD
Solution:
1. hard to design better</t>
  </si>
  <si>
    <t>[S3]Issue: Phone stopped at "Android" sreen after ESD testing
Clue: After +8KV air discharge at zone16, then check the CQA function at CQA screen,wait for about 30s later,phone auto entered the "Android" screen.Then wait for about 7 minutes,the unit entered to main screen.
Root cause:
1. Audio might crash.
2.Could be reproduced without ESD.
3.CQA TEST APP Crash
4.Solved by SW update 29.96</t>
  </si>
  <si>
    <t>[S3]Issue: Phone dropped call after ESD testing
Clue: After +8KV contact discharge at zone8 (Aging10) , Phone dropped call. When the issue occurred, you can re-call the phone without restarting the phone. 
Root cause: 
1. SW analyse logs.
2.All the call is normal disconnecting, there are no abnormal issues found in the UE side.</t>
  </si>
  <si>
    <t xml:space="preserve">[S3]Issue: 
   CR :IKSWP-63410
PPF29.78
Rahul calls suba with phone on his earpiece
Prox triggered correctly and display was off for 1 minute while in call over earpiece
After one minute of in call, the prox suddenly triggered again bringing the display on and the in call audio route moved automatically to speaker
Timestamp of event : 3:22 PM approximately, please check around this time in the b2go attached
Suba has also encountered the same issue multiple times on her DVT2A retail SKU as well on the same sw
rahul b2go : 305418529
Root Cause:   black hair issue
 Solution:Touch IRink change ： from 2 round hole to racetrack，Improve black Card detection performance
   </t>
  </si>
  <si>
    <t>[S3] Stingray_TCC_ALT:1 unit auto power off after drop test  ，CR IKSWP-53809
  DVT2A   1time in Loop3 （total  3 groups of ALT ） ，DVT2B  1time in Loop4
monitor</t>
  </si>
  <si>
    <t xml:space="preserve">[S3]Issue:Kernal Panic - DDR Flip found on NNBV120029,DVT1a on Rack Test
RootCause:1.ESD Relative
        Exp1:Correct ESD Issue
        Exp2:DVT2A and after Data
        Exp3:Reproduce 10 times Crash on DVT1A udner ESD -&gt;Result:ESD Relative
Solution:
        1.DVT2A imported
        Same Root Cause and Soluton  with DVT1 some user feedback auto power off。IKSWP-55128,IKSWP-56795,IKSWP-58803,IKSWP-54896,IKSWP-56798
</t>
  </si>
  <si>
    <t xml:space="preserve">[S3]Issue: DVT1 some user feedback auto power off。IKSWP-55128,IKSWP-56795,IKSWP-58803,IKSWP-54896,IKSWP-56798
Root Cause:
        RC1:  Jtag ESD  Risk   
        RC2:  Short tisk between Jtag &amp; rear housing .
Solution:
         1. change to DVT2A units and monitor </t>
  </si>
  <si>
    <t>here</t>
  </si>
  <si>
    <t xml:space="preserve">[S3]Issue: BSP Target 32.1 Hrs，Current 29.8 Hrs. EBL on DVT1A 20Hrs
Current BSP on NA version,32.8Hrs  </t>
  </si>
  <si>
    <t>[S3]Issue: MDu44 fail . especial U2400 right bottom corner
            1.DVT1B use 2nd PCB   
            2.DVT1B  display easy to separated 
            3. use 1st PCB  ,From DVT2A  (remove 2nd source PCB) .   MFAL check if there is difference
            4.display  assembly ok ,From DVT2A  
Root Cause:
           1.PCB Strain
           2.ALT Drop
Solution:1.PVT function ok .    go with no underfill  (aligned with PQA &amp;PQM)</t>
  </si>
  <si>
    <t>[S2]Issue: 产线装配发现硅胶套装偏导致 sensor 被遮挡的
Action：请整理相关信息关注ME action落实情况，ME Informed to HouXiRong&amp; XianQing</t>
  </si>
  <si>
    <t xml:space="preserve">[S3]Issue: An error message appears when restarting the mod
Root Cause:
        RC1: Mods B_plus dont have a good enough discharge path.when the mods restart ,the B_plus should go down and restart to make mods restart . but it dont restart,and it cause mods go into the Flash mode and can not restart
Solution:
The change point  is : add a discharge path for mods B_plus  </t>
  </si>
  <si>
    <t xml:space="preserve">[S3]Issue: 
ANT LowB performance degraded after ESD @Calling@Bottom Ant in DVT 2A WH112926 6 Fail/6 units -8dB loss@ B5/B12 Root Cause: RC1:QAT3550 Tuner U200 Broke
-Pin CIO，SW3，SW4 
-Internal C1 Damage also found 
RC2:ESD Protection by Varistor not enough 
Solution:
 1.Using ESD128(Infineon) TVS on VR240 , ESD +/-15KV 200 times Evaluate Pass. RSE Evaluate Pass. TRP Evaluate Pass.
         -Verify one more units for consistency. 2/15 
-6 units PCBA reworked and will do ESD Test and TRP Verification in WuHan TCC after assembly. 2/19
-Sample meet PVT requirement. Will Follow Component Qualification Process and Supply. 2/19
</t>
  </si>
  <si>
    <t>[S2]Issue: shelby 售后不开机主板，分析CC1和CC2 pin 损坏比例较多，评估是否能改善
6150 CC1,CC2 耐压22V，Better than 660 which is only 6V.
Iteration:Review</t>
  </si>
  <si>
    <t xml:space="preserve">[S2]Issue:Mods DP no display
Clue:
1.Mini DP Qualcomm not ready until 11/15
2.DP over Tpye-C can work with no HDCP DP-&gt;HDMI Adpator;Aux and DP HW Verified.
3.HDCP Error found,QC feedback that should be TZ issue. HDCP1.x Key and deploy，$0.01,Using new test key ,resolved
4.DP Adaptor over this Channel ,Verified OK.
RootCause:
1. Trust Zone Error/No Key For HDCP,Fixed on 12/14
2.Horizental &amp; Vertical Syncronization Signal extact fail，Analogix RD Involved and Digging- 1/7
Solution:1.Source config
</t>
  </si>
  <si>
    <t>Issue: caizhiyi机器反馈原来ok 机器，胜男拆机返工CTP后（P-sensor油墨孔改成跑道型），之后打开蓝牙灭屏后就像自动关机了
clue： 1. 开启蓝牙或者WIFI ，然后进入休眠，自动关机（没有关机画面），都关闭就不会
             2. Action：a.拆除LCD 是否能复现？” b.能复现，测量L10A的电压变化，同时关注电流变化，同步找一路参考电压。c.关机状态测量L10A的阻抗变化
             3. L10A 外部加电源后，没有问题。 
4.  用不休眠的SW版本验证也没有问题。（比如29.35 ）
             5. L10A 用外部电源替代，并用电流计查看，有小脉冲电流 ，故障板能到140mA ，宽度130uS 以内。 
             6. 不开BT或者WIFI，故障板 L10A 外加负载10mA就会掉电 ，另外一个正常板子，外加30mA都不会掉电，再加上BT，WIFI打开也不掉线。
             7. 20180106  试用人员又反馈一台 CR： IKSWP-52032，同样是DVT1A机器，现象类似，但复现概率低一些，短时间内不能必现。
Root Cause:1.PM6150 L10A LPM Mode Damaged
               Action ：Jtag  check PMIC 寄存器
Solution:1. use NPM mode for L10A   in all mode
	  2.JTAG Removed （DVT2B removed ，DVT2A change to test point ，done）
              3. 3W Routing with GND on FPC ，done
              4. Optimized Placement on Receiver Area.（DVT2B ，done）增加GND 开窗保护
             5. L10A  PM6150 side reserved 1 TVS  , 屏蔽罩内无空间在PMIC端加TVS管。L10A在屏蔽罩内已四通八达。
长期事宜： 1. Test case 增加休眠模式
                       2. 亮屏下用ADB 读取寄存器判定是否ok</t>
  </si>
  <si>
    <r>
      <rPr>
        <rFont val="Georgia"/>
        <b/>
        <color rgb="FF000000"/>
        <sz val="11.0"/>
      </rPr>
      <t>[S3]Issue:</t>
    </r>
    <r>
      <rPr>
        <rFont val="Georgia"/>
        <color rgb="FF000000"/>
        <sz val="11.0"/>
      </rPr>
      <t xml:space="preserve">
1.DisplayPort Aux Communication Failure,Over 50%
</t>
    </r>
    <r>
      <rPr>
        <rFont val="Georgia"/>
        <b/>
        <color rgb="FF000000"/>
        <sz val="11.0"/>
      </rPr>
      <t>Root Cause:</t>
    </r>
    <r>
      <rPr>
        <rFont val="Georgia"/>
        <color rgb="FF000000"/>
        <sz val="11.0"/>
      </rPr>
      <t xml:space="preserve">
1.Aux Signal Integrity Issue
Exp1.1-Clear Log and Start Mods on passed one and failed one on two unit，Log and send to SW for analysis
Result:Passed with no error;
Failed with all Aux error
Exp1.2-Aux-P /GND Wave Form Measurement
Exp1.3-Repeart Reading through Aux on failed unit and Passed Unit.Observed the Waveform on Aux P/N from Phone side.
Result:Failed unit entering Repeating Read mode,Can't Insert one Read operation
Exp1.4-Remove R755Mod,Remove R743Mod,Remove C748
Result:Fail
Exp1.5-Remove R756Mod,Short C747mod
Result:Fail
Exp1.6-Aux n Pull up to L17A using 100K；Aux P Pull Down 100K after Capacitor
Exp1.7-Measure Aux P/N ,Observe Waveform after P-N(Math Minor)
Reslut:P-N=0
</t>
    </r>
    <r>
      <rPr>
        <rFont val="Georgia"/>
        <b/>
        <color rgb="FF000000"/>
        <sz val="11.0"/>
      </rPr>
      <t>Solution:</t>
    </r>
    <r>
      <rPr>
        <rFont val="Georgia"/>
        <color rgb="FF000000"/>
        <sz val="11.0"/>
      </rPr>
      <t xml:space="preserve">
1.Sol1.6:Adding 100R after Capacitor on Aux
Verified OK,BOM Change in DVT2B
</t>
    </r>
  </si>
  <si>
    <r>
      <rPr>
        <rFont val="Georgia"/>
        <color rgb="FF000000"/>
        <sz val="11.0"/>
      </rPr>
      <t>Issue:SW 反馈有人报Foles通话不容易灭屏的问题（caizhiyi的机器）
clue： 1.SW caoyi 告知，手机左手拿着，P-sensor 位置比较容易跑到耳朵意外的区域，导致读值很低，不能判接近。
           2. 右耳朵也会出现，那应该是0距离状态下的
Root Cause:1.左耳朵飘出耳朵范围 
 Solution Action：</t>
    </r>
    <r>
      <rPr>
        <rFont val="Georgia"/>
        <color rgb="FFFF0000"/>
        <sz val="11.0"/>
      </rPr>
      <t>1.DVT2B 旋转P-sensor 180度，将发射灯更靠近手机中心。（硅胶套同步更改）</t>
    </r>
  </si>
  <si>
    <r>
      <rPr>
        <rFont val="Georgia"/>
        <color rgb="FF000000"/>
        <sz val="11.0"/>
      </rPr>
      <t>Issue: Black Card Performance Can't Meet requirement 
Root Cause:1. Double Holes window on CTP
Solution：</t>
    </r>
    <r>
      <rPr>
        <rFont val="Georgia"/>
        <color rgb="FFFF0000"/>
        <sz val="11.0"/>
      </rPr>
      <t>1.Change Double Hole  to Singe Oval Type Hole ,Verify on DVT2B  ：
           Samsung Display PVT  100+pcss</t>
    </r>
    <r>
      <rPr>
        <rFont val="Georgia"/>
        <color rgb="FF000000"/>
        <sz val="11.0"/>
      </rPr>
      <t xml:space="preserve">
            TianMa Display   DVT2B    TBD       </t>
    </r>
  </si>
  <si>
    <t xml:space="preserve">[S2]Issue:Mods Camera not Bring up,Block on Lanes Overflow
Clue:
1.AP CSI2 worked with Front Camera
2.APBA Lane2 Signal detected,25Hz/21Hz
4.
RootCause:
...
RC6.SM6150 CSID Can't Decode CSI Low Speed Data?
       Exp6-1.Using Front Camera,Wiring to CSI2,Setting Low Pixel Clock Rate ,to Check if no overflow issue on CSI2.
Result:
Exp6-2:Try to figure out the relation between APBA Clock and SM6150 CSI2 Reading Clock and DSP Codec Clock
1.Different APBA Clock 2.Different SM6150 CSI2 Reading Clock 3. FIFO Status 4.DSP Decode Clock  5.Frame Received(Judge by SOT/EOT Count), 6.Escaped Time when overflow
Result:
Solution:1.Proposal:Config Muc APBA CSI Clock to match CSID of SM6150
2.Proposal:Config SM6150 CSID to Match each other.
</t>
  </si>
  <si>
    <t>[S2]Issue: 
          Factory Download 50%+ can not connect to 9008 (enumerated 9008 with "！")
Clue:
          1. No Issue with Computer USB 
          2.Error code:Windows cannot load driver for this hardware.The Driver may be corrupted or missing.(Code 39)
          3.Remove TVS no affect 
          4.USB Suspend found
          5.Proposal:Long USB Cable（0.9m+Expander Board+0.6mType-C Cable）
          6.PCIE USB Hub 4 Channel ,Validate Pass
Root Cause:
          1. Issue only happend during 16S duration windows when restart to re-enumerate after provision when 2 or more unit flashing.
          1.PCIE USB 3.0 Hub+Moto Driver，Change to USB2.0+Qualcomm Newest Driver 2.0，No Issue
          2.1 We import USB 3.0 Function Check in this process.
          2.2 Proposal:Unknown Device relative to the driver updation. 
Solution: 1. Seperate Provision Site
                  2.USB USB2.0 &amp; Qualcomm Newest Driver,Need seperate USB 3.0 Flip Test.
                  3.Proposal:Using Delay 35s, Validate Pass.
Factory WWTE Issue</t>
  </si>
  <si>
    <t xml:space="preserve">SW NEW CR https://qualcomm-cdmatech-support.my.salesforce.com/5003A00000t2cYrQAI
</t>
  </si>
  <si>
    <t>[S3]Issue:MDu30 Thermal Test Fail-WH111596
Clue: 1.Camera 4K torch，flashlight area overheating
           2.wifi streaming with charging，mods connector area over 3℃
           3. Processor loading overheating
           4. Gaming with charging，mods connector &amp;metal frame over 2℃-3℃ 
RootCause: 1.Driver Current Set over Spec in Torch Mode
                      2.Flow Media Play current drain too big,Charging Current too big.
                      3.Processor loading is reference only，CPU mitigation not start.
                      4.Gaming with charging，High Power Comsumption,Charging Current too big
Solution:1. Touch Mode Current Fix in DVT1B SW,Validated take effected.
                 2. DVT1B optimize Charging Current
                 3. DVT1B  import CPU mitigation，target&lt;45℃
                 4. DVT1B Using CS CPU for test to eliminate ES High Power consumption
DVT1B: All Pass except Data Link over 2℃，It is a reference item.</t>
  </si>
  <si>
    <t xml:space="preserve">[S2]issue:BB test ，P-sensor  oil test fail in EVT and Black cardtest fail in DVT1A
Clue: Rubber EVT =0.25mm, DVT1A=0.65mm
Root Cause:1.Isolite Rubber Thickness  need balance between Anti-Oil and Black Card Test Performance.
Solution:1.Change Rubber to 0.55,0.65,mm ,Verify on  DVT1B
</t>
  </si>
  <si>
    <t>Issue: caizhiyi机器反馈原来ok 机器，胜男拆机返工CTP后（P-sensor油墨孔改成跑道型），之后打开蓝牙灭屏后就像自动关机了
clue： 1. 开启蓝牙或者WIFI ，然后进入休眠，自动关机（没有关机画面），都关闭就不会
             2. Action：a.拆除LCD 是否能复现？” b.能复现，测量L10A的电压变化，同时关注电流变化，同步找一路参考电压。c.关机状态测量L10A的阻抗变化
             3. L10A 外部加电源后，没有问题。 
             4.  用不休眠的SW版本验证也没有问题。（比如29.35 ）
             5. L10A 用外部电源替代，并用电流计查看，有小脉冲电流 ，故障板能到140mA ，宽度130uS 以内。 
             6. 不开BT或者WIFI，故障板 L10A 外加负载10mA就会掉电 ，另外一个正常板子，外加30mA都不会掉电，再加上BT，WIFI打开也不掉线。
             7. 20180106  试用人员又反馈一台 CR： IKSWP-52032，同样是DVT1A机器，现象类似，但复现概率低一些，短时间内不能必现。
Root Cause:1.PM6150 L10A LPM Mode Can't meet power requirment
Solution:1. Correct NPM mode for L10A in all mode,Validated that no side effect on efficiency.
长期事宜： 1. Test case 增加休眠模式
                       2. 亮屏下用ADB 读取寄存器判定是否ok</t>
  </si>
  <si>
    <t>Issue: DVT1B 火生1台机器不识别快充，需要分析。
clue： 1.关机一段时间后，再开机会回复正常。多次插拔充电器后，又fail
             2.Fail 的时候，链接电脑，USB也不能正常链接（提示不正常的设备）
Root Cause:1.AP not release USB Channel When QC 3.0 Lead to Pmic fail to intercommunicate with Charger.
Solution:1.SW Update according to QC , Which is the same issue with QC3.0 issue under Power off Charging,
SW Issue</t>
  </si>
  <si>
    <t>Issue: DVT1B high possibility Power off when ESD test
Root Cause:1. Jtag signal affected
Solution:1.DVT1B Jtag shielded with Copper and isolation film，Evaluated Pass.
DVT2A PCB Has been modified .
Same Issue with : DVT1 some user feedback auto power off。IKSWP-55128,IKSWP-56795,IKSWP-58803,IKSWP-54896,IKSWP-56798</t>
  </si>
  <si>
    <t>Issue: DVT1B ESD Evaluate, BT Drop 
clue： 1.Change SW no affect
Root Cause:1.Side Key Fixing Clip Discharge by ESD2.Grounding on Sidekey FPC not Stable 3.Key Signal Affected 4.BT Signal Affected
Solution:1.Isolate Side key grounding pad with Clip. Validate OK 。DVT1B  test ok （2  round）
    Action:DVT2A增加绝缘膜贴在侧键FPC上，已通知结构备料  ，DVT2B发板需要将FPC 按键面的露铜去掉。</t>
  </si>
  <si>
    <r>
      <rPr>
        <rFont val="Georgia"/>
        <color rgb="FF000000"/>
        <sz val="11.0"/>
      </rPr>
      <t>Issue:WH111665 1.After +10KV air discharge  at zone 6(Aging10),P sensor and light sensor no function,restart recovery.
Clue: 点胶和封胶 是否没做好，直接打到P-sensor本体了？  （</t>
    </r>
    <r>
      <rPr>
        <rFont val="Georgia"/>
        <color rgb="FFFF0000"/>
        <sz val="11.0"/>
      </rPr>
      <t>点胶不完整，打击P-sensor区域，会出现软性失效</t>
    </r>
    <r>
      <rPr>
        <rFont val="Georgia"/>
        <color rgb="FF000000"/>
        <sz val="11.0"/>
      </rPr>
      <t xml:space="preserve">）
RootCause: 1.P-Sensor Affected by ESD
Solution:1. SW recovery ,RD Validate Pass 。 </t>
    </r>
  </si>
  <si>
    <t>[S3]Issue: Factory feedback SOL LED too dark &amp; sometimes no function
Clue: Factory  mode &amp; CQA mode with different Lightness .</t>
  </si>
  <si>
    <t xml:space="preserve">[S3]Issue: DVT1A WH111559 Tumbler 200 times , D1 &amp;D4 front &amp;Rear camera can not work
Clue：1.SDA wire open （SCL ok） D1 &amp;D4  2. NFC IRQ，ANT_cap_sensor_CS1_N &amp; REF _cap_sensor_CS1_N,wire open. 3. CPU shielding case seem lift up and SH118 seem lift up too. 4.Press CPU shielding case can recover 
Root Cause:1.     Layer 10 CPU shielding case separate from PCB cause Layer 9 wire open.  
                 2.High Strain on PCB Neck and shielding case 
Solution:1.  enhance Layer 1 shielding case SH118 SMT ,in DVT1B  V05 PCB 
2:change the layout within this area ,will change in DVT2A V06 PCB
3.Add Foam on Bridge，Validate  improved,Import in DVT2A and validate.
</t>
  </si>
  <si>
    <t>Issue:
1.Zone 11(Aging10) proximity sensor no function then unable to enter system after reboot,recovered after reset(fastboot -w).
2.Light sensor and proximity sensor no function，recovered after reboot:D5(contact 6KV)
3.+8KV contact discharge  at zone 14(Aging10), Vibration no function then unable to enter system after reboot,recover after reset(fastboot -w).
4. -8KV air discharge at zone7(Aging10), Phone unable to enter system after automatically reboot,recovered after reset(fastboot -w).
RootCause:1.SW Bug , not happen in latest 2 ESD Test
Solution:1.SW Update. Validate Pass</t>
  </si>
  <si>
    <t xml:space="preserve"> Issue:Unit 1 +15KV air discharge at zone 6/zone 9/8&amp;10 (Aging10),The phone lock up,recovered after long pressed power key to reboot.
Clue:1.System Halt
2.Reproduce ,Log
3.AP or Display Driver?
RootCause:Proposal:TX Error?
Solution:1.Jtag Removed,Validate Pass.</t>
  </si>
  <si>
    <t>Issue:Unexpected auto power off During ALT Drop Test ,CR IKSWP-42633
DVT1A NA SKU ALT(WH111516)(PA/PSA Anyone） A3(1):Drop right side 
DVT1A NA SKU ALT(WH111848)(total 9units） A3(1),B4(1):drop back side A4(1):drop left side
Root Cause:1.JTAG Short with Edge of Back Housing Hole on bottom. 
                        Experiment:DVT1A LATAM L15 Isolate Jtag with film and validate , Pass 12/14
Solution:1.Remove JTAG Connector,monitor DVT1B Validate Pass
Same Issue with : DVT1 some user feedback auto power off。</t>
  </si>
  <si>
    <t>Issue:The phone automatically reboot,then recovered:D1(contact 4KV) The bluetooth no function, recovered after reboot:D1(contact 4/6KV)
Clue:
1.Unplug Side Key FPC and Pull out, ESD Pass
2.Unplug Side Key FPC and Keep in the original Position, ESD Fail
3.ESD Spark found on Key FPC Clip
4.Grounding PCB Bridge ,Shielding Key FPC,ESD Fail
5.Put Film on PCB Bridge,Isolate Key FPC ,ESD Fail
6.Internal Wire?
Root Cause:
1.Proposal:WIFI/BT Antenna Strike by ESD ,Verify Fail.
2.Proposal:Varistor may not provide enough Anti-ESD performance, Verify Double Varistor Fail. 
3.Proposal:In 03A PCB board, the wire from Anttena is connected to capacitor, but not Varistor first. V04 Modified, Validate Failed.
4.ESD on Power,and Key - lead to fail
5.Side Key FPC 
Solution:1.Grounding FPC Stiffiner Steel 2. Isolate Key Clip with FPC,Evaluate Pass.</t>
  </si>
  <si>
    <t>Issue:The phone drop call,recovered after call again:D1(Air 8KV)
Clue:
1.HandFree Confirmed 
2.Proposal:Log Analysis
3.RF Tranceiverin bottom
4.Proposal:Frequency? +2 unit1
Root Cause:1.if Hand Free, TP Ghost Point Issue
Solution:TP FW update,Validate OK</t>
  </si>
  <si>
    <t>[S3]issue: RT516 damaged in DVT1A assembly, fail rate 0.53%= 4/750
Root cause:1.RT516 Crashed When lockdown Side FPC
                     2.Conflict with Fixture,No Issue after Optimize Fixture in DVT1B
Solution:1.Optimize Fixture, DVT1B Validate Pass.
2.Reserve DVT2A  Add 2 0402 capacitors to protect RT516,DNP</t>
  </si>
  <si>
    <t>[S2]issue: In TCC ESD test, touch screen no function with large probability,recovered after pressed power key.
Clue: Issues appeared when the Display panel faced down, and ESD dischaged on the back frame.
2.Proposal:Touch Screen OK withough ESD?
Root cause: 1. TP IC might be interfered by ESD coupling.
2. TP IC is alive when TP no function.
3. TP IC calibration meets problem after ESD test.
4. This issue might be solved by Goodix calibration algorithm.
Solution:1.Optimize TP Algorithm</t>
  </si>
  <si>
    <t>[S2]WH111662 A3 ALT Loop2 Drop on left side , P-Sensor No Function. 12/12
Root Cause:1.FPC wire open on strain corner lead
2.FPC foldered in abnormal state
Solution: Change FPC GND and Open  Area，on-going</t>
  </si>
  <si>
    <r>
      <rPr>
        <rFont val="Georgia"/>
        <color rgb="FF000000"/>
        <sz val="11.0"/>
      </rPr>
      <t>[S2]issue:on Dec/2 WH111848 ALT Loop2  B2:After drop top left corner,P sensor is always in enable status,light sensor is always in dark status, recovered after reboot
Clue:Plan :1.PI Get log  and check what the status</t>
    </r>
    <r>
      <rPr>
        <rFont val="Georgia"/>
        <color rgb="FFFF0000"/>
        <sz val="11.0"/>
      </rPr>
      <t xml:space="preserve"> CR  IKSWP-44583</t>
    </r>
    <r>
      <rPr>
        <rFont val="Georgia"/>
        <color rgb="FF000000"/>
        <sz val="11.0"/>
      </rPr>
      <t xml:space="preserve">.  
2. Follow up the Loop 3~5  
3. tear down the B2 after ALT test  
4.SW check how to dump the Register when ALS/PS fail
Root Cause:1.SW Bug and Fixed
Solution:SW update
</t>
    </r>
  </si>
  <si>
    <r>
      <rPr>
        <rFont val="Georgia"/>
        <color rgb="FF000000"/>
        <sz val="11.0"/>
      </rPr>
      <t xml:space="preserve">[S3]issue:WH111516_B4_NNBA120190 After loop2 drop right side,1 units' P sensor&amp;Light sensor have no funciton,but restart can be recover
Clue:Plan :1.LOG in CR  </t>
    </r>
    <r>
      <rPr>
        <rFont val="Georgia"/>
        <color rgb="FFFF0000"/>
        <sz val="11.0"/>
      </rPr>
      <t xml:space="preserve">IKSWP-43026 </t>
    </r>
    <r>
      <rPr>
        <rFont val="Georgia"/>
        <color rgb="FF000000"/>
        <sz val="11.0"/>
      </rPr>
      <t xml:space="preserve">  2. CTP not assembly good
3.Proposal:Try to Reproduce，Can't Reproduce，Monitor others
Root Cause:1.</t>
    </r>
    <r>
      <rPr>
        <rFont val="Georgia"/>
        <color rgb="FFFF0000"/>
        <sz val="11.0"/>
      </rPr>
      <t>suspect</t>
    </r>
    <r>
      <rPr>
        <rFont val="Georgia"/>
        <color rgb="FF000000"/>
        <sz val="11.0"/>
      </rPr>
      <t xml:space="preserve"> assembly issue ：CTP not assembly good may cause rubber moved and cover the sensor  . 
Solution:Monitor Loop 3~5 result,No Issue
</t>
    </r>
  </si>
  <si>
    <t>[S3]Issue:ALT WH111516 ESD C1 样机Standby模式，+8KV空气放电 ，打TP Lens底部缝隙区域（Zone 3），CQA模式下检查指纹发现Fail，手动关机后不能再开机
Root Cause: 9008 state ，No  HW dameged. Not a real issue</t>
  </si>
  <si>
    <t>[S2]Risk:Mods Factory test plan: DVT1A dont start mods test
Root Cause:SW not ready
Solution:Inform SW*NPI</t>
  </si>
  <si>
    <t>[S3]Issue:[Jira iDART] (IKSWP-40058) Can not charge, shows discharging when connecting charger(1user,often)连接充电器无法充电 B2GID:304434411
Clue:14号，ppf29.10版本启动了。目前硬件的相关的可能只有这个。连接了usb没有充电，拔插后拧一下插头才能识别到。另外fastboot 模式也出现识别不到，也是拧usb口才读的到。
Root Cause:usb-c connector 虚焊
Solution: Release FA to Factory&amp;Component,They will follow.</t>
  </si>
  <si>
    <t xml:space="preserve">[S3]Issue:Sleep Current Drain  27.5mA
Root cause: 
1.Max3108 6.5mA
2.Memory 6mA
3.Display 1.2mA
4.after SW Merge All upgrate: Base Current =7.2mA@3.8V,Gap:2.2mA
5.Moto Action&amp;Maya: -1.5mA -&gt;5.7@3.8V , Gap:0.7mA
6.Proposal:Boot up with BP-Tool Mode -&gt;System Boot :-0.5mA -&gt;5.2mA@3.8V
7.Proposal:
Solution:1.After Fine tuned,5.1mA achieved on DVT1B.
</t>
  </si>
  <si>
    <t xml:space="preserve">[S2]Issue: Remove Max3108（I2C-&gt;Uart）,Current Drain reduce 6.5mA
Clue:1.L19A 2.7V 1mA
Root cause: 
1.UART Mode Config as Hi-z，improve 6mA
2.Disable Internal PLL, improve 0.5mA
Solution:1.Uart Mode Config -SW
2.Disable Internal PLL-SW
</t>
  </si>
  <si>
    <t>[S2]Issue:
1. 1/6 unit D6 cannot boot, stuck at MOTO logo, current leak and heat, after ESD test.
2. 2/6 units D3,D4 cannot boot after ESD test.
Root cause: 
1.1 D6 Stuck on Moto Logo when boot Due to Cap Sensor Damaged Through CH1 Sensor on Top Left. 
2.1 D3,D4 Can't Boot Up Duo to AP Damaged on VDD 1.8V due to Mods SPI CS Pin that Damaged by ESD.
Solution:
1.Adding one TVS on this channel and approved by Antenna. Import and validate in DVT1A.
2.Series in 1kΩ Mods SPI CS pin to enhance protection. Import and validate in DVT1A.</t>
  </si>
  <si>
    <t>[S2]Issue:1/7 unit Front camera fail  after ALT  WH110271 B2
Root Cause:1. 1. CAM_R_I2C_CLK in Layer 9 break
                      2. Shielding Case Corner Strain　　
Solution:1.Proposal:Adding Foam - ME
2.Proposal:Solder Open limitation - BB/RF/ME
3.Proposal:Reserve Enhance Shielding Case on Bridge Corner
Same Root Cause as A+G Fail, Combined with 1/8 unit A+G fail  after ALT  WH110272 B2,Closed</t>
  </si>
  <si>
    <t>[S2]Issue: DISP_VIO change from L13A to L15A,SW Downward Compatibility ok?
Root Cause:1. Camera IOVDD need  separate from DISP_VIO
                      2. 
Solution:1. follow HW ID to detect EVT and DVT1,L13A change to L15A Compatibility is ok
                 DVT1 a CHECK OK . CLOSE</t>
  </si>
  <si>
    <t xml:space="preserve">[S3]Issue: Black Screen with 3/15 times during boot up 
Clue:
1.Reproduce when Assembly in phone ，No issue when place display plat, Found issue on Plat place too.
2.Issue Follow Dedicated Display 
3.Hardly reproduce when insert converter FPC.
4.MIPI Test Pass. - new update
5.Proposal:Display Recovery lead to Reboot, Exp:Remove Recovery, No Display when boot sometime.
6.Remove Recovery Machanism，if Boot Up,No Issue.
7.Fix FPC using bandage with Converter FPC, 40 times no issue. - 2018-11-13
8.Assembly back into Phone with good assembly on Display FPC. 20 times no issue.
9.
Root Cause:
Why Boot up No Display on this display?
1.FPC Slip off Connector lead to Black Screen when shake
2.Proposal:Display Damaged ,Sent 1 Display to Samsung. Should get report in this week.
3.DSI Read Error ，Using TE Recovery instead of Dsi Read Recovery ，No Issue
Solution:
1.Adapt TE Recovery ,Validate ok
2.Correct Display Power Down -Validate ok
</t>
  </si>
  <si>
    <t>[S2]Issue:Receiver TDD Noise   failed.
Clue: 1.Codec affected,
RootCause:1.Mic Side Tone Coupling
Solution:1.Proposal:Resolve Mic up link Tdd Issue
2.Side Tone Coefficient Adjust</t>
  </si>
  <si>
    <t>[S2]Issue:1/4 after EVT MXC06  200times WH110432 D4,Display can not work 
                  2/8 after EVT MXC06  200times  WH110726 D3,D4 ,Display can not work
                  1/1 after EVT MXC06 200times WH109891 D3,Display can not work
Root Cause:1. Disp_Sctrl Net open , PCB issue  
                      2. Shielding Case Corner Strain 
Solution:1. Avoid Layer 2 Routing 2.Solder Mask Removed on corner</t>
  </si>
  <si>
    <t>[S2]Issue:CH1 get stuck when wifi OFF
Clue:1.Not occur when WIFI ON    2. Average value getting bigger gradually when WIFI off
RootCause:1.CH1 not share the ANT with RF, and no capacitor to Gnd. so Gnd is independent from the system.
Solution 
     1.CH1 add a 39PF capacitor to Gnd , RD evaluate ok, DVT1 validate.</t>
  </si>
  <si>
    <t>[s3]Issue:Rear &amp; Front camera halt sometimes when preview
Root Cause:　　　　　　　　　　　　
Proposal:SW Issue.1.  dvt1a sw OK</t>
  </si>
  <si>
    <t>[S2]Issue:Fuel Gauge,No Charging Current Detected
Root Cause:1.Proposal:Current Register Mismatch - SW On-Going
SW update display config file ,Solved.</t>
  </si>
  <si>
    <t>[S2]Issue:
1 of 8 unit P sensor not found in QsensorTest after ALT WH110272 B1.
Clue:
        1. Change FPC, P sensor still not found
        2. Updated software, P sensor still not found
        3. P sensor Connector is soldered ok to the mainboard
        4. Signal resistor test in P sensor connector on mainboard show normal
        5. Test the connection between FPC connector and the bottom of mainboard         
Root Cause:
1.Why happened?  SENS_I2C_SCL in inner layer crack under shielding case corner because of strain
Solution:
1.PCB layout to change the force of BB shielding
Same Root Cause with A+G fail after ALT，Closed</t>
  </si>
  <si>
    <t>[S2]Issue:1/8 unit A+G fail  after ALT  WH110272 B2
Root Cause:1.SPI_CLK in Layer 9 break 
                      2.Shielding Case Corner Strain
Solution:
1.Enhance Shielding Case on Bridge Corner ， DVT1B action According to DVT1A S1 result 
2.Solder Open limitation - BB/RF/ME   DVT1A
Proposal 3.Adding Foam - ME  DVT1A</t>
  </si>
  <si>
    <r>
      <rPr>
        <rFont val="Georgia"/>
        <color rgb="FF000000"/>
        <sz val="11.0"/>
      </rPr>
      <t xml:space="preserve">[S3]Issue:MIC TDD Noise -40dB &gt;-71dB failed.
Root Cause:
1.poor Cirrus Mic Anti-TDD , 
1.1 Validate ACC+ Shielding Case pass; 
1.2 Proposal:Estimate Knowles Mic. Exp: Interposer FPC Sampling to verify.
2.Near field power strength- Antenna
2.1 Proposal:validate Antena Energy Field Modification
</t>
    </r>
    <r>
      <rPr>
        <rFont val="Georgia"/>
        <b/>
        <color rgb="FF000000"/>
        <sz val="11.0"/>
      </rPr>
      <t>Solution:</t>
    </r>
    <r>
      <rPr>
        <rFont val="Georgia"/>
        <color rgb="FF000000"/>
        <sz val="11.0"/>
      </rPr>
      <t xml:space="preserve">
1.Change to AAC Mic in DVT1A,
 AAC+3Walls Shielding Case 67dB@850MHz ，72dB@900MHz;
Cirrus+3Walls Shielding Case 58dB@850MHz
2.Import Mic Shielding Case  in DVT1A,Done
</t>
    </r>
  </si>
  <si>
    <t>[S3]Issue:1/4 units Surge Test Fail on 50V 
Clue:
1. no turn on，PMIC U2000 damaged，vbat leakage current 80mA，USB_IN leakage current 120mA
2. D500 damaged that had 110mA leakage current ， caused PMIC wasn't under protecting when surge test.
3. Surge test wouldn’t cause PTVS18VU1UPA damaged (After 400V, PTVS18VU1UPA was ok), so this D500 damaged may caused by other sources.
4. 4 pcs retest,all pass.
Root Cause：
D1 reused after edu16 OVP test，D500 damaged by OVP extreme test.
NTF issue.
Solution：
NA
Conclusion: NTF issue.</t>
  </si>
  <si>
    <t>[S3]Issue:  Charging current 1.3A sometimes which should be 3A  ,
Clue：
        1. USB on PC can not work when 1.3A charging
       2.Connector USB to PC and power on ，it always ok（test 10+ times）
Root Cause:
        1.SW issue  --on going haijian
Solution：
        1.Fixed by the latest SW version。</t>
  </si>
  <si>
    <t xml:space="preserve">[S2]Issue:  front camera preview fixed on +6KV ESD CD on Receiver Deco 
Root Cause:
     1.     Receiver Deco Grounding problem ,Need further check with ME 
Solution 
     1.Receiver Deco Short to Metal Housing, RD Evaluate ok,DVT1 Validate Pass.
     </t>
  </si>
  <si>
    <t>浦喆</t>
  </si>
  <si>
    <t>[S2]Issue:  system reboot in camera preview mode on +6KV ESD CD on  Rear Camera&amp;Mods Connector&amp;Deco
Root Cause:
     1.display te affected（solved by adding 2K Resistor）
     2.LCM Grounding not good . Greatly improved by optimized GND.
     3.Recovery not feasible
Solution:    
     1.reserve 100pf cap on te and reset,Serial in 2K in TE -Verification ,Screen Freezed ocasionaly and recover after 2s.
     2.LCD Grouding Design Optimization
     3.Optimize Recovery,Shift DSI Read check to TE Check,RD Evaluate ok.</t>
  </si>
  <si>
    <t>[S3]Issue: ALT WH10272 Loop1 Drop top side 2units B2(1),A4(1) P-sensor no function ，
Clue：1.No Gromet on P-Sensor incase LCD impact.
Root Cause:1 .temp ALT units（ME ALT for Display glue verification）  No Gromet  ，not match design
Plan: not ture issue for BB .</t>
  </si>
  <si>
    <t>[S3]Issue:  WH109872 DVT EDu04 Eval - Reverse Polarity  fail
Root Cause:1.Shotkey Diode Don't Reserved after 3902 Removed.
Solution:1.Adding Shotkey Diode - Lab Unit Modification - on-going
                 2.BB internal Test pass by jump wire
                 3. the solution had been changed in 48M-V03, will test in DVT1
DVT1A Test pass ：WH111518  ，close</t>
  </si>
  <si>
    <t>[S2]Issue: WH109891 MXc06 滚筒 D3 200次后 cannot not power on（可以开机有电流反应，初判主板导致无显示 ）
Root Cause:Proposal 1.Display&amp;Camera Signal in Layer3 around Screw Hole Open.
 2.Can't dig further due to unit broken
Solution:1.Re route affected signal to keep far away screw - Done 
Plan:-ME arrange EVT2 2 unit verification ,Monitor</t>
  </si>
  <si>
    <t>[S2]Issue:Display Bringup not complete. ELVSS Keep -4.0V
Root Cause:1.Proposal: PM6150A not correctly config 
Solution:1.SW Resolved.</t>
  </si>
  <si>
    <t xml:space="preserve">[S2]Issue:Display Bringup not complete. AVDD over voltage.
Root Cause:1.PM6150A not correctly config , 
Solution:re configuration PM6150A,Verification Pass
</t>
  </si>
  <si>
    <t xml:space="preserve">[S3]Issue: NFC I2C probe fail
Clue:
1.NFC I2C is OK when remove MAX3108, MAX3108’s RST pin is low.
2.MAX3108 VCC has no power supply.LDOEN pin is low.
3.External supply 2.5V to VCC and Pull LDOEN to high,NFC I2C work.
Root Cause:
1.Max3108 Hold I2C Bus 
2.No VCC power supply for Max3108,
Solution:Initial Power Max3108 correctly
</t>
  </si>
  <si>
    <t>[S2]Issue: 1. EVT with umcp cannot download 
Root Cause:1: There is no LUN in Blank umcp, ufs needs to be provisioned before download.
Solution:provision UFS First</t>
  </si>
  <si>
    <r>
      <rPr>
        <rFont val="Georgia"/>
        <b/>
        <color rgb="FF000000"/>
        <sz val="11.0"/>
      </rPr>
      <t>[na]</t>
    </r>
    <r>
      <rPr>
        <rFont val="Georgia"/>
        <color rgb="FF000000"/>
        <sz val="11.0"/>
      </rPr>
      <t>If QUP config to UART,Stingray will have not enough AP  SPI for Audio codec. 
Root Cause:  SM6150 not enough AP  SPI
Solution: 
1.use LPI  SPI (LPI Qup2)for Audio codec Firmware download , Update 8/8 ,SW can’t realize bridge AP to ADSP. Drop
2.Using I2C instead of SPI to Codec,Update 8/8:need 6.8S loading AOV code.Drop
3.QUP Config to SPI instead of UART.  Update 8/8:Mainstream Solution.
Plan:Closed.</t>
    </r>
  </si>
  <si>
    <t xml:space="preserve">[S2]Issue: EVT SCH&amp;PCB design battery connector with 5CA9A6MXRG ,but the correct one should be 28014040001
Root Cause:  Component Team Not align with ME Team,In-consistence between the PartNumber
Solution:1.  Carding the Component Selection Flow During Component&amp;ME , Closed.
</t>
  </si>
  <si>
    <t>Issue2:Phone enter 9008(EDL) after download images. QC case number: 03648171
Root Cause:Download issue, miss some download file.
Solution:Use moto baseline download tool.</t>
  </si>
  <si>
    <t xml:space="preserve">[S2]Issue:I2C fail to read again sometimes (would happen in 1 hours ,sometimes just in 10 minutes ) 
Root Cause: SW I2C control issue. Detail need SW update
Solution:1. QC feedback some Cord change  link
Plan： 1. 2 units Stress test 19 hours ok.  2. SW check how this change can solve the Issue </t>
  </si>
  <si>
    <t>[S3]Issue:Not Enough Uart with Flow Control in AP for Mods APBA.
RootCause:1.SM6150 AP QUP Limitation
Solution:1.I2C Uart Bridge Using Max3108 ，
update 8/28 SW Bringup on Demo Pass.
2.I2C Uart Bridge Using FPGA
3.USB Uart Bridge IC CP2102/FTD234
Plan:1.Manage in EVT bring up. Close</t>
  </si>
  <si>
    <r>
      <rPr>
        <rFont val="Georgia"/>
        <b/>
        <color rgb="FF000000"/>
        <sz val="11.0"/>
      </rPr>
      <t>[s3]</t>
    </r>
    <r>
      <rPr>
        <rFont val="Georgia"/>
        <color rgb="FF000000"/>
        <sz val="11.0"/>
      </rPr>
      <t>Issue:No SPI Port for Mods 
Root Cause:  SM6150 not enough AP  SPI
Solution: add 1 Switch to solve it
Action：Done. Already designed in Stingray and completed development. Update the design diagram here.</t>
    </r>
  </si>
  <si>
    <r>
      <rPr>
        <rFont val="Georgia"/>
        <b/>
        <color rgb="FF000000"/>
        <sz val="11.0"/>
      </rPr>
      <t>[S3]Risk:</t>
    </r>
    <r>
      <rPr>
        <rFont val="Georgia"/>
        <color rgb="FF000000"/>
        <sz val="11.0"/>
      </rPr>
      <t>Als Design,No Feasible Place for Ambiant Light Sensor on Front Side.
Root Cause:Full Display
Solution:1.Place ALS on Edge ,2. turn to ALS under OLED ，under evaluation by SME team 
plan： 8/1 check use AVAGO9307 or  AMS 3701 。  9/30 check if we can go with s2？</t>
    </r>
  </si>
  <si>
    <r>
      <rPr>
        <rFont val="Georgia"/>
        <b/>
        <color rgb="FF000000"/>
        <sz val="11.0"/>
      </rPr>
      <t>[s2]</t>
    </r>
    <r>
      <rPr>
        <rFont val="Georgia"/>
        <color rgb="FF000000"/>
        <sz val="11.0"/>
      </rPr>
      <t xml:space="preserve">Risk：Stingray P-sensor design ESD Risk
Root Cause:P-sensor ESD Risk is high for the current Solution
Solution:
1.Non-Conductive Grommet Around P-Sensor
2.Conductive Grommet Around P-Sensor- Update 0.3$,Further investigate Low Cost Conductive Grommet.
3.FPC Grounding Around P-Sensor
4.Folded Copper Shielding refer to Rio-M
Plan: 1.Test Non-Conductive Grommet in EVT
2.Test Conductive Grommet In EVT
EVT1 test ok ，close it </t>
    </r>
  </si>
  <si>
    <r>
      <rPr>
        <rFont val="Georgia"/>
        <b/>
        <color rgb="FF000000"/>
        <sz val="11.0"/>
      </rPr>
      <t>[S3]Risk:</t>
    </r>
    <r>
      <rPr>
        <rFont val="Georgia"/>
        <color rgb="FF000000"/>
        <sz val="11.0"/>
      </rPr>
      <t>ESD May Damage USB-C on revised shorter metal shell</t>
    </r>
    <r>
      <rPr>
        <rFont val="Georgia"/>
        <b/>
        <color rgb="FF000000"/>
        <sz val="11.0"/>
      </rPr>
      <t xml:space="preserve">
Clarification:</t>
    </r>
    <r>
      <rPr>
        <rFont val="Georgia"/>
        <color rgb="FF000000"/>
        <sz val="11.0"/>
      </rPr>
      <t xml:space="preserve">1.EVT Validate 2.Pin anti-ESD capability validate on shelby. Only D+/D- Pin have risk while other pins have good ESD durability.
Solution:1.Keep Shelby Solution on D+/D- Protection
</t>
    </r>
    <r>
      <rPr>
        <rFont val="Georgia"/>
        <b/>
        <color rgb="FF000000"/>
        <sz val="11.0"/>
      </rPr>
      <t>Plan:</t>
    </r>
    <r>
      <rPr>
        <rFont val="Georgia"/>
        <color rgb="FF000000"/>
        <sz val="11.0"/>
      </rPr>
      <t>1.Keep Shelby Solution ,EVT Monitor,Closed.</t>
    </r>
  </si>
  <si>
    <r>
      <rPr>
        <rFont val="Georgia"/>
        <b/>
        <color rgb="FF000000"/>
        <sz val="11.0"/>
      </rPr>
      <t>[S3]Risk:</t>
    </r>
    <r>
      <rPr>
        <rFont val="Georgia"/>
        <color rgb="FF000000"/>
        <sz val="11.0"/>
      </rPr>
      <t>ESD May Damage Mods Pin</t>
    </r>
    <r>
      <rPr>
        <rFont val="Georgia"/>
        <b/>
        <color rgb="FF000000"/>
        <sz val="11.0"/>
      </rPr>
      <t xml:space="preserve">
Clarification:</t>
    </r>
    <r>
      <rPr>
        <rFont val="Georgia"/>
        <color rgb="FF000000"/>
        <sz val="11.0"/>
      </rPr>
      <t xml:space="preserve">1.EVT Validate 2.ESD failure mode analysis
</t>
    </r>
    <r>
      <rPr>
        <rFont val="Georgia"/>
        <b/>
        <color rgb="FF000000"/>
        <sz val="11.0"/>
      </rPr>
      <t>Plan:</t>
    </r>
    <r>
      <rPr>
        <rFont val="Georgia"/>
        <color rgb="FF000000"/>
        <sz val="11.0"/>
      </rPr>
      <t>1.Bettery Layout Protection
         2.Better TVS with big capacitor and lower clamp voltage</t>
    </r>
  </si>
  <si>
    <r>
      <rPr>
        <rFont val="Georgia"/>
        <b/>
        <color rgb="FF000000"/>
        <sz val="11.0"/>
      </rPr>
      <t>[S2]Risk:</t>
    </r>
    <r>
      <rPr>
        <rFont val="Georgia"/>
        <color rgb="FF000000"/>
        <sz val="11.0"/>
      </rPr>
      <t>ESD May Damage Speaker Audio Amp and cause system halt.</t>
    </r>
    <r>
      <rPr>
        <rFont val="Georgia"/>
        <b/>
        <color rgb="FF000000"/>
        <sz val="11.0"/>
      </rPr>
      <t xml:space="preserve">
Clarification:</t>
    </r>
    <r>
      <rPr>
        <rFont val="Georgia"/>
        <color rgb="FF000000"/>
        <sz val="11.0"/>
      </rPr>
      <t xml:space="preserve">1.EVT Validate 2.ESD failure mode analysis
</t>
    </r>
    <r>
      <rPr>
        <rFont val="Georgia"/>
        <b/>
        <color rgb="FF000000"/>
        <sz val="11.0"/>
      </rPr>
      <t>Solution：</t>
    </r>
    <r>
      <rPr>
        <rFont val="Georgia"/>
        <color rgb="FF000000"/>
        <sz val="11.0"/>
      </rPr>
      <t xml:space="preserve">Add Varistor near the SPK pad and double check if the TVS due to this issue
</t>
    </r>
    <r>
      <rPr>
        <rFont val="Georgia"/>
        <b/>
        <color rgb="FF000000"/>
        <sz val="11.0"/>
      </rPr>
      <t>Plan:</t>
    </r>
    <r>
      <rPr>
        <rFont val="Georgia"/>
        <color rgb="FF000000"/>
        <sz val="11.0"/>
      </rPr>
      <t>1. Add varistor near the SPK pad and test the ESD</t>
    </r>
  </si>
  <si>
    <r>
      <rPr>
        <rFont val="Georgia"/>
        <b/>
        <color rgb="FF000000"/>
        <sz val="11.0"/>
      </rPr>
      <t>[S3]Issue:</t>
    </r>
    <r>
      <rPr>
        <rFont val="Georgia"/>
        <color rgb="FF000000"/>
        <sz val="11.0"/>
      </rPr>
      <t>Proximity Design,No Feasible Place for P-Sensor</t>
    </r>
    <r>
      <rPr>
        <rFont val="Georgia"/>
        <b/>
        <color rgb="FF000000"/>
        <sz val="11.0"/>
      </rPr>
      <t xml:space="preserve">
</t>
    </r>
    <r>
      <rPr>
        <rFont val="Georgia"/>
        <color rgb="FF000000"/>
        <sz val="11.0"/>
      </rPr>
      <t>Clue:Stowed Mode</t>
    </r>
    <r>
      <rPr>
        <rFont val="Georgia"/>
        <b/>
        <color rgb="FF000000"/>
        <sz val="11.0"/>
      </rPr>
      <t xml:space="preserve">
</t>
    </r>
    <r>
      <rPr>
        <rFont val="Georgia"/>
        <color rgb="FF000000"/>
        <sz val="11.0"/>
      </rPr>
      <t>RootCause:Full Display Lead to No Space for P/ALS Sensor
Solution:1.ME Manage to place it on Front Camera
Conclusion:1.Turn to NUD Mangement，Closed</t>
    </r>
  </si>
  <si>
    <t>[S1]Risk:Buttonless Design are not mature enough to introduce to Product</t>
  </si>
  <si>
    <r>
      <rPr>
        <rFont val="Georgia"/>
        <b/>
        <color rgb="FF000000"/>
        <sz val="11.0"/>
      </rPr>
      <t>[S2-&gt;S3] Issue:1</t>
    </r>
    <r>
      <rPr>
        <rFont val="Georgia"/>
        <color rgb="FF000000"/>
        <sz val="11.0"/>
      </rPr>
      <t xml:space="preserve">.Qualcomm feedback SM6150 Reference Design on 8/13, 
</t>
    </r>
    <r>
      <rPr>
        <rFont val="Georgia"/>
        <b/>
        <color rgb="FF000000"/>
        <sz val="11.0"/>
      </rPr>
      <t>Update 8/17：Qualcomm Upload on Create Point on 8/17</t>
    </r>
    <r>
      <rPr>
        <rFont val="Georgia"/>
        <color rgb="FF000000"/>
        <sz val="11.0"/>
      </rPr>
      <t xml:space="preserve">
</t>
    </r>
    <r>
      <rPr>
        <rFont val="Georgia"/>
        <b/>
        <color rgb="FF000000"/>
        <sz val="11.0"/>
      </rPr>
      <t>Root Cause：</t>
    </r>
    <r>
      <rPr>
        <rFont val="Georgia"/>
        <color rgb="FF000000"/>
        <sz val="11.0"/>
      </rPr>
      <t xml:space="preserve">1.Qualcomm Design Spec Release not follow Schedule, 
</t>
    </r>
    <r>
      <rPr>
        <rFont val="Georgia"/>
        <b/>
        <color rgb="FF000000"/>
        <sz val="11.0"/>
      </rPr>
      <t>Solution：</t>
    </r>
    <r>
      <rPr>
        <rFont val="Georgia"/>
        <color rgb="FF000000"/>
        <sz val="11.0"/>
      </rPr>
      <t>1.Follow up Qualcomm</t>
    </r>
  </si>
  <si>
    <t>[S2]Chiron BSP 24.2Hours/Latam UMTS, 21.6Hours in China UMTS on 7.0 User Mode on 3300mah.
Solution:1.3600 maH now</t>
  </si>
  <si>
    <t xml:space="preserve">[S2]Issue:CE FM mode CS/RS (EN55035) test Fail
Clue:
Root Cause:FM IC demodulate the AM radio
Solution:1.
Conclusion:Sportan cancel the test item.Closed
</t>
  </si>
  <si>
    <r>
      <rPr>
        <rFont val="Georgia"/>
        <b/>
        <color rgb="FF000000"/>
        <sz val="11.0"/>
      </rPr>
      <t>[S3]Risk:</t>
    </r>
    <r>
      <rPr>
        <rFont val="Georgia"/>
        <color rgb="FF000000"/>
        <sz val="11.0"/>
      </rPr>
      <t>CE ESD Usb Link Fail
Verification:on-going 
EVT pretess ok</t>
    </r>
  </si>
  <si>
    <t>[S2]Issue:
SM6150 Can’t support Mods Projector on Original Architecture
Root Cause:
1.SM6150 Only Deploy 1 X4 Lane DSI
Solution:
1.Lattice ICE FPGA DP -&gt;My DP Convert Solution  - Will Verify on 10/20 if SW ready.
2.Discrete Solution without Lattice ICE,Principle Verified on Demo Pass.Reserve Solution in EVB. -Will Verify on 10/20 if SW ready</t>
  </si>
  <si>
    <r>
      <rPr>
        <rFont val="Georgia"/>
        <b/>
        <color rgb="FF000000"/>
        <sz val="11.0"/>
      </rPr>
      <t>[S3]</t>
    </r>
    <r>
      <rPr>
        <rFont val="Georgia"/>
        <color rgb="FF000000"/>
        <sz val="11.0"/>
      </rPr>
      <t xml:space="preserve">Issue:BSP 7.0 Simulation Shows 23.9Hrs on Latam UMTS
Root Cause:
          1.No Space on Y+ for Battery because of Camera
          2.No Space on Y- for battery because of Mods&amp;CPU+Memory 
Solution:
Narrow down PCB Bridge and expand battery on X+ by 1.3mm
1.Put some low speed Signal on bottom Surface Layer
                 2.Attach 1 Copper on this layer to shield
Value: Benefit 70mA increase up to 3570mah,Cost up $0.04. 
BSP on Target achieve all day life.
</t>
    </r>
  </si>
  <si>
    <t>Design Element</t>
  </si>
  <si>
    <t>Design Element 2</t>
  </si>
  <si>
    <t xml:space="preserve">[S3] TOF&amp;NFC   do not work sometimes on sofia+ B2B SKU
Clue: 1.   TOF&amp;NFC share same I2C ，and  SCL or SDA   hold LOW when issue reproduce
          2.   issue happen after NFC reset (found by our reproduce)，also found on normal read operation（SW Reproduce）
          3.  Racer have Same issue . 
Root cause:
1.  NFC FW Issue
Solution:
1.  Correct NFC FW
</t>
  </si>
  <si>
    <t xml:space="preserve">[S2] DVT1B Sofia ALS-PS wheel test fail   sometimes IKSWQ-39589  IKSWQ-39294       
Clue: 1.   90 degree report 103 (device 3 ) &amp; 241 (device 2)while it should be  5000+
Root cause:
1.  
Solution:
1.   </t>
  </si>
  <si>
    <t xml:space="preserve">[S3]PVT sofia NA Display missing pixels,unable to recover.
Clue: 
1. -15kV AD on FPS area, with display panel facing coupling plate.
2. Not appeared in all of sofia na and sofia plus EDU03 tests before. fial rate 1/68.
3. There is display issue in sofia row, with the same phenomenon.
Root cause:
1. maybe display driver IC damaged, waiting founder FA.
Monitor PVT 2nd source test </t>
  </si>
  <si>
    <t>[S2] DVT2 Sofia NA ALS-PS no function   after ESD ESU03
Clue:1. sensor damaged. INT pin =26R &amp;500R  VS normal xMR
          2.check with ME the Glue width maybe different with Normal one
          3. 
Root cause:
1. proposal :Glue width is too small  .    --ME is checking with Factory
Solution:
1.  proposal :improve the Glue width ,change to the width similar to DVT1 or sofia plus
PVT: 2nd source pass.  close</t>
  </si>
  <si>
    <r>
      <rPr>
        <rFont val="Georgia"/>
        <color rgb="FF000000"/>
        <sz val="11.0"/>
      </rPr>
      <t xml:space="preserve">[S3] WH120786 DVT2 (2 fail/6 units),  WH121714(2 fail/4 units) PVT Sofia Plus unit cannot power on after ESD @15KV Air
Clue:1.Unit always enter 9008 mode; cannot recover .
         2. According to UART log, boot config error
         3.CPU bootconfig pins （SPK &amp; REC Smart PA INT 2 pins） Diode parameter abnormal （Fail unit 0.4V VS normal unit 0.6~0.7V  ）
         4. CPU GPIO_118 short to GND，TOF_RST . checked EDU03 D1&amp;D2 ,same fail.
Root cause:
1. Boot Fail due to boot config error that because of CPU GPIO_118(TOF_RST_N) short to GND 
2.1 Camera lens deposit is conductive in DVT2, making ESD reach TOF IC unit.
     exp:Change conductive deposit to non-conductive in PVT,fail.
2.2 Gap exit between lens and lens holder.
      exp:Red-dye immersion observed.
      conclusion: The interference between TOF rubber and camera lens is 0.27mm. </t>
    </r>
    <r>
      <rPr>
        <rFont val="Georgia"/>
        <color rgb="FFFF0000"/>
        <sz val="11.0"/>
      </rPr>
      <t>The Elastic force of TOF rubber is greater than adhesion of clue.</t>
    </r>
    <r>
      <rPr>
        <rFont val="Georgia"/>
        <color rgb="FF000000"/>
        <sz val="11.0"/>
      </rPr>
      <t xml:space="preserve">
3.1 anti-esd of Camera lens Double-sided adhesive become weak after temperature shock
      exp:RD Evaluate 2 units. Result:No issue before temp shock but both have issue after temp shock.
      exp: TCC Evaluate 3 units(factory pressure maintaining units). Result:No issue before temp shock but 1 unit has issue after temp shock.
      exp:Change adhesive with good temperature performance(PET-&gt;PSA).fail.
      exp:expand lens double- sided adhesive,0.6mm-&gt;0.9mm, Result:Rd evaluate fail
      exp:PET-&gt;PSA ; widen adhesive 0.6-&gt;0.9mm; expand lens double-sided adhesive thickness,0.15mm-&gt;0.2mm , RD evaluate pass.
      </t>
    </r>
    <r>
      <rPr>
        <rFont val="Georgia"/>
        <color rgb="FF00FF00"/>
        <sz val="11.0"/>
      </rPr>
      <t xml:space="preserve">TCC test pass 6/6 units. </t>
    </r>
    <r>
      <rPr>
        <rFont val="Georgia"/>
        <color rgb="FF000000"/>
        <sz val="11.0"/>
      </rPr>
      <t xml:space="preserve">
      2 units ESD fail before thermal shock. These 2 units have been tested MDu52(Environmental / Chemical Susceptibility), which influenced the clue performance.
3.2 Speculation: TOF Rubber too hard?
     Exp:PET; widen adhesive 0.6-&gt;1.1mm; expand lens double-sided adhesive thickness,0.15mm-&gt;0.2mm; 60' hardness;RD evaluate pass. camera lens lift up 0.01~0.02mm.
     Exp:PET; widen adhesive 0.6-&gt;1.1mm; expand lens double-sided adhesive thickness,0.15mm-&gt;0.2mm; 50' hardness(softer); RD evaluate pass. camera lens does not lift up.
Solution:
 1. -adhesive change from PET to PSA ；
     -widen Camera  lens double -sided adhesive , 0.6mm-&gt;0.9mm；
     -and thickness change from 0.15mm to 0.2mm； 
     TCC test pass 6/6 units. 
2. -PET adhesive(lower cost than PSA)-Lower Cost
    -widen Camera  lens double -sided adhesive , 0.6mm-&gt;1.1mm；
    -thickness change from 0.15mm to 0.2mm；
    -reduce hardness of TOF rubber, 60 -&gt; 50, running change.
    RD test pass 4/4 units.(45min 75'C thermal shock, 10 times). 
   </t>
    </r>
    <r>
      <rPr>
        <rFont val="Georgia"/>
        <color rgb="FF00FF00"/>
        <sz val="11.0"/>
      </rPr>
      <t>TCC test pass, 4 1st sourcing units, 4 2nd sourcing units.</t>
    </r>
  </si>
  <si>
    <t>[S3]sofia some 3rd part charger can not charge(not standard QC 2.0 or QC 3.0 Charger)
Clue:
1.  waveform check charger output   12V in QC3.0 Authentication process （which should be 5V  in normal charger).
2.  External OVP open when Vbus get 10.3V ，and the charge drop(PMIC can not get the OVP information)
3.  no problem on moto standard QC 2.0 &amp; QC 3.0 charger
Root Cause:  this 3rd part charger  is not standard QC 2.0 or QC 3.0 Charger.it output 12V when phone is doing QC3.0 authentication .
Solution:
   1.    HW：External OVP change to 13.2V from 10.3V  (PMIC can get OVP information when Vbus go above 10V.and it can protect  &gt;16V Vbus too,which would make PMIC damaged.).  HW solution Import from Sofia+ DVT2 and sofia PVT .
  2.    SW : workaround ：when PMIC get OVP ,SW retry with no QC2.0 or 3.0 support . and charger will out 5V all the time. (New SW can work with New HW  units)
Other projects impact : it impact platforms with PMI632 or other low OVP PMIC which require external OVP IC. have synced the HW change to Sofia ROW yet .</t>
  </si>
  <si>
    <t>[S3]Issue: After +8KV air discharge at zone16 (Aging 10 ), fingerprint reader no function,recovered after reboot.
Clue:
Root cause: Egis sensor dead-loop after ESD.
Solution:1. Enhance GND;  
PVT TCC test Pass</t>
  </si>
  <si>
    <t>[S3]Issue:
WH119393 EDU03 In final EIS test, LTE band5,band12,band13 div antenna degradation exceeds 3db, and TIS value is also out of spec.
Root cause:
1. ANT DIV tuner damaged.
2. Layout is not the best design. Varistor + 0ohm. DVT2 optimize and monitor.
3. Inlay clue shifts down 0.15mm, making DIV ANT outside. DVT2 optimize and monitor. 
4. If still fail in DVT2, change back to TVS128.
Low risk No change  ,monitor  PVT   test</t>
  </si>
  <si>
    <t>"[S3]Issue: 
DVT2 bulit CQA test SX9338 function abnormal: CH0/2 always triggers, CH1 never triggers
Clue:
1. Factory SW works well for SX9338 units in Xiamen 
2. Function ok when change back to SX9331.
3. Samples for factory and Xiamen download firmware in different way
4. Recheck firmware of SX9338 sent to factory
5. 
Root Cause:
1. Firmware download wrong because of upgrade fixture in Semtech work abnormally.
2. 
Solution:
1. Replace the wrong ones to right SX9338   
"</t>
  </si>
  <si>
    <t>[S3]Issue:  DVT EDu13 - Battery Performance at Various Temperature        WH119426
             D1 auto power off after 1 hour -10C discharging(run Auto Cycle), the voltage is 3.66V
Clue:
The discharge time is judged according to the log time, but it fails due to the dislocation of the log time.
The actual battery capacity is reasonable.
Root Cause:
The log time of the software is out of place, which causes the result to fail.
Solution:
Retest result pass</t>
  </si>
  <si>
    <t>"[S2]Issue:  WH119836 ALT light sensor and P-sensor no function  B3( 5）
Clue:
Root Cause: P-Sensor fall off
Solution: ME own further analysis</t>
  </si>
  <si>
    <t xml:space="preserve">[S3]Issue: 
WH119393 EDU03 light sensor and P-sensor no function,unable to recover.D3( +8KV air Zone10, left side of unit)
Clue:
1. Not reproducible on other 2 units, with 100 times 15kV AD on zone10 and in calling mode.
2. P/L sensor shares the same voltage source with SAR sensor. Sar sensor functions well.
3. P/L sensor shares the same I2C wires with M sensor and A+G sensor. M sensor and A+G sensor funcion well.
4. No Relative Issue on Previous 6 Edu03 
5. Re-Work P-Sensor Sample?
Root Cause:
1.P/L sensor fail after cross validation. MB is well funtioning.
2. P/L sensor INT resistence is 98 ohm. Normal one's is infinity.
3.Speculation:Re-worked P/ALS-Sensor?- ESD protection device damage in INT pin
Solution:
</t>
  </si>
  <si>
    <t>[S3]WH119444 Sofia NA SS DVT1B ALT   B3(4)     
    Weak vibration.    WH119693 sofia +AT&amp;T D8(400)
Clue:
1. Fail follow PCBA
2. waveform check it should be inductor PL6502 issue
3. open shielding case and found inductor is glued on shielding case inside. and PL6502 broken
Root Cause: Underfill operation problem cause inductor PL6502 broken 
             suggest :ME  check glue with BB 
Solution:
   1.    change Underfill operation to avoid glue on Inductor PL6502</t>
  </si>
  <si>
    <t>[S3]Issue:  WH119444 Sofia NA SS DVT1B ALT A5(4)        A5:Drop bottom left corner
Volume + button no function.
Clue:
1.  check Sidekey FPC , press V- ,net open to gnd.  FPC issue
2.FPC Wire crack (check finger to SMT pad open)
3. 2nd source Helitai FPC.
Root Cause:
    1. ME own further analysis
Solution:
   1.    ME own further analysis</t>
  </si>
  <si>
    <t>[S3]Issue:  WH119444 Sofia NA SS DVT1B ALT B3:After TH/TC
USB charging is normal, but fail to connect computer.
Clue:
1.  can not power on when get the phone .
2.plug in USB  and press V- can go into Fastboot mode. But not usb port found.
 3. Failure follow FPCA . FPCA issue
4.2nd source Helitai FPC.
Root Cause:
    1. ME own further analysis,monitor
Solution:
   1.    ME own further analysis,monitor</t>
  </si>
  <si>
    <t>[S3]Issue: Sofia NA cannot read SIM after DVT1B Tumble Test WH119323  D5(275)
Clue:
1. SIM_RESET wire broken.(remove CPU)
Root Cause:
    1.Inner Layer PCB Delaminated 
    2.1 Proposal :RF Shielding case pseudo soldering 
    2.2 High PCB Strain on Shielding Corner.
Solution:
   1.   Proposal : Shielding case SMT improve--SMT Engineer  checked SMT is ok. No need change.
   2.  ME change cpu thermal copper to thermal grease to reduce PCB Strain .monitor test(sofia+ DVT1B  )---ME
   3. change USIM1_reset wire width to 0.15mm from 0.05 mm in DVT2 V05 PCB--BB-done</t>
  </si>
  <si>
    <t>[S3]Issue:Sofia + NA FPS no function after DVT1B  ALT WH119628，A2(5),A5(5)
Sofia  NA FPS no function after DVT1B  ATT Drop WH119363，D10(54)
Clue:
1. issue unit &amp; good FPS module, FPS no function; issue FPS module &amp; good unit, normal FPS function. Bad MB!
2.  A2 :SPI_CS open to GND, A5:SPI_CS pin R is not stable. D10: SPI_CS open to GND
3.Remove CPU and check :A5 ,SPI_CS wire crack
4.Cross section : BB shielding case right bottom corn :A2 &amp;D10 Via 2-4 crack ;A5  Layer 2 wire crack ; 
Root Cause:
1.Inner Layer PCB Delaminated
2.High PCB Strain on Shielding Corner.
Solution:
1.Remove sensitive line under the shielding corner on DVT2 PCB V05.-done</t>
  </si>
  <si>
    <t xml:space="preserve">[S3]Issue: Sofia NA FPS no function after DVT1B Tumble Test WH119323  D7(150)，WH119323 D5（300）
Clue:
1. issue unit &amp; good FPS module, FPS no function; issue FPS module &amp; good unit, nomal FPS function. Bad MB!
2. D7 MISO,MOSI,INT, 3 signal pins on MB BTB connector, no diode character and open to GND. Route broken?
3. D5 MISO, 1 signal pin on MB BTB connector, no diode character and open to GND.
4. remove CPU and check if wires are broken?--- wire broken.
Root Cause:
    1.Inner Layer PCB Delaminated 
    2.High PCB Strain on Shielding Corner.
Solution:
    1.Remove sensitive line under the shielding corner on DVT2 PCB V05. -done
</t>
  </si>
  <si>
    <t xml:space="preserve">[S3]Issue: Sofia+ DVT1 DVT MXc03 - Power Cuts Impact Test ,WH118750 D2 ,  WH118615  D2 ,after right 2500 times:Gyroscope sensor fails Parametric test 
Clue:
1.WH118750 D2 Gyroscope-sensor channal 0&amp;1 ok , channal dont change.  
2. Sofia NA no such failure found so far.
Root cause: 
            1.IC Broken
                  Exp1.1  change a A+G  on ok PCBA to   WH118750 D2 ,D2 ok .     
                  Exp1.2  " Fail IC "  on ok PCBA ，fail .  So failure follow  " Fail IC "                           
            2.1 Speculation:Outer Force Crack? Z Axis not enough air gap 0.17mm?
                  Exp2.1 check  if there is some crack on fail IC  
                  Result:No Crack Observed ,  Conclusion:na
                  Exp2.2 Adding more air gap on Z axis. and retest. - guilin/dengling ,date :09/23
             2.2 Speculation: IC Issue? sent  " Fail IC "  to Vendor for further analysis---shengnan
                  Result:No Crack Observed ,  Conclusion:na
Solution:
1. </t>
  </si>
  <si>
    <t>[S3]Issue: Sofia DVT1 build P-sensor  some units CT too high ,data? 2/ ?  DVT1A, 4/? DVT1B   ?/? DVT2
Clue:
1.  Re Assembly Display,Disapear
2.  Is it a real Issue? Check 6Sigma Distrubution Range.-Xiong
3.  Some DVT2B units with high CT really has problem, such as P sensor shielded by glue, FPC gloden finger hided
Root cause:
1. speculation:  
    exp3.1: CT high limits units were real abnormal.
    exp3.2: collect all the test data, limits adjust.  
Solution:
1. it's not a real issue, CT distribution is a range, and should be adjusted according to the collected data. 
2. Real abnormal ones should be reworked.</t>
  </si>
  <si>
    <t>[S3]Issue: Sofia+ 2 pcs stylus stylus detected as plug out when full insertion during CQA.
Clue: fail follow FPC
Root cause:1pcs  FPC  ，no hall IC on FPC ，FPC Vendor hongxin  issue .  the other one check :seems same issue now
Solution:FPC Vendor hongxin  fix this issue</t>
  </si>
  <si>
    <t xml:space="preserve">[S3]Issue: Sofia+ 3 pcs/50pcs stylus detected as plug out when full insertion during CQA.
Clue:
1. issue follow stylus
2. X-ray show magnet distance deviation 0.16MM /-0.15MM compare with normal one
3. 7mm insertion detect, 5mm normally
Root cause:
1. speculation: stylus torllerance beyong spec?
    exp1.1: measure defect unit, result:by 9/9  conclusion:TBD
2. speculation: angular magnet assembly ME own
3. speculation: magnet field strength over spec
    exp3.1: compare Teslameter reading between normal and defect 
Solution:
1.WorkAround(9/6 ME Change Dead line),Y+ add more 1.5mm Spacing, Now 2.81mm between Magnet &amp; Hor。Need change Sidekey FPC,FPC Change Confirmed. 
</t>
  </si>
  <si>
    <r>
      <rPr>
        <rFont val="Georgia"/>
        <color rgb="FF000000"/>
        <sz val="11.0"/>
      </rPr>
      <t xml:space="preserve">[S3]Issue: Sofia+ unexpected auto power off after ESD(8kV CD) on camera deco.
Clue:
1. Flash LED and TOF are high risk component, which are nearest with camera deco.
2. remove Flash spr, issue could still be reproduced.
3. remove TOF and reserve interposer, issue could not be reproduced.
4. Discharge on TOF I2C pins directly(4kV AD), issue could be reproduced, with same fail logs, while could not on RST/INT.
Root cause:
1. Camera deco discharge on TOF unit, causing I2C interferred
Exp1.1:Adding TVS on I2C,Pass.
Exp1.2:change TVS to 18pF or 33pF cap, fail
Exp1.3:Series in Resistor 100R, DVT2 Verify
Solution :1.Add 2 TVS on I2C ,04B PCB . </t>
    </r>
    <r>
      <rPr>
        <rFont val="Georgia"/>
        <color rgb="FF00FF00"/>
        <sz val="11.0"/>
      </rPr>
      <t xml:space="preserve">pass
</t>
    </r>
    <r>
      <rPr>
        <rFont val="Georgia"/>
        <color rgb="FF000000"/>
        <sz val="11.0"/>
      </rPr>
      <t xml:space="preserve">2.Remove Conductive Camera Deco
</t>
    </r>
  </si>
  <si>
    <t>[S3]Issue: DVT1A Soifa NA (WH118735) :Unable to power on A5(1),B2(1),B3(1)
  A5,B2,B3:drop back side.
Root cause: 1.PMIC Crack，all of 3.
Solution:Feedback to ME</t>
  </si>
  <si>
    <t>[S3]Issue: DVT1A Soifa NA (WH118493) :Unable to power on.A5(4)  (Unexpected auto power off first A5:drop back side
,and then after drop right side,can not power on)
Root cause: Solder Crack
Solution:Feedback to ME，ME Follow</t>
  </si>
  <si>
    <t>[S3]Issue: DVT1A Soifa NA (WH118794) :Unable to power on.B1(2)
Root cause: 1.Pmic Crack Vertically
Solution:Feedback to ME，ME Follow</t>
  </si>
  <si>
    <t>[S3]Issue: DVT1A Soifa NA TMO drop(WH118494) FVCT11
Sofia NA:Unable to power on.D10(28)
Root cause: 1. PMIC Crack
Solution:ME Follow
Action:</t>
  </si>
  <si>
    <t>[s3] why sofia na using 3+4+3 PCB Layers while sofia row using 2+6+2 which lead to cost up 0.4$-0.5$?
clue:Sofia NA PCB design is compatible with Sofia+ NA/row
clue:NSMD on Memory and CPU in Sofia Row
RootCause:1) PI/SI Simulation not Pass
2)SMD</t>
  </si>
  <si>
    <t>[S3] Sofia NA 54 Pin VS Sofia Row 40 Pin
Root Cause:1.FM+Audio Jack
2.1ME : Ensure Audio Second SPKer on top
2.2 Proposal:PCB Compact Design
3. Sofia Row Reference Sofa NA ,Have some Improvement later.
Solution: 0.006$</t>
  </si>
  <si>
    <t>[S3]Issue:  Sofia+Unable to power on- WH118591,  B3(5)"B3:after shaker back side."
Clue:
1. AVDD of PM6125 is reducing,off current is 0.13mA
2.Press PM6125 ,AVD hold at 1.8V ,and can power on
Root cause:
1.  PM6125 solder crack 
2. ME stress to high on PM6125
Solution :
1. ME use thermal  Grease(Old solution is 9X11)  on CPU to reduce stress on PM6125
2. Backup : add underfill on PM6125</t>
  </si>
  <si>
    <t>[S3]Issue:  Sofia+ Unexpected auto power cycle on- WH118591, A3(4),B1(4),B3(5)"A3:drop back side.B1:drop right side.B3:after shaker back side."
Clue:1.check with log，shows XVDD_SHUT down，maybe battery is absence or VBAT or B_PLUS short to GND
          2.Press all shield case of PCBA with great strength ,not reproduce auto power cycle on 
          3.Drop the phone from 1.5m height for 20 times,not reproduce auto power cycle on
          4.No issue found from DVT1B  
Root cause: 1.Speculation: Solder Crack
           Exp1.1:Red-Dye PMIC , Result:No issue found on PM6125          
Solution:1. 
           No reproduce . severity low . close</t>
  </si>
  <si>
    <t>[S3]Issue:  Sofia+ headset abnoraml when used 02b sub board
Clue:1.  The mic which striked form sub board is ok
          2.  The mic hold on the pcb is 
Root cause: proposal 1 ,ME design no buffer with Audio BOX in EVT  causing D501 crack
Solution:1. DVT1 ME check  gap between Audio BOX and D501 is ok.  
         Action:TCC  resubmit 2 D501 ok units double check ----1A pass ，2A fail and D501 damaged .</t>
  </si>
  <si>
    <t>[S3]Issue: Soifa+ uplink no signal on headset mode used 02b sub board
Clue: The mic which tear down from board is ok.
  Root cause: The mic hold on the 02b sub pcb is blocked off, PCB vender process error.</t>
  </si>
  <si>
    <r>
      <rPr>
        <rFont val="Georgia"/>
        <color rgb="FF000000"/>
        <sz val="11.0"/>
      </rPr>
      <t xml:space="preserve">[S3]Issue:  
EVT ESD Sofia NA(WH117724) 
1）didn't test front side since easy to auto power off while testing it except display area
2）unexpected auto power off：D4(+8KV Air Zone16）
Root cause: 
1. JTAG is interfered by ESD. In detail, a loop </t>
    </r>
    <r>
      <rPr>
        <rFont val="Georgia"/>
        <i/>
        <color rgb="FF000000"/>
        <sz val="11.0"/>
      </rPr>
      <t>made up of JTAG wire on Layer 9 and Layer 2</t>
    </r>
    <r>
      <rPr>
        <rFont val="Georgia"/>
        <color rgb="FF000000"/>
        <sz val="11.0"/>
      </rPr>
      <t xml:space="preserve"> is interfered.
Exp1.1:Cut JTAG Wire in Layer9 and Test. Result:No Issue. Conclusion:R1 Confirmed.
Solution:
1. remove JTAG in Sofia+ DVT1A BR37327, monitor in TCC test.
Test pass</t>
    </r>
  </si>
  <si>
    <t>[S3]Issue: TP no function after ESD.
Clue: 
1. +8kV AD on TP IC area, and -15kV AD on FPS area, with TP facing down.
2. NO INT signal to AP when touching. SPI is well functioning.
Root cause:
1. TP enter big palm mode, and filtering any input outside.
Solution:
Updating TP firmware to V06. Verify ok.</t>
  </si>
  <si>
    <t>[S3]Issue:  Edu04 Reverse Polarity Test Fail in EVT WH117718
Clue:1.  fail units D501 crack  2.RD units test pass 
Root cause: proposal 1 ,ME design no buffer with Audio BOX in EVT  causing D501 crack
Solution:1. DVT1 ME check  gap between Audio BOX and D501 is ok.  
         Action:TCC  resubmit 2 D501 ok units double check ----1A pass ，2A fail and D501 damaged .</t>
  </si>
  <si>
    <t xml:space="preserve">[S2]Issue: can not open flash led during test in the factory sometimes
Clue:1. when the issue happens, need to take off the battery. Root , power off b no help 
          2. Usb_in_mid voltage is 5V  ok (VDD_flash),but Flash_led1 0V，no output
Root cause: 
       1. proposal: Sw check the logs        6/21
        Exp: SW update         ,Result:   No SW error find  ,Conclusion: May hw issue
        2. proposal: PMI632 SW or HW issue ,need Qualcomm support   6/23
        Exp: SW update         ,Result:  0xd308 shows  OVLO  Conclusion: May usb-in_mid &gt;5.5V 
       3. proposal: check usb_in_mid voltage     6/23
        Exp: SW update         ,Result:  max 5.1V   Conclusion: may Pmi632 mis-trigger
      4. proposal: modify OVLO threshold to 6V    6/24
        Exp: Flash ok         ,Result:  flash led function ok   Conclusion: internal comparator mis-trigger
      5.   proposal: adb shipmode to cut off B_plus ，try to repair NG phone   6/28
      Exp: can fix the issue     ,Result: no help    Conclusion: may PMI632 Vbat circuit error
       6.   proposal: May PMI632 Vdd_Gen issue which leads to VIB &amp; flash no function ,try to check sleep leakage  7/3
      Exp:    ,Result:      1  poweroff leakage 103mA，1 poweroff leakage104mA   Conclusion:PMIC VBAT current leakage 103mA,Qualcomm make sure it's VDD_Gen issue
Solution:
1.	产线操作方法管控降低不良率： 组装电池完成后，扣上电池连接器，然后完全拔掉，过1s后，再重新扣合上电池连接器
昨天产线实验数据： BE17线Sofia+  1750Pcs，不良2Pcs，F/R:0.11%
BE02线 sofia na， 1000pcs，不良0Pcs，F/R: 0%
    从数据上看有挺大的改善。
2.	简化不良机修复方案： 不良机可以通过放电到自动关机后，再放置2小时，使电池过放保护，达到VBAT断电，之后再充电，开机。这种方案不用拆机，减少人力和物料消耗。
怀玉这边有安排试了 7台不良机如上操作，闪光灯可以恢复正常。
短期方案如上，请车间从成本和人力上选择最合适的方案，建议是2种方案搭配用。谢谢了。
</t>
  </si>
  <si>
    <t>[S2]Issue: Unexpected auto power off- Sofia+(WH117750）B3(1) 
Clue:1. It can be turned on normally.but Display abnormal
          2. The log shows can't  read the ID of display, and advise me to update SW
Root cause: 
       1. proposal: update  SW to the new  version 
        Exp:SW update ,Result:OK ,Conclusion:Maybe SW issue
Solution:
       SW ,Closed</t>
  </si>
  <si>
    <t>[S3]Issue:  Sofia   auto power  power off  1 time , WH118417 D4,D10 （TMO Drop） ，top side drop
Clue:1. Can not reproduce
Root cause: 
Solution:1. 
Action:</t>
  </si>
  <si>
    <t xml:space="preserve">[S3]Issue: Unable to power on-WH117715 (sofia na) A6（4）  post shaker inspection. IKSWQ-4345
Clue:1. always Auto power cycle   ,check by chenwt 8/1 .SW  checking log  (power about 28S and then  power cycle)
Root cause: 1.Speculation modem or wifi block problem
 EXP1: SW erase modem and can power up 100+s ,and then  power cycle . It should modem block problem
2 Speculation:Solder Crack.
Exp2. Red-Dye done ,but no issue found .PCBA damaged.
Solution: Action follow DVT1A  ALT . 
DVT1A ALT no such issue found
</t>
  </si>
  <si>
    <t>[S3]Issue: Loudspeaker noisy. Sofia Na EVT ALT WH117715 ,B1(1)
B1(1)：
Root cause: 
1.Audio AMP Boost Broken(because of damaged boost inductor).
2.Boost Inductor laminated duo to partially glue between inductor surface and shielding case in drop test.
Solution: 
1.Feedback to ME to Check Glue Process. done
B2(1)：
Root cause:
1.Audio AMP Boost Broken(because of damaged boost inductor).
2.Boost Inductor laminated duo to partially glue between inductor surface and shielding case in drop test.
Solution: 
1.Feedback to ME to Check Glue Process. done</t>
  </si>
  <si>
    <r>
      <rPr>
        <rFont val="Georgia"/>
        <color rgb="FF000000"/>
        <sz val="11.0"/>
      </rPr>
      <t xml:space="preserve">[S3]
Issue1:  Front &amp; rear main camera no image  (Display Blank,unstable)  ALT WH117715B1(3),B2(4) ,A1(5) 
Issue2:  Front &amp; rear main camera no image  (Display Blank,unstable) ALT WH117750(sofia+)：A2(4) after drop    
Clue:B1:(N2SR010084) ,A1:(N2SR010083),A2:(N2PZ080020),B2: Not in hand
Clue: Front &amp; rear main camera reuse a mipi switch U5000.
Clue:Reproduce by Frozen U5000
Root cause: 
1.Proposal:U5000- CSI2 MIPI Solder Crack/U5000 VREG_L12A Solder Crack
EXP1.1: Reflow B1-U5000 ,can not reproduce by now. 
EXP1.2: Reflow A1-U5000 ,can not reproduce by now. 
Exp1.3:Cross Section Sofia+ A2 :F6 pin solder crack ,E6,A6 Partitial crack. 
Solution: 
</t>
    </r>
    <r>
      <rPr>
        <rFont val="Georgia"/>
        <color rgb="FFFF0000"/>
        <sz val="11.0"/>
      </rPr>
      <t>1. Sofia+ Glue U5000  ,Sofia NA TBD ,DVT2 no glue  tracking</t>
    </r>
    <r>
      <rPr>
        <rFont val="Georgia"/>
        <color rgb="FF000000"/>
        <sz val="11.0"/>
      </rPr>
      <t xml:space="preserve">
2.ME:Add Groove in Shielding Case---recheck WH18735,A4(5), U5000 solder crack </t>
    </r>
    <r>
      <rPr>
        <rFont val="Georgia"/>
        <color rgb="FFFF0000"/>
        <sz val="11.0"/>
      </rPr>
      <t>.   --solution2 can not solve Sofia+ issue.  Sofia NA  TBD ,waiting for DVT1B test</t>
    </r>
    <r>
      <rPr>
        <rFont val="Georgia"/>
        <color rgb="FF000000"/>
        <sz val="11.0"/>
      </rPr>
      <t xml:space="preserve">
</t>
    </r>
  </si>
  <si>
    <t xml:space="preserve">[S3]Issue: L-sensor no function after ALT EVT ALT Sofia NA(WH117715)，A1(5),B1(5)
A1：Can not reproduce 
Clue: LCD module is  tilted
Root cause: 
Solution:  
B1：reproduce 
Clue: ALS can work, but reading data in Qsensortest is very small. The reading in office is only 10lux and the normal ones are 300lux.
Root cause: ALS area is covered by rubber
Solution: 
1.ME confirm no LCD module   tilted  issue in DVT1A  
2.ME Evaluating not use rubber </t>
  </si>
  <si>
    <t>[S3]Issue: P-sensor no function after ALT EVT ALT Sofia NA(WH117715) ，B 3（5），B4（5）
B3：Can not reproduce 
Action： TCC for red dye test,unit broken，close.
B4： Can not reproduce
Clue:LCD module is  tilted(checked by ME Guilin) 
Root cause: 
Solution: 1.ME confirm no LCD module   tilted  issue in DVT1A</t>
  </si>
  <si>
    <t>[S3] Issue: rear main camera not work  after EVT Tumble Test WH11717, D4
Clue: 1. Main Camera I2C resistor abnormal. Should be wire crack
Rootcause：
    1.rear Camera can't work duo to I2C_SCL crack in inner layer under shielding case corner because of pcb strain
Solution：
    1.Remove L9 wires in this area ,Sofia Plus DVT1A Verify
    2.Change L9 wires in this area to Width no less than 0.3mm,Sofia Plus DVT1A Verify
    3.Feedback to ME  if any approach to reduce pcb strain，Done</t>
  </si>
  <si>
    <t>[S3] Issue:   wide&amp; rear main camera not work after EVT Tumble Test WH11717, D5
Clue: 1. Main Camera I2C resistor abnormal. Should be wire crack
Rootcause：
    1.rear Camera can't work duo to I2C_SCL crack in inner layer under shielding case corner because of pcb strain
Solution：
    1.Proposal:Modify Layout ：remove L9 wires in this area ,by 8/5
    2.Proposal:Modify Layout ：change L9 wires in this area to Width no less than 0.3mm,by 8/5
Duplicate with WH11717,D4,Closed</t>
  </si>
  <si>
    <t>[S2]
Clue: Front &amp; rear main camera reuse a mipi switch U5000.
Root cause: 
1.Proposal:U5000- CSI2 MIPI Solder Crack/U5000 VREG_L12A Solder Crack
Action： Cross section will be done ，Plan TBD
Solution:
1.Proposal:Glue U5000
2.Proposal:Reduce PCB Strain
Duplicate of Issue1:  Front &amp; rear main camera no image  (Display Blank,unstable)  ALT WH117715B1(3),B2(4) ,A1(5),Merged &amp;Closed</t>
  </si>
  <si>
    <r>
      <rPr>
        <rFont val="Georgia"/>
        <color rgb="FF000000"/>
        <sz val="11.0"/>
      </rPr>
      <t xml:space="preserve">[S3]7/31 TDD Noise Found in EVT 
Root Cause:
1.SPK Coil Couple by Electro Megnetic Interference
  Exp:Isolate and Loop Back SPK Coil P/N and Test  . Result:Noise heard. Conclusion:R1 Confirmed.
  Exp:Move SPK out of Phone, and Observe .Result:No Noise . Conclusion:R1 Confirmed.
2.1 Long Distance from Battery GND to PA
  Exp:Modify GND Sink Point closed to PA. Result:Pass ;Conclusion:R2.2 Confirmed.
2.2 Proposal:GND around SPK
  Exp:Eliminate GND Around SPK , Cancel Due to R2.2
Solution:
  1.Change GND Sink Point closed to PA.RD Validated Pass. </t>
    </r>
    <r>
      <rPr>
        <rFont val="Georgia"/>
        <color rgb="FFFF0000"/>
        <sz val="11.0"/>
      </rPr>
      <t>Monitor TDD Test on Sofia Plus DVT1A Units. (V03a  PCB)</t>
    </r>
    <r>
      <rPr>
        <rFont val="Georgia"/>
        <color rgb="FF000000"/>
        <sz val="11.0"/>
      </rPr>
      <t xml:space="preserve">
</t>
    </r>
  </si>
  <si>
    <t>[S3]Issue:  EVB  test , phone shoutdown when test ,face up ,Without charging
Clue:   1.can not reproduce With charging 2.face down ok
Root cause: ESD couple through Jtag connector with ground plan  because a backhousing hole.  
EXP: cover this hole ,RD retest pass. 
Solution:DVT1A there will be not a hole above the Jtag .</t>
  </si>
  <si>
    <t>[S3]Issue: Unexpected auto power off-WH117750 (Sofia plus NA) ：B3(1),A4(2) 
Clue: https://idart.mot.com/browse/IKSWQ-3900
B3:drop right side. Units broken for TCC other test,can not try to reproduce.
Clue:1.SW log check ：1 user power off found  , but No useful log found.(very little log add in the SW now)
Root cause:Proposal 1.SW issue    
Solution: 1.Waiting for Android Q SW and recheck in DVT1A
A4:drop top side.Units broken for TCC other test,can not try to reproduce.
Clue:1.SW log check ：1 user power off found  , but No useful log found.(very little log add in the SW now)
Root cause: Proposal 1.SW issue    
Solution:1.Waiting for Android Q SW and recheck in DVT1A</t>
  </si>
  <si>
    <t>[S2]Issue: Unable to power on- WH117750(Sofia plus NA)  A6(1),B6(1),A5(3)after drop 
Issue1：B6:drop left side.
Root cause: 
1.Internal Reference Voltage Regulator AVDD Abnormal which lead to unable power on
2.PM6125 Crack observed duo to PCB Strain
Solution:
1.ME Follow
Issue2：A5: drop Top side.    N2PZ080004  can be power on, not reproduce  8/1 by  chenwt
Can't Reproduce.
Issue3：A6:drop back side.   
Root cause: 
1.PM6125 Crack duo to PCB Strain
Solution:
1.ME Follow</t>
  </si>
  <si>
    <r>
      <rPr>
        <rFont val="Georgia"/>
        <color rgb="FF000000"/>
        <sz val="11.0"/>
      </rPr>
      <t xml:space="preserve">[S3]Issue:  EVT build sofiaNA found 4pcs  Display  abnormal ,failure follow Main PCBA
Clue:
1.  Blacklight Driver inductor Or Diode damaged (3pcs inductor ,1 pcs diode )
2. Check Backlight circuit:
1).The inductor  PL5300 1.1A typical, 1.3A max,   The inductor choose is oK
2). sofia can't support display module hot-plug,  if battery on , then plug  display module, may lead LEDA(VBAT) short to GND, there will be a very big current, damage  inductor or  diode
3).  poweron without display,  the power VSP 5.5V /VSN -5.5V/VIO 1.8V/LEDA 24V etc are always on, then plug  display module, more power signal may short .need SW to modify
4) Check  Blacklight Driver setting :   
5) LM3697 has OCP( set at 1 A (typical). it'a hardware action.  But it's not useful for the short of Vout_LEDA to GND 
6）LED String （LED_K1 /K2/K3）short Detection is not work ,   the short decection can't report active， need  sw to check,  it may occupy system resources    
</t>
    </r>
    <r>
      <rPr>
        <rFont val="Georgia"/>
        <color rgb="FFFF0000"/>
        <sz val="11.0"/>
      </rPr>
      <t>7. RD  found 1pcs fail in assembly display module when unit power on   . ---Longhai</t>
    </r>
    <r>
      <rPr>
        <rFont val="Georgia"/>
        <color rgb="FF000000"/>
        <sz val="11.0"/>
      </rPr>
      <t xml:space="preserve">
Root cause: 
1. Proposal:Display Abnormal due to PL2500; PL5300&amp;D5300 Damaged.
2.Proposal:Power Supply Grounding lead to big current 
3.Proposal:Power Supply Grounding due to Hot-plug with battery   
Solution:
1 .Proposal:产线管控,拒绝带电插拔  ,Factory Informed. DVT1A Monitor
2.Proposal:SW update,shut off  power supply to display, when without a display module.(DVT1A cost down display LDO , L9A can't close),SW Imported.DVT1A Monitor
3.Diode  PMEG4005AESF 0.5A typical /0.71 max，Change the Diode to  Rohm RB161QS-40， 1A typical.  PMEG4005AESF 0.5A typical is not enough for HBM mode ,DVT1A Import and Monitor
No more fail found ，close</t>
    </r>
  </si>
  <si>
    <t>[S3]Issue: Phone auto power off after ESD at rec deco
Clue:
1. There are 3 parts that could be affected by rec deo second ESD: P sensor, LCD, receiver.
2. After removing P sensor, issue reproduced.
3. LCD recovery well fuctioned.
4. Receiver not GND to MB or middle frame.
5. Add conductive foam to enhance recevier GND, issue not reproduced.
6. This part of GND design is involved in EVB, but not be carried on in EVT.
Root cause: 
Receiver not GND to MB or middle frame.
Solution:
Add conductive foam to enhance recevier GND. rework test ok . import in DVT1A monitor</t>
  </si>
  <si>
    <t xml:space="preserve">
[S3]Issue: P sensor no function(permanent) after ESD at rec deco
Root cause: rec deco sencond discharge on P sensor IC
Solution: 
Proposal 1: cut rec deco edge to keep away from P sensor IC;
add discharge tip to LCD metal plate. Validate Pass. 
but will cost up too much . ME go with Proposal 2
Proposal 2:cut rec deco edge to keep away from P sensor IC;
add discharge tip near LCD metal plate.(0.5mm shorter than proposal 1 ) 
Risk :can not rework ,just can retest in DVT1A .
Test pass</t>
  </si>
  <si>
    <t>[S2]Issue:  EVB ：When in charging mode ,Battery NTC report about 45 degree   ，but Battery module real temp is 30 degree.
 Clue:  Vbus OVP heat when charging , maybe impact NTC detect.
Root Cause:
1.  Vbus OVP heat when charging impact NTC temperature
Solution:
1. change Vusb OVP IC to main board from DVT1  ----chenwt 
Battery NTC close to battery cell actual temperature.</t>
  </si>
  <si>
    <r>
      <rPr>
        <rFont val="Georgia"/>
        <color rgb="FF000000"/>
        <sz val="11.0"/>
      </rPr>
      <t xml:space="preserve">[S3]Issue: There is noise on the board when Display on,EVB  board+EVB Display module
 Clue:1. remove Display ,no noise.  It maybe  Bias current working noise. or Backlight driver noise.
           2.The noise only exist when use 2p8s panel,when use 3p6s panel is ok.
Root Cause:
2.SW setting is wrong for 2p8s panel:OVP set to 24V,which leads TI LM3697 output  some noise (5Khz to 10+Khz ,not fixed) . (TI LM3697) .
     issue in EVB Display module , not real issue
Solution:
1.  No need to change ,  sofia display module is 3P6S , the voltage of LEDA is 18V ,  24V  OVP is ok
</t>
    </r>
    <r>
      <rPr>
        <rFont val="Georgia"/>
        <color rgb="FFFF0000"/>
        <sz val="11.0"/>
      </rPr>
      <t xml:space="preserve">   waiting for an analysis link and then close---chang fangmei   Done</t>
    </r>
  </si>
  <si>
    <t xml:space="preserve">[S3]Issue: Sofia NA Cost VS Sofia Row,8$ Gap. Passive,Dll 0.56$, Sensor Gap 0.1$,PCB Gap:1.77$
RootCause:
    Passive ,DLL Gap 0.56$
1.1 Cap Sensor LDO, -0.0176$
1.2 FPS LDO ,-0.0176$
1.3 Cap Selection(BB), -0.087$
1.3 Buck Boost  ，-0.1$
1.4 Total Gap left : 0.34$
1.5 Proposal:RF Cap: 100pf  , etc ?
1.6 Proposal:RF Bead , ?
1.7 Proposal: RF Cap
    Sensor Gap 0.1$
2.1 M-Sensor &amp; A+G , Same Solution ,0$
2.2 Cap sensor: A96T346($0.25) vs SX9331($0.43)  (Gap: +$0.18); 
2.3 Psensor:MN58406($0.3)+26005($0.29) vs VCNL36866A($0.32)  (Gap: -$0.27); 
Sensor Gap Should be -0.09$,  GCM Issue
PCB Gap:
3.1 Design Gap
    Proposal:PCB Mainboard 10层2阶 - -20% ， -0.3$ ,  Drop Due to NA+Row more Complexity
3.2.1 GCM Negociation Gap
3.2.2 Vendor Selection 
3.1.Main PCB        $1.13        $1.96        $0.83
    3.1.1 Jack on MainBoard
    3.1.2 27W Turbo 
    3.1.3
3.2 Main Flex        $0.26        $0.71        $0.45
    3.2.1 
    3.2.2 40 Pin VS 54 Pin  ,1pin/1 cents
    3.2.3 Same Vendor  , Vendor Price .
    3.2.4 
3.3 Prox sensor FPCA        $0.00        $0.25        $0.25
     3.3.1 Need Confirm. 
3.4 SIM/SD Flex VA        $0.05        $0.00        -$0.05
     3.4.1 
3.5 Side Key FPC        $0.00        $0.44        $0.44
3.6 PCBs AND FLEXES, OTHER        $0.25        $0.09        -$0.16
Solution:
</t>
  </si>
  <si>
    <t>[S3]Issue: EVB SIM can not work:     
RootCause:1. No VSIM 2.NFC power supply design issue cause no Vsim output to SIM card
 Solution:  1.NFC change  2. Reserve  0R  for Vsim because there maybe not NFC in some sku.  (will be done by RF)</t>
  </si>
  <si>
    <t>[S2]Solution Risk:
    Doha DVT  issue:  GPIO97  config to INT function will cause CPU can not sleep .  QC case：04068560
RootCause: QC  SM6125 problem ,QC reply other Designer face the same problem , No solution From QC by 6/27
 Solution: change AUD_DSP_IRQ_N From GPIO97 to GPIO 45  before  Sofia NA EVT Gerber out.</t>
  </si>
  <si>
    <t xml:space="preserve">[S3]Solution Risk:
       USB OVP  2 ball input and output , 3A  charging current ok?
Solution:check with Vendor ， the test data show it is ok . </t>
  </si>
  <si>
    <t>[S2]Design Risk: Nomad Uplink performance .  
    Clue:Nomad=4.3 &gt;4.0 , Test Pass. No Risk.
RootCause:
    1.Mic Uplink noise lead to nomand loss
   Exp1.1: Rioh test result 
    2.1 Audio Codec Ground and Earphone GND Voltage Level difference
   Exp2.1:RIO-H Nomad Failure Issue FuPan ， Result: 82nH Inductor connect to Noisy GND , Conclusion: Noisy Audio GND lead to fail.
   EXP2.2: A40 Grounding design check  , Result:EarPhone GND loop back to Mainboard. Conclusion:Audio GND and Earphone GND should be the same voltage.
    2.2 Proposal: TDD noise algorithm duo to high TDD Issue    
    2.3 Floor Noise due to Sub PCB design 
Solution:
     1.Separate Audio Ground ,Validate Pass,No Risk.</t>
  </si>
  <si>
    <r>
      <rPr>
        <rFont val="Georgia"/>
        <color rgb="FF000000"/>
        <sz val="11.0"/>
      </rPr>
      <t>[S3]Design Risk:Upper limitation and low margin in DDR Routing Impedance
Clue:Micon 4+64 Pass Simulation
Root Cause:
1.Impedance control can't be with good margin due to  distance between layers.
2.Thickness Locked to 0.716mm duo to Cost Balance.
Solution:
1.DDr Eye-Diagram to validate  -BB/</t>
    </r>
    <r>
      <rPr>
        <rFont val="Georgia"/>
        <color rgb="FF1155CC"/>
        <sz val="11.0"/>
        <u/>
      </rPr>
      <t>SW
2.QC</t>
    </r>
    <r>
      <rPr>
        <rFont val="Georgia"/>
        <color rgb="FF000000"/>
        <sz val="11.0"/>
      </rPr>
      <t xml:space="preserve"> SI Simulation  -BB/QC
3.EVB H/L T Stress Test. - BB
</t>
    </r>
    <r>
      <rPr>
        <rFont val="Georgia"/>
        <color rgb="FF1155CC"/>
        <sz val="11.0"/>
        <u/>
      </rPr>
      <t>4.QC</t>
    </r>
    <r>
      <rPr>
        <rFont val="Georgia"/>
        <color rgb="FF000000"/>
        <sz val="11.0"/>
      </rPr>
      <t xml:space="preserve"> Can Fine Tune 1p by SW DDR REG Fine tune. if failed.
</t>
    </r>
    <r>
      <rPr>
        <rFont val="Georgia"/>
        <color rgb="FFFF0000"/>
        <sz val="11.0"/>
      </rPr>
      <t xml:space="preserve">    waiting for recheck and then close---Dongjiakun</t>
    </r>
  </si>
  <si>
    <r>
      <rPr>
        <rFont val="Georgia"/>
        <color rgb="FF000000"/>
        <sz val="11.0"/>
      </rPr>
      <t xml:space="preserve">[S2] Solution Issue:
PM prefer Sofia NA BSP Target=72Hours@50th but currently Sofia BSP=56.1 @50th
Root Cause:
1.BSP Output
Solution:
</t>
    </r>
    <r>
      <rPr>
        <rFont val="Georgia"/>
        <color rgb="FF1155CC"/>
        <sz val="11.0"/>
        <u/>
      </rPr>
      <t>1.PM</t>
    </r>
    <r>
      <rPr>
        <rFont val="Georgia"/>
        <color rgb="FF000000"/>
        <sz val="11.0"/>
      </rPr>
      <t xml:space="preserve"> Sync the Actual BSP. </t>
    </r>
  </si>
  <si>
    <t>[S2]Solution Risk:
     Pesnsor/REC Deco ESD 
RootCause:
1.Rec Deco Floating
2.P-sensor Closed to Deco
Solution:
1.Proposal:Extend Rec Deco GND more close to Display Shielding Can. EVT Verify.
EVT test fail ，new issue list，DVT1A go with reserved solution</t>
  </si>
  <si>
    <t xml:space="preserve">[S2]Solution Issue:
Use I3C  A+G that cost up 0.2$
Root Cause:
1.No SPI Interface support in SM6125 lead to use I3C
2.HIFI AR Core Require High Speed Data Bus.
3.Moto G Support HIFI AR Core Requirement to support Google App.
Solution:
1.Keep I3C Design
</t>
  </si>
  <si>
    <t xml:space="preserve">[S2]Solution Issue:
Discrete P-Sensor Solution totally Cost up 0.5$ 
Root Cause:
1.Discrete P-Sensor Cost up 0.3$,  CTP Cost up 0.2$
2.Narrow Gap on the forehead suggest by ME&amp;SME
3.Normal 3in1 P-Sensor Can't Fit.
4.FPC Can't Afford enough space.
Solution:
1.Using Laser Hole through 2 Layers , Meet Requirment.
</t>
  </si>
  <si>
    <t>[S3] Issue: EVB build always enter 9008 mode
Clue:9008 can blank flash ,but can not enter fastboot mode
root cause: GPIO118 pull high to L9A ,cause the Boot mode incorrect. 
solution:1. DNP  R5006 for EVB build  -done
                 2.  EVT sch  delete R5006--done</t>
  </si>
  <si>
    <t>[S3]
1.4 pin 版与2 pin 版的利用率 （方正使用2pin可以提高）
2.打孔的数量
3.贴片效率
4.打板的数量，华为4次，oppo 2次 ， 影响他的交付，
5.混搭大板和小板
5.阻抗线低于40um的，LDK，355D，射频要求45um以上，285.</t>
  </si>
  <si>
    <t>[S2]Issue:Game performance, Asphalt 9 high quality Display setting, FPS=22fps  ,VS 30FPS of Redmi K30
Clue:1.CPU big core almost not work ,just Small core working.  Vs Redmi K30 Big core working more.
        2. GPU working with full Frequence and usage . Vs  Redmi K30 not full frequence .
        3.Display module resolution:Nairobi  ：2520*1080；Racer 5G：2340*1080  ；Realme X50：2400x1080   ；Redmi K30 ： 2400x1080
suspect: 1. CPU block the performance 
   exp1：lock CPU CLKto higest always ，no improvement
2.GPU get too much work to do and too heavy .can not work well
   exp2：change Display setting 
         2.1 Use Sofia Display , issue gone . 
         2.2 setting Nairobi display resolution to 1920*864 on SW , issue gone . 
Root cause：SW didnot set Display Physical size ,and then Game make too much loading to GPU ,lead to FPS drop.
solution: Temp ：Set Display Physical size to 67*157mm in SW platform code , issue gone</t>
  </si>
  <si>
    <t>[S3]Issue:Second Vendor Micron 6+64, TombStone Issue found on 1 DVT1 unit from DFer. 
clue:
1.Total 661 pcs produced in 3T , Plan on 7/20 shipping request 2K.  Hynix is first vendor .
2.Memory FW 106
Root Cause:
1.UFS communication issue found through Log. Same symptom on Racer.
2.Micron confirm that FW 106 has one ufs timing compatible bug with QC SM7250(Though meet JEDEC）,  fixed in FW 109 and verified workable.
2.1 Shift Back this unit from BJ for furthur FA. 
2.2 SW judge the severity . 6/30
Solution:1:Using new FW 109 Memory in the following production .</t>
  </si>
  <si>
    <t xml:space="preserve">Issue: Build PROX_SENSOR_UNCOVERED_RADIO :CT  too large ,over SPEC
Clue: 1. CT  OVER SPEC issue  follow  LDA module (front housing+p-sensor+CTP)
           2. 1 unit component Vendor checked component is ok. 
Root Cause:  suspect 1 : assembly issue.
Solution ： </t>
  </si>
  <si>
    <t xml:space="preserve"> Issue: Thermal ,RF power limited in certification. 
Clue:  1.High temp test fail （should be Thermal config limited  RF power) 
Root Cause: 
Solution 1： </t>
  </si>
  <si>
    <t xml:space="preserve">Issue:ESD，PVT ATT SKU  WH127075   ，D2                            
1：The charging LED is always on after 15KV air discharge:1台  Zone 13
Clue: 1. Zone 13 ：face down ，upside
          2.  SOL_LED  work sync with it Power input VREG_BOB. suspect PM7150L damaged
Root Cause:  PM7150L damaged .  
Solution ： ME follow the glue quantity between front rim and front housing </t>
  </si>
  <si>
    <t xml:space="preserve">Issue:ESD，PVT ATT SKU  WH127075                       
2：unable to power on after 15KV air discharge：1台 Zone1 
Clue: 1.           a
Root Cause:  P-sensor power(L10A) abnormal impedance（ 660R）
Solution ： ME follow the glue quantity between front rim and front housing </t>
  </si>
  <si>
    <t xml:space="preserve"> Issue:  VZW  ,EN55035 ,CS  fail
Clue:   
Root Cause: 
Solution 1： change Volume. changed  by adb and retest pass</t>
  </si>
  <si>
    <t xml:space="preserve">Issue: DVT1  AR Core certification fail: calibration fail.
Clue: 1.calibration including camera &amp; A+G  sensor
           2.A+G sensor should be Invensence (2nd source which only build in DVT1 unit)
           3.Depth camera change in DVT1, the test phone are with old depth camera. 
Root Cause: Over limit, need calibration to decrease  raw_data into threshold (Same as Racer)
Solution ： Use adb command to calibrate A+G before AR Core test. </t>
  </si>
  <si>
    <t>[Monitor]  Issue: PVT EDu03【WH127058】
light and proximity sensor no function:D1(NNIE430147) (15KV, Zone1）
Root Cause:P-sensor  INT abnormal  ，Component damaged 
Solution 1：ME follow the glue quantity ( 0.33mm-&gt;0.5mm)</t>
  </si>
  <si>
    <t>[s3] Issue:Factory rework Umcp &amp;CPU  ,PCBA go into 9008 dirrectly  and can not download  （3 pcs  in 3pcs）
clue:1.Blankflash tool log show UFS initial fail ;2.uMCP is KM5V8001DM-B622  （didnt rework other memory）
3. AB swap(uMCP )， fail follow uMCP; 4. rework 1unit with hynix MEMORY，not reproduce （ODYSSEY use）
 5. non-secure phone，IFlash No Bonding with CPU and Memory ; 6.FW Status latest ;7.new ic ，while racer used too but not qualified
Root Cause: -Why Memory Can't Download after Blank Flash?
1.1 Memory Damaged? Conclusion:
Exp1.1: Failed Memory ReBalling and Welding back to Original Board and another new Board ; Result:Both Failed
Exp1.2：Samsung FA ; Result：FW OK,User Data UECC Error, Redownloading and Aging Test Pass.
Exp1.3 :Verify Issued Memory that sent back from Samsung; Result:Test Pass.
1.2 Welding Issue？Conclusion1.2:TBD
Exp1.2.1 Cross Section,TBD;
Exp1.2.2 Remove CPU,and Measure Impedence of each Memory Net on Failed Memory,TBD
Exp1.2.3 X-Ray ;Result:No cross welding
Exp1.2.5 Reballing Failure Unit and Reflow Oven,TBD
2.1 Over Temperature during Maintain Lead to Damage?
Exp2.1 Check Temperature and Duration During Maintain if over Spec;Result: No Feasible Repairing Heating Temperature of Memory in industry.
Exp2.2: Check IF Station Data,Result:No Issue
Exp2.3:Flash Bootloader ;Result:Pass with Memory Issue reported
Exp2.4.1:good unit,Heat and remove Shielding Case;Result:Failed. 
Exp2.4.2:Re-Flash and Boot Successfully.Welding Back Shielding Case,Result:Boot OK.
Exp2.5:Good Unit.Heat and remove shielding Case,Result:OK 
Exp2.5.Heat Memory directly for 100°C-320°C@50~100°C Step @&lt;30S ;Result:OK
Solution:1.Heating Temerature Control , 320°C ，&lt;30S
2.Factory Evaluate MVA increase 0.041RMB</t>
  </si>
  <si>
    <t xml:space="preserve">[Monitor]Risk:Nairobi Thermal on 5G Scenario
Clue:Heat Feedback on WeChat Video Talk and Teams Meeting etc.when 5G working on both Downlink and UpLink,5W+.Over 45°C when long time used.
Clue:Mdu30 Pass ,Except 5G Scenario duo to lack of 5G Environment in WuHan TCC.
Potential Root Cause:1.No 5G Thermal Standard &amp;Lack of 5G Environment in WuHan TCC
2.Raw Thermal Config without 5G mitigation
Precaution Measure:
1.5G SW mitigation , Solution confirmed,fine tune done on 5/28,Monitor </t>
  </si>
  <si>
    <t xml:space="preserve">[Closed] Risk:liberty Backlight damaged issue
Clue:DVT1-DVT2 no Issue feedback. Run in 100 units，No Issue.
Clue:Exp: PVT Run in 1000 , Monitor 6/?
Potential Root Cause:
1.Temperature,Over Heating on PM7150L or Switching Inductor?
Exp:Run in on 50 °C and Low brightness/High Brightness Switch stress test, Result:No Issue
2.OVP &amp;OCP when Mode Switching?
Exp:Signal Measure,Result:OVP Set 38.5V,OCP 1.75A,Vsw=58V,0.5S@30V,Function Normal@several Times ,Will Keep More Stress Test.
3.4X5 Leds VS 3X6 Leds？
Exp:After 1,2, Than Verify 3X6 , Result:TBD 5/26
4. Isat of Inductor？
Exp:Nairobi Inductor 1.2A, Current Drain=0.8A@Full brightness of Display ,Result:Meet Requirement
Cost: Murata 280% &gt; Samsung 200% &gt; MicroGate 100%(1.1 Cent)
Precaution Measure:1.SW Import Soft Start both on Power on and Wake up ,
2.Set OVP 20.5V,OCP 1.05A ,RD Verified OK
RD Verified Pass. DVT&amp;PVT&amp;MP Run in 2595pcs ,CQA Verified Pass, No Risk &amp; Closed.
</t>
  </si>
  <si>
    <t>liberty tech review link</t>
  </si>
  <si>
    <t>[S3]issue: Nairobi Thunderbolt USB port detect fail issue(SM7250)    。 
具体issue：Nairobi 5G项目，在部分电脑 雷电口可以识别USB， 部分电脑 雷电口不能识别USB。（目前测试 Lenovo 2台T470S ，还有1台T480电脑， 都有问题。 只有1台T490 电脑ok.） SW QC CR：Case Number 04621321 
Clue: 1.  SM7250平台的Racer 5G 同样的表现
        2. SM7250平台竞品手机情况： realme X50 ，readme K30  ，发现同样fail的问题， 故障波形一致。
3.有台T480电脑（liuyc20的电脑）原来不能识别，更新电脑的雷电口驱动后可以识别。 
Rootcause： SM7250 平台性 和 电脑 雷电口 的兼容性问题
solution:  待QC分析</t>
  </si>
  <si>
    <r>
      <rPr>
        <rFont val="Georgia"/>
        <color rgb="FF000000"/>
        <sz val="11.0"/>
      </rPr>
      <t>[Monitor]Issue: Adaptive brightness mode，brightness shows 0%,screen flash sometime
Clue： 1.</t>
    </r>
    <r>
      <rPr>
        <rFont val="Georgia"/>
        <color rgb="FFFF0000"/>
        <sz val="11.0"/>
      </rPr>
      <t xml:space="preserve"> Backlight current</t>
    </r>
    <r>
      <rPr>
        <rFont val="Georgia"/>
        <color rgb="FF000000"/>
        <sz val="11.0"/>
      </rPr>
      <t>=(</t>
    </r>
    <r>
      <rPr>
        <rFont val="Georgia"/>
        <color rgb="FFFF0000"/>
        <sz val="11.0"/>
      </rPr>
      <t>hal</t>
    </r>
    <r>
      <rPr>
        <rFont val="Georgia"/>
        <color rgb="FF000000"/>
        <sz val="11.0"/>
      </rPr>
      <t>/4095)*</t>
    </r>
    <r>
      <rPr>
        <rFont val="Georgia"/>
        <color rgb="FFFF0000"/>
        <sz val="11.0"/>
      </rPr>
      <t>CABC duty circle</t>
    </r>
    <r>
      <rPr>
        <rFont val="Georgia"/>
        <color rgb="FF000000"/>
        <sz val="11.0"/>
      </rPr>
      <t>*25mA，brightness 0%,hal=19，Cabc duty=79% ,backlight flash.  hal=19, backlight current= 0.0916mA/sink， hal=34, backlight current= 0.166mA/sink，               
             2.enable CABC(0x1D951=0x1), set 0x19D49=0x0c(PMIC Digital Accumulator bit-width selection14 bit to 15bit) and 0x1D952=0x0, set CABC=79%, hal19/34 ok , but  Hal=29/48/67/72/91  backlight duty not stable, screen flash
Root Cause:1.Limitation of PM7150L under Low driving current with CABC ,
                   Exp:find which parameter leads backlight flash : when backlight flash, cabc duty circle stable(test the waveform from display and use signal generator set CABC), hal value stable(adb log hal value per 10ms and adb set hal value ), but the backlight wled duty not stable ,it means the current  changes。 CABC duty circle change to 96% or  disable CABC ,backlight duty is stable hal=19/34.
                      2.CABC Compatibility Limitation of PM7150L? 
                   Exp:Check with QC, QC confirmed known issue on PM7150,
Solution:1.Set 0x19D49=0x0c(PMIC Digital Accumulator bit-width selection14 bit to 15bit) and Disable CABC on Low brightness&lt;=200, SW Work around ,Version effected</t>
    </r>
  </si>
  <si>
    <t>[Monitor] Issue: DVT1 EDu03[WH124614]Kernel panic;D3(15KV zone6）
Clue：1.Cap-Sensor No Function   2.Duplicated
Root Cause: 
             1.Cap sensor ATVS  VR100 damaged duo to EOS .
             2.Speculation:ATVS Rated Voltage Margin not enough
             Exp:Change a Stronger Part,DVT2 Imported and Test Pass.
Solution ：
            VR100 change to LXES03AAA1-193(Rated Voltage: DC 4V,AC+/-25V -&gt;DC 6.3V AC +/- 80V) ,
            DVT2 Imported,DVT2 EDU03 WH125964 pass</t>
  </si>
  <si>
    <t>[Monitor] Issue: Build found some M-sensor surface scratches 
monitor  SMT process from5/11  by  NPI</t>
  </si>
  <si>
    <t>[Monitor]  Issue: DVT1 EDu03【WH124662】
light and proximity sensor no function:D4(15KV, Zone3）
Root Cause:P-sensor  INT abnormal （35R to GND） ，Component damaged 
Solution 1：ME follow the glue quantity ( 0.38mm-&gt;0.5mm)，DVT2 import ，DVT2 EDU03 WH125964 pass</t>
  </si>
  <si>
    <t xml:space="preserve"> Issue:    DVT2 ALT WH125967   D4,D5  P/L sensor no function 
Clue：  1.CQA  Psensor can not enter, Lsensor no data
Root Cause:  1.Speculation: P/L sensor crack issue.(same AS issue found in DVT1).ME  follow
 </t>
  </si>
  <si>
    <t xml:space="preserve"> Issue:    DVT2 ATT WH125966   D2 cap sensor no function 
Clue：  1.CQA  All channel unknow ,reboot can not recovery
Root Cause:  SW issue 
Solution ： Fixed ,from 5/15</t>
  </si>
  <si>
    <t xml:space="preserve"> Issue:    DVT2 ATT WH125967   D4  headset no function
Clue： 1. report checked All MIC no function with headset
            2. MIC analysis show ALL mic ok . SO it is headset downlink issue.
Root Cause:  Sub board crack (area near headset jack)
Solution ： ME  follow</t>
  </si>
  <si>
    <t>[s3] Issue: Build  BrdTest Station,"TURBO_CHARGE_CONNECTED" Test Fail, Retry pass,NTF. Fail Rate:10%? CR: IKSWQ-90483,SW: QPN30.13
Clue：1. most of fail PCBAs are VZW SKU.
       Exp：Stress test with 2PCBA to check if it can be reproduce--Can not reproduce by 0507 chenhy4
2.Fail log:charging type SDP,Pass should be DCP  
      Exp：check USB D+/- waveform when issue reproduce
3.retry pass without shutdown power or moving the board
Root Cause: 1.  Speculation:Contact issue? Can not reproduce  in DVT2 so far ,monitor  DVT2 VZW build （FROM 5/14）
By 0515  no issue found ，close</t>
  </si>
  <si>
    <t>https://idart.mot.com/browse/IKSWQ-90483</t>
  </si>
  <si>
    <t>[Monitor] Issue:  Background Noise observed on V07 PCB during Car Audio charging  &amp; Aux in mode ，  
Clue :1. follow up Main PCBA. V06 No Issue.
Root Cause:  1.HS_REF is ground well but still was Affected by MainGround that mainly used as Vbus Power Return Ground. 
                         2.HS_REF was Shift to Layer5  from Layer 7 duo to R&amp;L Crosstalk Audio Ground Optimization
Solution:1.Recover Audio Routing as V06 Version on PVT&amp;Risk Buy, done 5/9</t>
  </si>
  <si>
    <t>[Monitor] Issue: HeadSet Downlink TDD Background Noise observed on V07 PCB
Clue :1. follow up Main PCBA.V06 No Issue.
Root Cause:  1.HS_REF is ground well but still was Affected by Layer 4 MainGround that mainly used as RF GSM PA Power Return Ground. 
                         EXP1.1  Connect HS_REF to GND on sub board and recheck issue gone. 
                       2.HS_REF was Shift to Layer5 from Layer 7 duo to R&amp;L Crosstalk Audio Ground Optimization
Solution:1.Recover Audio Routing as V06 Version on PVT&amp;Risk Buy, done 5/9</t>
  </si>
  <si>
    <t>[S3]Issue: DVT1 EDu03【WH124642】[NNIA1C0043 /D4]
2. -15KV air discharge at zone15(Aging 10),Cap sensor CH0 unknown
Clue：1.直接用ROOT权限操作CAP SENSOR IC，IC可以正常输出各实际状态
      2.自测碰到三个通道都unknown的状态，应该是权限问题(Permission)导致
      3.在同平台smith在4月29日有修改权限配置，应该是HAL层不同导致。但之前的项目Sofia等都不需要配权限
Root Cause: Linux访问文件都是需要配置好权限的，目前这些节点都是root用户权限，对于上层进程而言，这个权限比较苛刻
Solution 2：SW更新，让它们属于同一个group就可以了，同group的就没有这个权限问题</t>
  </si>
  <si>
    <t>[Monitor] Issue:DVT1 EDu03【WH124642】[NNIA1C0043 /D4]
1. +15KV air discharge at zone13(Aging 10),proximity sensor/light sensor no function,unable to recovery
Root Cause: 1.proximity sensor/light sensor  INT abnormal （100R to GND），Component damaged 
        1.1 glue quantity too low?
Solution 1：ME follow the glue quantity ( 0.38mm-&gt;0.5mm)，DVT2 import ，monitor
 duplicated to EDu03【WH124662】P-sensor issue</t>
  </si>
  <si>
    <t>[Monitor] Issue:  DVT1 EDu03[WH124614]Kernel panic;D2(15KV zone6）
Clue：1)P-Sensor no Function 2)Cap-Sensor No Function
Root Cause: 
1.Kernel panic and P-sensor/cap-sensor no function duo to VCC of P-sensor  shorted 
2.P-Sensor Damaged by ESD duo to  glue width under spec(0.38mm observed &lt;0.5mm Spec) 
Solution: 
ME follow the glue quantity ( 0.38mm-&gt;0.5mm)，DVT2 import ，monitor
reproduce in EDu03【WH124662】. duplicated to EDu03【WH124662】P-sensor issue</t>
  </si>
  <si>
    <t>[Monitor] DVT1  Issue:Edu03 ESD Test，cap sensor function normally on D4(NNIE130086) on 4/15, but no function after reboot
Clue：
1.Remove VR100 on CH2 and the cap-sensor returns to normal
Root Cause: 
1.Cap Sensor CH2/Addr affected by VR100(ATVS LXES03AAA1-154  abnormal impedance), 
Sending to XiaMen &amp; Later to Murata Japan for further FA (zto:640106156044)  4/16
Exp 1.1:Stress Test 800 Times @Zone13@2Units, Can't Reproduce. 
Exp1.2:Try Infineon TVS ESD103, Result: TBD
Exp1.3:V/I Test Shows Leakage Resistance ~79Ω
Exp1.4:Stress Test 600 Times on ANT Directly,Can't Reproduce. Monitor.
2.Cap Sensor Enter RD Debug Mode when Pull Down 
 Exp2.1:Reproduced on Semtech DemoBoard @Pull Down 20K , Semtech America explain It is RD Debug Mode Entry.
 Exp2.2:Isolate ANT by spraying Paint，Result:TBD
Solution:1.According to Result of Exp1.1 and Exp1.3，Exp1.4，Turn to Monitor
reproduced  ，EDu03[WH124614] ,duplicated to EDu03[WH124614]  capsensor issue</t>
  </si>
  <si>
    <t>[s3] MDu30[WH124618]
FVC E1D，QPN30.19 ,20W 充电器,无热管,Speaker位置增加散热膜，display 2nd IC display 90HZ 场景验证（充电下,wifi streaming 手动设置）
1）Camera photo front 42：44.6
2）LTE data call at Max power front 38：39.7
3）Game with charging back plastic 42:51.6
4) Processor loading front 40：42.8
Toot cause ，Thermal  config issue ，correct from 5/13</t>
  </si>
  <si>
    <t>[s3] Issue: Build TEST L2AR Station,M-sensor fail，DVT2 10% (13/130)，NTF 
Clue：1. can not  reproduce with manually test (6 in 6,By  huaiyu &amp; Online ME Liuxiang)
            2. other sensor  NTF too.
           3. When issue happen the USB port is connected but Network &amp;ADB can not work.
           4.L2AR test with Vbus power but not Vbat.  change to power by Vbat ,issue gone
Root  cause：suspect Vbus power not enouth for the test. 
solution :change to power by Vbat from 5/12 . monitor</t>
  </si>
  <si>
    <t>[s3] Issue: EDu03【WH124662】
1）the phone lock-up,restart to recover：D1(6KV contact，zone7）
Root Cause: should be ramdump issue. monitor in New SW from 30.23</t>
  </si>
  <si>
    <t xml:space="preserve">[s2] Issue: Build  CQA1,In CQA app, check battery information, find battery level jump,CR: IKSWQ-91703
Clue：1.  NNIA1C0039 issue ,other can not reproduce
2.Fail log:temperature jump too .t=25,-40,39  in one second!       
3. Fail log:Battery remove and then   Battery inserted after 2 second! 
Root Cause: 1.   NNIA1C0039  1 unit issue, not common issue.      
reassembly sub board and recovery . should be connector assembly issue.               </t>
  </si>
  <si>
    <t>[s3] Issue: WH125660 A5，B1 auto poweroff 1 time
Clue：Ramdump show it not  poweroff but ramdump too
 Root cause ：same as IKSWQ-89850，a QC bug .  found in ESD test too IKSWQ-85825
Solution:fixed in SW 30.22 . monitor</t>
  </si>
  <si>
    <t xml:space="preserve">[s3] Issue:EDU13 WH124523  Power ：battery performace Run local video  less than 5 hours （~=2.7 hrs）
Clue：1.sofia plus more than 5 hours 2. Nairobi power log show average current is 1.8A.3.Battery capacity checked no problem（70% of 25 degree）. 4. Problem ： D1        NNIA110016 standby current is about 0.2~1.2A，abnormal
Root Cause: 
1. D1 unit current abnormal(+0.2~1.2A） ,RF calibration parameters lost and the modem has been restarted
2. Recalibrate RF parameters and the current is normal
Solution:
1.Recalibrate RF Parameter                       </t>
  </si>
  <si>
    <t xml:space="preserve">[s3] RISK:WH124577 ESD :In final TIS test, LTE band7 main antenna degradation exceeds 3db, and TIS value is also out of spec on D4(NNIV120109) on 4/24,
Clue：
Root Cause: Sending to XiaMen ANT for further FA 4/24 ，Will Open after Ant Check
针对这台B7的问题，ANT暗室同样可以复现。
结论如下：
1．        我们提供工厂的TuneCode都是偏TX的，所以RX相对差。
2．        我们提供tunecode都是基于EVT机器，和DVT1的机器比，天线性能偏移掉了。
在问题机上，我们update新的code以后有源和无源数据都是合理的
</t>
  </si>
  <si>
    <t xml:space="preserve">[s3] Issue:Thermal  WH124559 Game with charging plastic 42:59
Clue：Stale data，NA &amp; Close
Root Cause: </t>
  </si>
  <si>
    <t>[S3]Issue:DVT1-1 P sensor CQA test can enter but no reading 4/40pcs
Clue: 1.log show phone in FAR(0) state 2. restart phone, test ok 3.can reproduce sometimes 4.Seperated I2C . 5.Reproduced once on Stress Test on 1 unit @Stay Still@Change Light Frequently@overnight.
Root Cause:  1.Interupt keep low by P/ALS through Log lead to Test Fail
                        2.P/Als missed receive Int Flag Read duo to ADSP didn't Pull Up in first few mili seconds in sleep mode.
                        3.Why ADSP Missed Few Seconds Pull Up，Coworking with Qualcomm
                        Exp3.1:Register Comparison , Result: Canceled
Solution:1.Workaround 1,ADD Int Flag read when phone wake up .  Drop According to S2，S3
                 2.Workaround 2,ADD INT flag read and do ISR in ESD recovery loop (1 time per 8S), Imported
                 3.Workaround 3,Add External Pull Up Resistor ，Done on DVT2 ,Monitor</t>
  </si>
  <si>
    <t>[s3] Issue: sleep current abnormal （25mA）after open and close camera APP
clue:1.  remove all the camera module ，PCBA sleep current  is 25mA too
Root Cause: 1.  AXI port Resource Request，No Vote Mechanism to exit and Continually Occupy resource which lead to AP can't enter Sleep mode.
Solution:  
1. Adding Vote Temporarily。Verified OK-SW
2.Furtherly Check with QC</t>
  </si>
  <si>
    <t xml:space="preserve">[s3] Issue: 2 PCBAs go into 9008 always ,From RF debug
clue:	1. have current leakage (1#100 mA ,2#300mA)   
2. can blankflash but go into 9008 again  
3.S4A impendence abnormal. 1#=13R ,2#=4R 
4.remove CPU and S4A impendence ok 5.S4A is close to Vbus on main connector
Root Cause: 
1.CPU (related to S4A part )damaged.   
 	2.suspect: connect Main fpc to Main board when main FPC and sub board connector toPC already(with 5V power) cause short the S4A  to vbus.
Solution: connect the Main FPC to Main Board when sub board not connect to PC or chareger.
</t>
  </si>
  <si>
    <t>[S2]4/12 DVT D1 After +15KV air discharge  at zone 13(Aging4),No Main display
1.Grounding OK.
Root Cause:1.Display Affected. Sending to XiaMen for further FA 4/14
Solution:1.Dispaly damage, and KP further FA</t>
  </si>
  <si>
    <t>[S3]Issue:  CQA P-sensor No Value，ALS Stuck，Restart ok
Root Cause: Share Same Root Cause with Intrupt hung.
Solution: SW Fix</t>
  </si>
  <si>
    <t>[S3]Issue: Factory SW FB :NAIRO_IFLASH_DVT1_005_894.xml.zip  PS  can not enter .
Clue:SW poblem,NAIRO_IFLASH_DVT1_004.xml.zip is ok. 
Root Cause: SW Power config issue  
Solution:SW change  https://gerrit.mot.com/#/c/1536341/</t>
  </si>
  <si>
    <t>[S3]Issue: L2站点有发现，ALS/PS rawdata偏小， 重启后依然fail
Root Cause:麦拉遮挡PS 孔--by  Huaiyu
Solution:Factory own</t>
  </si>
  <si>
    <t>[S3]Issue: CQA  PS 正常，ALS 一直dark，不变化， 重启后依然fail
Root Cause:ALS 校准bug有关(重新刷机可以解决)--by  Huaiyu
Solution:SW own</t>
  </si>
  <si>
    <t>[S3]DVT1-1 ALT(WH12455) A6(5) Magnetometer no function
Root Cause:1.M-sensor crack  2.M-sensor too close to board edge
Solution:1.V07 PCB  change M-sensor far away from board edge ,done。 monitor</t>
  </si>
  <si>
    <t>[S3]Issue:EVT EDU14 WH124347，surge test fail ，D1 &amp;D2 Vbus At 150V&amp;100V fail（unexpected auto power off at plug in the power）
clue：
1.first project to use Will TVS for surge.   other project use NXP  TVS for surge
Rootcause: 1.New Part WILL SF68C56226 Edu14 surge Test Verified failed.
solution: Change back to NXP 48014320001（Used in all in-house project）   1. BOM change done 2.DVT2 SCH change done. 3.DVT2 and PVT material ok.  
further Project Action：parameter test ：WILL fail unit  VS WILL OK unit VS NXP unit （sub board test wave ），done  。
Will D18 performance is similar to NXP 18 ，  verity it in TCC  and D18 pass .</t>
  </si>
  <si>
    <t>[S3]DVT1-A(V07) Magnetometer placement change cause SW parameter update
Root Cause:1.M-sensor crack  2.M-sensor move from BOT to TOP on mainboard
Solution:1.SW parameter compatible by HWID。
2. HW of Japan SKU reserve 2 placements for M sensor to make SW compatible.</t>
  </si>
  <si>
    <t>[S3] Issue:EVT CE CS Pre-test Failed, Over 15dB@4.5MHz@UpLink
Root Cause:
1.CS Uplink failed due to Audio Ref Signal not balanced and Echo Suppression Algorithm Take Effect.
Solution:
1.Fine tune Coupling Capacitor and inductor on Ref on newest audio configuration.  RD Validated Pass. Sporton validated Pass</t>
  </si>
  <si>
    <t>[S3]Overheating risk are on speaker
Root Cause:1.SPK Heating
Solution:1.Add Graphite on SPK Box.Test Pass. ~0.15￥，No Volume loss</t>
  </si>
  <si>
    <r>
      <rPr>
        <rFont val="Georgia"/>
        <color rgb="FF000000"/>
        <sz val="11.0"/>
      </rPr>
      <t xml:space="preserve">[S3] 1 unit NNIV040046 can not power on sometimes. unstable
clue: 1.SW check it is related to a </t>
    </r>
    <r>
      <rPr>
        <rFont val="Georgia"/>
        <color rgb="FFFF0000"/>
        <sz val="11.0"/>
      </rPr>
      <t>SW debug function</t>
    </r>
    <r>
      <rPr>
        <rFont val="Georgia"/>
        <color rgb="FF000000"/>
        <sz val="11.0"/>
      </rPr>
      <t xml:space="preserve"> D+ short to gnd  will run EDL mode ，then release D+ will enter 9008
2.test R between D+and GND it is ok sometimes
3.copper for mmw ANT cover USB test point 
4.remove the copper  can not reproduce for 5 times test.
Root Cause:1.thermal copper for mmW ANT cover USB test point causing D+ short to GND . 
5. Impact VZW SKU(with mmW)
Solution:1.change copper ? 2.add a glue to cover the USB test point?(checked can not move the test point)  ME tracking</t>
    </r>
  </si>
  <si>
    <t>[na]Issue:EVT CQA Report Rear Camera Record Stuck,FR：4/53=8%（IKSWQ-80124）
Clue： 1.Follow Mainboard 2.Only happen in RF connector  SMT in wrong direction 3.when in flymode there is no issue
Root cause：1.MCLK Signal dispear after few seconds when camera start up.
2.  Multiple invoked in Clock module and Modem module on GPIO25/MCLK
3.GPIO25 Detection invoked when RF Calibration Fail duo to Connector wrong direction
4.Modem Code share Racer 5G GPIOI25 Config which is not used in nairobi
Solution:SW Re-Config GPIO25  - Verified Pass.</t>
  </si>
  <si>
    <t>[S3]Issue：EVT ALT WH124343， A6(1) Flashled always on ， including power off mode.
clue：1.Light unstable when knock the phone around Flash LED.
Rootcause： 
1.Flash LED on due to spring M1811( Flash LED2+) and M1813(WLED_CAM) short which caused by cracked registration mast
2. ME furtherly analysis
solution: ME Follow  1.ALT after 4/20 remove the  registration mast. 2. change registration mast to bigger from DVT2</t>
  </si>
  <si>
    <t>[S3]Issue：EVT ALT WH124343，No Turn On ,A1
Clue:1.Turn on after changing Display. but PCBA cannot power on when unit arrive in XM
2. Main FPC： B to B pin deformed，can not assembly well ，may cause pins short  when press B to B （will heatup when plug in charger）,when connect main fpc ,can not power on ,disassembly main fpc,it can power on .
3. Main FPC change to a good PCBA , 1 time it can not charge and heat up on the connector,1time it can not power on . So the Main FPC should be damaged physically   
Rootcause：1.Display module Broke（but it should be  broken when disassembly）
 2.Main board VREG_S4A_1P8=0.8V,Resistance of VREG_S4A_1P8=1.2Ω,normal value is 2.1KΩ ,suspect charging with the damaged main FPC cause Main board damaged.
 3. Main FPC damaged when assembly
4. ME ：FPC didnt assembly well cause main FPC damaged. ( B to B pin deformed)
Solution: ME  tracking DVT1 build if the FPC assembly bad.   BB monitor</t>
  </si>
  <si>
    <t xml:space="preserve">[S3]Issue：EVT ALT WH124343，loop5，Display DIM:B6(1)
Rootcause：4/2ME can not reproduce，waiting for KP check                       </t>
  </si>
  <si>
    <t>[S3]Issue：EVT WH124356 ATT11+WH124357 ATT12 ，D1 ，not turn on（when unit arrived XM ME）
Clue：1.enter fastboot mode but shut down within 5 sec.  
 2.can Blankflash ,and enter fastboot mode and not poweroff ,but when flashall,phone reboot ,it will reproduce failure again.
3. it  show low battery voltage in charging mode.
Rootcause： check the Battery Voltage=0 . swap a good battery it it ok.  move to KP for battery analysis
DVT1  ：ATT11  WH124550 D10 &amp; ATT12 WH124551 D10  same fail ，battery issue</t>
  </si>
  <si>
    <t>[S3]Issue：EVT RD ALT*2round evaluation，ALS/ps fail  3 in 6 (including 2 in 6 sol LED fail too)
Rootcause： ME middle housing deformed  causing P-sensor component damaged and LED damaged too.    
solution:  ME own.  ME action 1. ：enhance housing strength by adding metal at the corner, will implement in DVT1 white color build； ME action 2. move P-sensor up 0.2mm</t>
  </si>
  <si>
    <t>[S3]Issue：Nairobi 目前的SW 关机状态下，短按开机键 屏幕会闪一下,CR(IKSWQ-79283)
Clue： 时序测试：现短按开机键时，mipi输出后，背光亮起的时间有差异。短按是mipi数据输出60ms后，背光开始输出，长按开机键，mipi数据输出500ms后，背光开始输出. 希望SW 分析
Rootcause：SW reply 结合代码走查，发现了个code的BUG,预计解决 by  4/2
check ok with SW 4/8</t>
  </si>
  <si>
    <t xml:space="preserve">[S3]Issue：EVT ALT WH124343，No Turn On ,A1
Clue:Main FPC connector deformed.
Rootcause： assembly issue
Solution: ME Own 1.correct Allsmbly  in DVT1.   2. checking if need to change Main FPC for better Allsmbly </t>
  </si>
  <si>
    <t>[S3]Issue：EVT ALT WH124343，loop1，Cannot enter front camera mode:A2(1)
Rootcause：ME FA   B2B Issue  ，should be assembly cause connector damaged  4/2</t>
  </si>
  <si>
    <t>[S3]Issue：EVT  ATT drop WH124356， Proximity sensor and light sensor no function:D1(27,T,1.25m),D3(12,B,1m),D4(45,T,1.5m)
Rootcause：ME middle housing deformed  causing P-sensor component damaged,same as ME evalution test. ME own the issue tracking</t>
  </si>
  <si>
    <t>[S3]Issue：EVT  ATT drop WH124356， Cannot enter rear 4 camera mode：D1(3,F,1m),D3(21,F,1.25m)
Rootcause：Macro camera fail.  B to B connector dissasembly.ME own the issue tracking</t>
  </si>
  <si>
    <t>[S3]Issue：EVT ALT WH124343，loop2，unable to power on after top right corner drop:A1(2)
Rootcause：DISPLAY FPC在近主板B2B的弯折区有严重变形，并且display module的B2B 边框区域有明显塌陷，图片已上传GD
主板没有问题，更换display module后可以正常开机。ME&amp;KP own the issue tracking</t>
  </si>
  <si>
    <t>[S2]Issue：EVT ALT WH124343，loop2， P/L sensor no function after top side drop:A1(2),B5(2) 
Rootcause：-sensor component damaged,same as ME evalution test. ME own the issue tracking</t>
  </si>
  <si>
    <t>[S3] Risk：Ringlight driver  hotplug risk when assembly rear hoursing.
Clue:Ringlight driver always output Vbat -0.3V  on WLED_CAM . it may short to Flash LED2+ when assembly. will it be a issue?
Evaluation:   1. Very Low chance to misassembly rear hoursing .we can not reproduce. 2. Eval Test Vbat=3.8V ,     manually make  WLED_CAM short to Flash LED2+ ,LED current &lt;500mA， Driver ok.  
Risk close . No change needed for this item</t>
  </si>
  <si>
    <t>[S3]Issue：EVT ALT WH124343，B1(1) No display
Clue:1.手机可以开机，无显示
2.拆解后，没有发现明显Display B2B翘起，在重新扣合B2B后，显示恢复正常
目前看到的2台机器，FPC弯折区都有明显往一个角度弯折
Rootcause：  suspect Display module issue , KP own the further analysis</t>
  </si>
  <si>
    <t xml:space="preserve">[S3]issue: 10.1.1 Nairobi EVB USB 2.0 eye test fail
     Clue:USB phy tuning have 4*  8 bit register X0,X1,X2,X3 
        QC default parameter :0xA1,0x43,0x2E,0x03
solution:     parameter tuning to:     0xA1,0x03,0x27,0x03    .Test pass       .
SWchange parameter from 03/17 </t>
  </si>
  <si>
    <t>[S3] Issue：V03 FPC outline not match ME requirement  ，found by FPC vendor
Rootcause：  1.get wrong V02 PCB  2. didnt complete ME check process before gerber out
              Solution: 1.Update V03  FPCgerber
                    lesson learn :1.Need CAD update the Milestone PCB if it is updated. 2.need ME check before gerber out</t>
  </si>
  <si>
    <t xml:space="preserve">[S3] Issue：V03 sub ，panel and audio jack overlap （0.09mm*0.05mm）
Rootcause：Panel check before Audio jack change done.              
Solution:   EVT build :push audio jack before reflow ,and 100% check smt status after reflow
                 DVT1 :Panel change before Gerber out (V04)
      lesson learn : 1.audio jack PCB  liberry  design with panel cut out . it can cut the overlap area berfor gerberout automaticly. 2. Panel check must be completed after all PCB change done. </t>
  </si>
  <si>
    <t>[S3]Issue： Camera control pin on PM7250 Voltage =3.8V ,not 1.8V (total 5 pins)
Rootcause：PMIC MV GPIOs can config to hight voltage ot low voltage (1.8V)              
Solution:   SW change PMIC MV GPIOs setting to Low voltage -done</t>
  </si>
  <si>
    <t xml:space="preserve">[S3] Issue：Receiver Pads placement do not match ME LDS design
Rootcause：1.Recierver Pads placement do not match ME LDS design
                2.why review and design not match? TBD---zhihao
Solution:   PCB04&amp;05 Phone :PCBA remove GND spring , ME add a copper to connect REC pin.--ME own
                    PCB06 change Pad placement to match ME design. -done </t>
  </si>
  <si>
    <t xml:space="preserve">[S3]  Issue：Deepsleep current =20mA+ @ 3.8V,over spec about 15mA  on EVB-B V01 PCB
Rootcause：
1.VREG_S4A_1P8=14.6mA @ 3.8V,over spec 12.73mA due to mmW config. not ready
   1.1 after calibration,VREG_S4A_1P8 down to 2.1mA 
   1.2 flash SW which add mmW config.,VREG_S4A_1P8 down to 3.8mA
2.VREG_BOB=1.8mA @ 3.8V, over spec 1.3mA due to cap sensor not enter sleep mode.
3.VREG_S4C_S5C_0P75=2mA @ 3.8V,over spec 0.5mA,this is power for an on-chip memory of SM7250
Solution:
1.SW optimize
2.Deepsleep current of V04 PCBA=5.05mA @ 3.8V(all sensor disable),meet target
 </t>
  </si>
  <si>
    <t>[S2]issue: EVB WH123730 MDu66-Eval Product Bend Test not power on ,D4
Clue:  WH123730 D4:
1.Vbat=3.79V, can not charge up, with a power supplier no big current, 23 mA with powerkey pressed .
2. PMIC shielding case seems been reworked 
3. reheat PM7250&amp;PM7250B by Chenbang ,no improve. 
Root cause:
1. SMT issue ，fail board before assembly
Solution:
1.     None</t>
  </si>
  <si>
    <t xml:space="preserve">[S3]issue: EVB ALT WH123729 not power on A3 (Loop3). Other units fail too after some days.
Clue:  A3: 
1.Vbat=2.78V ,can not charge up, can power on  with a Good Battery ,but suspect no charging current into Vbat（Can detect turbo charging） . No IC crack found.
2.testmode check Battery temp=-40 degree C，suspect NTC problem
Root cause:
1. NTC dropped （same as other fail units）
2.NTC ME design issue  
Solution:
1. Change NTC placement in EVT，ME Confirmed  </t>
  </si>
  <si>
    <r>
      <rPr>
        <rFont val="Georgia"/>
        <color rgb="FF000000"/>
        <sz val="11.0"/>
      </rPr>
      <t xml:space="preserve">[S3]Risk: FPS soft fail after ESD.
Clue: Because of ME design limit, FPS module GND is very weak, and no metal deco.
Probable Cause:
1. FPS driver deadlock after ESD, cannnot response to AP's command.
Precautionary Measures:
1. Add 100ohm series resistace on FPS signal routes. </t>
    </r>
    <r>
      <rPr>
        <rFont val="Georgia"/>
        <color rgb="FF00FF00"/>
        <sz val="11.0"/>
      </rPr>
      <t>Verify ok on sofia.</t>
    </r>
    <r>
      <rPr>
        <rFont val="Georgia"/>
        <color rgb="FF000000"/>
        <sz val="11.0"/>
      </rPr>
      <t xml:space="preserve">
2. Independent LDO power for FPS. When AP knows the FPS ESD error, auto power cycle the FPS module. </t>
    </r>
    <r>
      <rPr>
        <rFont val="Georgia"/>
        <color rgb="FF00FF00"/>
        <sz val="11.0"/>
      </rPr>
      <t xml:space="preserve">Verify ok on sofia.
</t>
    </r>
    <r>
      <rPr>
        <rFont val="Georgia"/>
        <color rgb="FF0000FF"/>
        <sz val="11.0"/>
      </rPr>
      <t>EVT ESD test tracking</t>
    </r>
  </si>
  <si>
    <t>[S1]Risk: No solution for ANT ESD protection.
Clue: 
1. ANT is exposed  at the gap of inlay.
2.Murata A-TVS ESD protection performance is weak.
3. Infenion's TVS has better ESD protection performance, but with large harmonic. ESD128 -20dB, ESD 103 -40dB.
Root cause: ANT tuner and SP4T will be damaged because of no protection.
Solution:
1.ATVS EOL on 2021.9</t>
  </si>
  <si>
    <t>[S3]Issue:  Jtag pin wrong
 Root cause:  copy racer sch but replace connector with sofia parts
Solution: 1. EVB-B  wire out for bringup---done  ，bringup ok
         2.EVT change SCH refer to sofia sch---done 
20200313 V04 PCB checked ok by Wangxf14</t>
  </si>
  <si>
    <t>[S3]Issue: Macro camera bringup fail
 Root cause: Mipi design, CSI3 Lane0 P/N swapped.
Solution: 1. rework to swap Lane0 P/N by flywire for bringup ok
2. Correct connection in EVT sch
20200312 V04 checkedok</t>
  </si>
  <si>
    <t>[S3]Issue: A+G 上电时有个51mA VDD脉冲电流
Clue：MISO 和 电流脉冲有周期性出现，可能有关系
Root cause: PIN2/3(connected to GND) sink current
Solution: PIN2/3 connected to VDD/VDD set to NPM mode at power up</t>
  </si>
  <si>
    <t xml:space="preserve">[S3]Issue: 1.1.1 Nairobi Fastboot fail after Blankflash in EVB-B  build，about 50% units fail
     SW QC CR ：04388408  ，ongoing ---王小峰
 Clue:1. 按开机键后VBAT 电流从几十mA到200+mA变化，未掉电
           2. log  ：fail after QSEE load ，可能安全建制部分有问题导致系统触发reset
           3. log  ：PM: OCP Occured: PMIC: 2; LDO: 8 推断可能 Vreg_L8C有问题 
Analysis：
        1.memory power ok ，没有看到掉电  ---学敏
        2.bootconfig ok，去除所有bootconfig相连器件，依然fail--chenwt
        3.加焊CPU和memory 1pcs，依然fail--chenwt
        4.测量系统复位信号： PS hold 维持1.8V，没有低电平输出. SDM_RESIN_N  这个一直有信号输出在reset CPU的样子，570ms一次。--chenwt
        5.check Vreg_L8C ，U4504 M-sensor ，U4503 barometer，U4502 A+G--chenwt
          5.1 remove A+G ok
         5.2 Vreg_L8C 外加1.8V 可以起来。 电源6705B上看到最大瞬间电流在 26mA左右。
Root cause: 
         Vreg_L8C  is  in LPM mode. but A+G cause a bigger current rush
Solution:
   1.Sw check Vreg_L8C config   is in LPM mode ，  change to NPM mode. Done by 1/2
   2. check A+G current when power up.----shengnan xiong        
后续分析借鉴：不开机相关log可以查看关键字OCP看是否有线索。 </t>
  </si>
  <si>
    <r>
      <rPr>
        <rFont val="Georgia"/>
        <color rgb="FF000000"/>
        <sz val="11.0"/>
      </rPr>
      <t>[S3]  
 case ：From Chicago John Gorsica： in talking to CTO audio team (Marley integration),   have learned that Qualcomm's software implementation expects a separate bus for the EC (echo canceller) reference signal.  Our original plan was to use I2S TDM mode to send this data over a single I2S bus.  This team has requested that a second I2S bus be routed from LPI GPIO121-124 to AIF3 on Marley.
 Action：EVB，no change ； change into EVT with Racer solution</t>
    </r>
    <r>
      <rPr>
        <rFont val="Georgia"/>
        <color rgb="FF0000FF"/>
        <sz val="11.0"/>
      </rPr>
      <t xml:space="preserve"> --SCH change done</t>
    </r>
    <r>
      <rPr>
        <rFont val="Georgia"/>
        <color rgb="FF000000"/>
        <sz val="11.0"/>
      </rPr>
      <t xml:space="preserve">
</t>
    </r>
  </si>
  <si>
    <t xml:space="preserve">[S2] QC BB review：Recommend use normal GPIO MI2S instead of LPI MI2S for 3rd party codec. LPI MI2S may met jitter issue for 3rd party codec. We have CR2547793 for LPI MI2S 48kHz jitter issue, pls check with audio sw for CR status.
 QC SW answer： will solve the problem in about 2 months.  
 Action： no change. Close . reopen it if there is issue found
</t>
  </si>
  <si>
    <t xml:space="preserve">[s2]Issue:  试用机PVT ，wangqifu的机器，试用一段时间后，OTA SW 然后发现有时候充电慢。
                   售后一台机器报功耗高，暂时合并分析（接口信号异常了，qifu的机器概率性测试到异常，售后的一直测试到异常）
  Tahoe  power consumption abnormal （After sale），IMEI 354001150843951
Analysis
Clue:1.  Vbus ，USB D+ ，CC1，CC2，SBU output are abnormal. This cause AP can not sleep always ,it sleep out  too often.   
Clue2：R between CC1&amp; USB D+ =900+R when plug in type-C cable(no charger connected )
Root Cause:
suspect PM8150B damaged 
EXP1：sent the phone to Wuhan factory and replace PM8150B with a new one ,then check if it is ok ?     have sent out the phone
</t>
  </si>
  <si>
    <r>
      <rPr>
        <rFont val="Georgia"/>
        <color rgb="FF000000"/>
      </rPr>
      <t>[s2]Issue:  售后2台故障机报充电自动重启和充电慢问题
clue: 1.354001150743953         充电时自动重启，插电脑检测不到手机        　        D+:827Ω，D-:398Ω；
354001151119179         有时偏慢，有时充不进电，有</t>
    </r>
    <r>
      <rPr>
        <rFont val="Georgia"/>
        <color rgb="FFFF0000"/>
      </rPr>
      <t>时电量无变化    D+:372KΩ，D-:820Ω；
2</t>
    </r>
    <r>
      <rPr>
        <rFont val="Georgia"/>
        <color rgb="FF000000"/>
      </rPr>
      <t>.怀玉 在武汉拆机分析发现CPU端阻抗异常，TVS 阻抗也异常
Action：EOS测试失效的机器，TVS 和CPU 也都坏了，比较拟合，EOS？ 
Solution:</t>
    </r>
  </si>
  <si>
    <t>TCC 摸底测试link</t>
  </si>
  <si>
    <r>
      <rPr>
        <rFont val="Georgia"/>
        <color rgb="FF000000"/>
      </rPr>
      <t xml:space="preserve">[s2]Issue:  售后1台故障机报充电速度慢
clue: 1.  USB  D+和D- 插入充电器时没波形。  关机测量对地阻抗异常，在1K R 以下 。正常是几百KR
         2. 拆机直接测试主板测试点对地阻抗，D- =2.2R ，D+ =800+R ，异常
         3. 测试小板D+、D-对地阻抗，10KR左右， 也是异常的。而线路上对地只有TVS器件。推测TVS器件也异常了。
Root Cause:    </t>
    </r>
    <r>
      <rPr>
        <rFont val="Georgia"/>
        <color rgb="FFFF0000"/>
      </rPr>
      <t xml:space="preserve">怀疑是EOS导致。  那EOS来源是什么？机器的防浪涌能力如何？
</t>
    </r>
    <r>
      <rPr>
        <rFont val="Georgia"/>
        <color rgb="FF000000"/>
      </rPr>
      <t xml:space="preserve">Action：TCC  增加 tahoe 对USB2.0和CC pin 的防浪涌能力摸底测试 ，60V fail，很高的抗性。EOS测试失效的机器，TVS 和CPU 也都坏了，比较拟合。  </t>
    </r>
    <r>
      <rPr>
        <rFont val="Georgia"/>
        <color rgb="FFFF0000"/>
      </rPr>
      <t>为什么还是会坏？有啥改进机会？</t>
    </r>
    <r>
      <rPr>
        <rFont val="Georgia"/>
        <color rgb="FF000000"/>
      </rPr>
      <t xml:space="preserve">
Solution:</t>
    </r>
  </si>
  <si>
    <t>[s3]Issue:  Linxee claim 2 pcs new devices freeze and reset during charging. 
clue: 1. Linxee 借用试产机 及 购买量产机器用来做DP to HDMI cable 产线测试，一台手机会和上千条cable 适配。
          2.有2台新购买手机（总共买3台），第一次测试，测试到没电后，插充电器充电，然后开机发现就死机重启。    机器走售后流程中。
         3.试产机器也有1台出现问题，故障机USB无法认到，Bug2go log 分析应该是USB识别不到导致的 watchdog 重启。  建议分析硬件USB相关，转寄XM机器。 
       HW 分析：故障同上，USB2.0的主板段 D+ D- 阻抗异常，而且推断是CPU端异常；小板段也是异常，推测是TVS也异常。 
Root Cause:    怀疑是EOS导致。  那EOS来源是什么？机器的防浪涌能力如何？
Action：TCC  增加 tahoe 对USB2.0和CC pin 的防浪涌能力摸底测试 
Solution:</t>
  </si>
  <si>
    <t>CR  IKSWR-55445</t>
  </si>
  <si>
    <t>Tahoe：
原始issue：Tahoe EVT板级测试 test 出现概率漏电流异常，800uA左右 。 正常关机没有复现issue。
分析：非正常关机导致，漏电流电源确认是PM7150L的AVDD电源（内部电源），提case 给QC ，QC答复是PM7150L（或者PM6150L）申请 系统19.2M时钟后没有正常关闭导致一直耗电  。----RD  Wu Xuemin，NJ SW xuwei9
解决： QC 给了个patch，尝试在我们这种工厂关机流程中去关闭19.2M时钟的申请，然后DVT1 SW  ok了（包含了QC给的patch），之后产线测试都没有再反馈了。该问题close。
扩展Issue：整机端是否有类似问题？   （Ibiza项目板级有问题，暂时没解决，直接扩展整机摸底测试，发现也有类似问题。）
整机测试：发现整机端也有这个问题。  （当然整机端和BT端，SW不太一样，开机程度也不太一样。）-----来源 ：SW MFG  Luguo，RD Wu Xuemin
Tahoe项目回退确认BT 情况：发现QC给的patch 集成之前的版本，10/12 就已经问题不复现了。  而9/29的EVT版本有问题。   中间的变更可能是解决BT 测试 漏电流问题的关键。（反推可能patch并没起作用）-----来源 ：SW MFG  Luguo
Ibiza 和 Denver ：
       Issue：测试一直都有这个概率漏电问题（早期EVT还有板子漏电问题，可能覆盖了一个试产阶段，DVT解决板子漏电问题）
后来原来以为参考tahoe增加patch 后就ok ，但是一直没有办法清除，一直怀疑是patch 及修改方法不对。  但从目前结果看，这个patch 有可能并不能解决这个问题。
Action：    1.  Ibiza 不同SW修改方案的再次验证（可能是QC会重新给patch？可以也扩展到tahoe看下效果）。---- SW，SW MFG
2.寻找 Tahoe  9/29~ 10/12这段时间 factory SW版本的变更点，用来找解决这个case 的重要线索。----NJ SW，SW MFG
扩展涉及范围：今天增加测试的结果
PM8150L    tahoe  （测试结果：故障概率复现）
PM7150L   Nairobi （测试结果：故障概率复现）
PM6150L    Denver，ibiza    ，Kiev（测试结果：故障概率复现）
PMI632 的 Sofia NA和  PM6150A  的 Quattro  ，（测试结果：故障不复现）
所以初步总结：LCD背光用到QC PMxxxxL 方案的机型应该都有同样问题。
Solution： SW 更改产线的下电时序，保障LCD来得及关闭 背光部分。避免该问题。 导入截止由SW 和 PQM 决定。</t>
  </si>
  <si>
    <t>CR：IKSWR-35501  photo mode-The flash is on to take pictures, and the phone is automatically turned off
Clue：Low voltage battery+DP+Camera+Flash  ，auto power off  
Rootcause
solution：change Flash current from 2.4A to 1.5A ，recheck ok</t>
  </si>
  <si>
    <t>DP compatible issues</t>
  </si>
  <si>
    <t>collection</t>
  </si>
  <si>
    <t xml:space="preserve">[s3]Risk: ALT ESD C1  +15KV  Zone3/4/6/7/8 auto power off，adn enters the system crash interface. recovered after pressing power key
clue: 1.   
Root Cause:  
Solution:not reproduce
 </t>
  </si>
  <si>
    <t>[s3]Issue: there are some phone freeze and dark screen problem inDF
clue: 1. 
Root Cause:  SW
Solution:</t>
  </si>
  <si>
    <t xml:space="preserve">[s3]Issue: Mdu30 , 1.LTE data call fail 
clue: 1. Pass last test, Retest Pass.
Root Cause:  
Solution:PVT Retest Pass.
 </t>
  </si>
  <si>
    <t xml:space="preserve">"[s3]Issue:Edu03 ,  DVT1 test WH132624  ,D4,After +8KV air discharge at zone6 (Aging10),the phone drop call(2020/11/20 11:02)
Clue:  1.   zone6 is  upper side   
            2. just happen 1 time  in DVT1 total 4 round test. (16 units)
           3. real net phone call
Root Cause:       
Solution:can not reproduce ,monitor PVT。 PVT  not reproduce
 </t>
  </si>
  <si>
    <t>"[NA]RISK:Edu03 , VT1 test WH132624  ,D1&amp;D2 After -8KV contact discharge at zone18 (Aging10),the phone Unexpected auto power off 
Clue:  1. zone18  is camera deco  ,middle 2 cameras (upper 2 cameras is Zone17)
            2. D1 Rear camera(and Rear flash) is ON , D2 Front camera(and Front flash) is ON 
            3.WH133310  have same issue too .  (total is pass ,because it is high voltage test  and recoverable issue)
Root Cause:  Deco 的接地不好导致    
Solution:
      1.  主板上有预留加强接地方案，但基于目前属于软性可接受范围，故综合cost平衡，暂时不导入增加导电布方案。
PVT Retest Pass.</t>
  </si>
  <si>
    <t xml:space="preserve">"[s3]Issue: Mdu30 ,SPK 最大功率fail 。
Root Cause:      1. SPK 石墨偏上贴了。2.石墨片偏小些
Solution:
      1. SPK 石墨往下贴一些，并且石墨片加大。   手工验证 往下贴 改善1.5度，再加大后总的改善2.7度。   PVT导入
PVT test pass
 </t>
  </si>
  <si>
    <t>[na]AnTuTu Performance-
 1.Tahoe Total Score 60W （61.5W Best ）     VS IQOO5 Pro 66W - @12/2
2. Tahoe GPU 24W+ VS IQOO5 Pro GPU Score 27W
RootCause:
1.CPU/GPU Config to Performance Mode, increased to 63W . - SW
2.Speculation:GPU Optimize , Supposed to increase 3W .
  Exp:Consulting QC for help.-
  Result：GPU OverClocking only effective on AA chipset.Not fitful on AB/AC due to fuse.
   QC is not willing to provide OverClocking Patch .
3. more power CPU and bigger DDR5 and bigger UFS 3.1 Memory, 12+256 Memory + SM8250-AC
  Exp:Build 4 pcs for testing. 12/21
Solution:
1.Set CPU/GPU to Performance Mode Score ： 630000 （Best）
2. Set  GPU supper performance forSM8250-AC，mode  ，Score ：670000（Best）</t>
  </si>
  <si>
    <t>[na]Issue:Audio headset Downlink TDD Noise was audible.
Root Cause:
1.1 Href Signal in layer 7 Affected by Grounding Layer 6&amp;8 in which Big Current Pass through  
1.2 Big Current Path on Layer6&amp;8 duo to different Grounding Via placement in Whole PCB Layers compare with Nairobi.
2. Audio Signal in the surface side of Battery in which big Power Noise exit.
3.Href in MainFPC route on the side of L Channel.
   Exp:change Href in the middle of L&amp;R, RD Validated ok.
Solution:
1.seperate Href Signal from main RF PA power path, DVT1 import and verify
    1.1 Optimize Layer 11 Grounding
    1.2 Switch Audio Signal Fan out Position on Connector to far away from Battery Connector.            
2.back up  Href signal routing on Layer 2, DVT1 import and verify
3.Put Audio signal on the other side of FPC. DVT1 import and verify
4.Swap Audo_L&amp;HREF in Main_FPC ,PVT Unit validated Pass.uplink:-75dB (Spec -71dB) ,Downlink:No Noise.
PVT test pass</t>
  </si>
  <si>
    <t>"[s3]Task:  Tahoe Antutu Score test  SM8250-AA   =58W;SM8250-AB  =59.6W;SM8250-AC  =61W 
竞品 :      SDM865 Android R 的竞品就看到 1+的机型 8T，SM8250-AA （从CPU主频信息倒推）memory 是 12GB+256GB，跑分59W
  pass
提升机会：Android Q 竞品  IQOO5 跑到66W，GPU到达27W VS  tahoe的 23W+ ，有一定提升机会。 SW 寻求提升方法中</t>
  </si>
  <si>
    <t>1.1 OD</t>
  </si>
  <si>
    <t xml:space="preserve">"[s3]Risk:  Tahoe Add 1 Dock which may impact M-sensor
Evaluation:      M-sensor simulation checked pass.  can accaptable. 
 Tahoe+ need more check for this case, Risk(maybe tahoe+ need this Dock too?) </t>
  </si>
  <si>
    <t>[s3] Issue: DVT EPr02 Eval - eCompass WH131414 测试结果为 10°，目标是5°，暂停，等待确认结果
Root Cause:1.parameter related 
Solution: tune done,RD self test pass .TCC  DVT test  pass  WH132626</t>
  </si>
  <si>
    <t>[s3]Issue:Edu03 ,2nd round test , 2units can not power on
Clue: D3 failed point is near P-sensor&amp;SOL_LED ,D4 failed on the chin.
D3：
Root Cause:
      1.SOL_LED of PM8150L  short to GND which lead to fail to power on.
      2.Sol_LED Strike by ESD through 0.5mm width Glue Area
Solution:
      1.Add one TVS on Sol_LED,BOM Changed. RD Validated OK. TCC Validate ok WH133310&amp;WH132624
D4:
Root Cause:
      1. LEDA of PM8150L Damaged which lead to power cycle issue.
      2.LEDA Strike by ESD through Display Edge.
Solution:
      1.Add one high voltage TVS on LEDA ,BOM Changed. RD Validated OK. TCC Validate ok WH133310&amp;WH132624</t>
  </si>
  <si>
    <t>[s3]Issue:Edu03  2/8 units  unexpected power off, recovered after rebooting 
Root Cause:
1.System auto power off due to FPS Striked by ESD.
 Exp1.1:Disconnect FPS Con, Result:Not Reproduce.
2.CPU Affected by ESD Through SPI of FPS
 Exp2.1:Disconnect SPI Signal one by one. Result:MOSI&amp;MISO Matters.
 Exp2.2:Replace ESD Block Resistor 100R with 1K. Result:Pass.
 Exp2.3:Replace ESD Block Resistor 470R on SPI MISO &amp;MOSI  line and import in DVT 1build
Solution:
1.Replace ESD Block Resistor 470R on SPI MISO &amp;MOSI  line and import in build. monitor 
2. replace ESD Block Resistor  1K on RSR,CS,INT  line.  in DVT1B BR 40462 ,Test pass</t>
  </si>
  <si>
    <r>
      <rPr>
        <rFont val="Georgia"/>
        <color rgb="FF000000"/>
        <sz val="10.0"/>
      </rPr>
      <t xml:space="preserve">[s3]Issue: SW test ，Connect Jiewang（500G） mobile hard drive to the OTG cable phone does not recognize,IKSWR-11737
clue: 1.change This OTG cable to a hub ,it it ok
       </t>
    </r>
    <r>
      <rPr>
        <rFont val="Georgia"/>
        <color rgb="FFFF0000"/>
        <sz val="10.0"/>
      </rPr>
      <t xml:space="preserve"> 2.Racer turbo(SM8250) can not recognize too. but other projects can recognize</t>
    </r>
    <r>
      <rPr>
        <rFont val="Georgia"/>
        <color rgb="FF000000"/>
        <sz val="10.0"/>
      </rPr>
      <t xml:space="preserve">
       3. test by our OTG and hub + our 1T&amp;2T  hard drive ,they are ok,can not reproduce.
      4.both </t>
    </r>
    <r>
      <rPr>
        <rFont val="Georgia"/>
        <color rgb="FFFF0000"/>
        <sz val="10.0"/>
      </rPr>
      <t>USB 2.0 &amp;3.0 OTG header</t>
    </r>
    <r>
      <rPr>
        <rFont val="Georgia"/>
        <color rgb="FF000000"/>
        <sz val="10.0"/>
      </rPr>
      <t xml:space="preserve"> test fail on this mobile hard drive Jiewang（500G） 
Root Cause:no signal issue found.  
Action 1.1: SW analysis no result
Action 2: HW,  eye diagram test (</t>
    </r>
    <r>
      <rPr>
        <rFont val="Georgia"/>
        <color rgb="FFFF0000"/>
        <sz val="10.0"/>
      </rPr>
      <t>host mode</t>
    </r>
    <r>
      <rPr>
        <rFont val="Georgia"/>
        <color rgb="FF000000"/>
        <sz val="10.0"/>
      </rPr>
      <t xml:space="preserve"> ) USB2.0 pass， USB3.0 host fail  at 5G Far End Total Jitter at BER-12 (CTLE ON)          -5.9 %.
Solution:keep current status. no change .</t>
    </r>
  </si>
  <si>
    <t>IKSWR-11737</t>
  </si>
  <si>
    <t>[s3]Issue:sleep current 8.6mA , can we lowdown it?
clue:高通的参考数据4.7-6.7，我们现在关闭sensor后8.6mA
Root Cause:
1.Action 1: RRT31.13 版本分解各个模块耗电
2.breakdown 数据看，除Memory 容量差异样（6G VS 8G），主要在VREG_S4A_1P8 上存在3.3mA Gap，QC上的数据应该只测了单路SM8250 PX3，
Solution:
VREG_S4A_1P8 功耗相对其他平台看，数据接近的，属于正常范围，将修正BSP target</t>
  </si>
  <si>
    <t>[s3]Issue: Tahoe TOF calibration fail issue 2%~3%
clue:ToF I2C probe failed 
Root Cause: Power on frequence dont meet Spec 
Solution: SW change Power on frequence to 5ms delay , temp  SW check ok, import in SW mainline with 5ms delay from 11/02
lesson learn： add power and I2C frequence check  in TOF BB test。 need to provide a  design With margin</t>
  </si>
  <si>
    <t>IKSWR-12689</t>
  </si>
  <si>
    <r>
      <rPr>
        <rFont val="Georgia"/>
        <color rgb="FF000000"/>
        <sz val="10.0"/>
      </rPr>
      <t>[s3]Issue:Edu03 1/8 unit can't power on ,15KV Air Discharge on chin.
clue1:PMU Damage
2:leakage current of AVDD of</t>
    </r>
    <r>
      <rPr>
        <rFont val="Georgia"/>
        <color rgb="FFFF0000"/>
        <sz val="10.0"/>
      </rPr>
      <t xml:space="preserve"> PM8150L</t>
    </r>
    <r>
      <rPr>
        <rFont val="Georgia"/>
        <color rgb="FF000000"/>
        <sz val="10.0"/>
      </rPr>
      <t xml:space="preserve"> is 340uA,normal is 1.5uA
3:press power key,REF_BYP of PM8150L no output
4:AVDD leakage current and REF_BYP output of PM8250 is all normal
Root Cause:
1.PM8150L Damaged
2.Speculation:Floating VDD_BOB Affected by ESD which lead to PMIC Damage.
   Exp:Test more 2 unit on SubBoard but not reproduced.
Solution:
1. Add 1 cap on VDD_BOB Terminal.  - Done
2.Reserver 1 Resistor on Mainboard in next version. 
 DVT1A test pass</t>
    </r>
  </si>
  <si>
    <t>[s3]Issue:Edu03  15KV Air Discharge at  MIC3 ,System auto power off
clue
1:  6 units (2units TCC+4units new drivers) 15KV +200 times/unit ,Result :Pass
Root Cause:
1.  SW issue
Solution:
1.Monitor DVT1 TCC test pass</t>
  </si>
  <si>
    <t>[na] Issue: BT test ，IKSWR-6070，[BRDTEST] BATTERY_OFF_CURRENT_BOARD_1 Fail ，800ua  VS target 300uA ,Retest Pass，NTF。9/21, 11.9%; 9/22, 14.1%
Clue1:Attaching Display and Power Cycle 100 times. No Issue.
 2:open kernal uart log and remove display ,power cycle over 100 times,no issue
3:leakage current is from AVDD_BYP of PM8150L,640uA
Root Cause:  
1. Speculation:  Device Config and initialization issue
solution：SW change . import in DVT1 SW . close .
can reopen it if it reproduce.</t>
  </si>
  <si>
    <t>[s3] Issue: ALT WH131408，B6 ，unable to read memory card initial and recovers after TH/TC in loop2 but the same failure repeats after TH/TC in loop5.  
A4(5), B3(5)        Loop5 can not read memory card.                 
A2(0)        unable to read memory card initial and recovers after TH/TC in loop2        
Clue1: Tear down B6,No  SD Card solder issue found.
Clue2:2 initial failure found, but recover
Clue3:SD Strace &lt;60mm.
Root Cause:   1.
 SW analysis  log ，https://idart.mot.com/browse/IKSWR-6840, ---log invalid（时间不匹配）
 EPr03 - Memory Card Compatibility Testing pass，including 21 different Tcards
close 。will reopen it if it reproduce</t>
  </si>
  <si>
    <t xml:space="preserve">[NA]Issue: some LPD mis triggered isuse found ，
clue
1: no issue in Without redriver boards 
Root Cause:
1.should be Redriver impact it
EXP1:remove redriver  and checked ok:
EXP2:ADD pulldown R on SBU to check LPD limit :300~400KR .
EXP3:check Redriver Aux on Hi_z config : 80~160KR.  lower than LPD limit ,causing the issue.
Solution:
1.remove LPD function on SW
 </t>
  </si>
  <si>
    <t>[na]Risk:DP Signal eye height 98.6mV in worst case(850mV and 3.5dB Pre-emphasis , not meet 104mV spec in No Redriver Solution.
Clue1:with Redriver,Eye Height=145mV(Cost Up0.8$).
2:with 1.6m extension cable,DP link ok in No Redriver Solution
Root Cause:1.Insertion loss of FPC and PCB Routing with 5.9dB loss
Exp1:Test More Display ,9/29
Exp2:Measure the accurate Swing Voltage between 600mV and 850mV to detemine the margin.
Solution:1.Sub Board using No Redriver go first and keep verify the risk level in the following.
Product Team raise PCMCR to add USB3.1 and DP1.4 , Need Add Back Redriver. Closed.</t>
  </si>
  <si>
    <t>[s3] Issue: DVT EPr04 WH131416 After making a call, the screen turn off,cannot recovered by itself 
root cause: parameter related ,need tuning  by 9/30 ,not blocking PCB 
solution:SW change . done . self receck ok by 10/13</t>
  </si>
  <si>
    <t>[s3] Issue:thermal ，在正常CQA 闪光灯打开时温度过高     ,手在靠近闪光灯的时候烫手，请怀玉帮忙看一下是否可以调整
Root Cause: 默认电流300mA.超过标准的200mA左右。 
Solution:1. SW  tuning  torch  current setting</t>
  </si>
  <si>
    <t>[s3] Issue:thermal ，在正常CQA检验过程中手机温度会比其他项目温度高
Root Cause:  1. can  not sleep .more power .  SW  not very stable , will refer to TCC thermal test data</t>
  </si>
  <si>
    <t>[S3]Task: USB 2.0 eye test  ， devices mode test done and pass</t>
  </si>
  <si>
    <t>[s3] Issue: DP Audio no function
Root Cause:  Audio get information that it is HDMI ，so audio output with HDMI.   config it to DP output ,it will ok. need to find out why HDMI information report to Aduio.
Solution:1.  SW workaround  changed ,and SW checked ok.   mainline SW check pass 9/27</t>
  </si>
  <si>
    <t xml:space="preserve">[s3] Issue: OTG  output 1.6A loading ，有0.7V的纹波，频率160KHz左右。 1A 时是400mV左右，和其他机器类似。还可以接受。
Root Cause: 
Solution:1.  </t>
  </si>
  <si>
    <t>[s3]Risk ：TOF FPC上 Xshut pin 直连到VDD（2.8V），是否有风险
Root Cause:  结构空间只够5个弹片，Xshut 评估有机会FPC上直接拉高来省掉一个pin，达到5个pin的目标。但是FPC上没有留上拉电阻，而是直接接到2.8V。后来追查结构上空间也非常有限，很难加 电阻在FPC上，除非万不得已 
实验:1. ST L3 demo 板上直连Xshut 和VDD ，接2.8V电源，发现只有5UA漏电，可以认为没有漏电问题，可以接受
          2.裸片IC单独2.8V供电，对地电流约为0.7mA，Xshut对VDD短接后，对地电流为微安级，在可接受范围内，风险等级低
solution： keep design</t>
  </si>
  <si>
    <t>[s3] Issue:thermal ，目前布局热管对不上POP 的CPU。 需要确认下如何处理。
Root Cause: -受结构限制问题 （特别是中框件不能动） 
Solution:1. 布局或结构中框调整，让热管尽量靠近CPU热源
风险低</t>
  </si>
  <si>
    <t>ME link</t>
  </si>
  <si>
    <t>[S3]Issue:SIM2 不识别
Clue:1.SIM2通道有正常信号访问
Root Cause:
1.软件采用的初始NV 数据直接参考Racer，导致无法识别.
Solution：1.SW调整NV ， 可以识别.</t>
  </si>
  <si>
    <t xml:space="preserve">[S3]Issue:无法Provision
Root Cause:
1.SW直接采用Racer上的UFS3.0，Memory Type 设置不对，我们使用的是UFS3.1
Solution:
1.SW正确配置Memory Type
</t>
  </si>
  <si>
    <t>Issue:Can't Power On with Leakage Current in After Sale ,12/20 units of not power on .  0.0x%
RootCause:
1.USB_CC;PM660 ,Pin27 ;VOL_UP;PM660A,Pin97
2.USB Vbus(5V) Closed to CC1,CC2
3.CC1,CC2 Maximum Voltage =6V
Solution:
1.Accept the failure rate.
2.SM6150 CC1,CC2 upgrade to 22V 
3.TCC Evaluate More units - 2019/4/30</t>
  </si>
  <si>
    <t xml:space="preserve">[S2]  Shelby P-sensor :can not power on when LED current set to 150mA
Clue: 
RootCause: 1.LDO OCP 2.Wrong Configuration
Solution:1.Right Configuration
</t>
  </si>
  <si>
    <t>[S2]Issue:User Feedback that Black screen when talk
RootCause:
      1.P-Sensor TMD2725 has bug on calibration, It occurs when IR of Sunlight transition when Calibrate.
      2.Easier triggered on high gain 4X ，Normal 100mA,2X,or 1X is ok on golden eagle,houdini
Solution:
      1.SW Work around to void negative P Value.
      2.Change  Gain to1x for better margin（LED current from 20mA to 80mA to match performance requirement）</t>
  </si>
  <si>
    <t>"[S3]Power users roam to China and found Shelby had a short battery life.
Clue:
1.Using VRZ Sim 2.Ask another Power User who are roaming to china,Battery Life is normal,He closed the data link. 3.Houdini also have GMS issue
Root Cause:
	1.Proposal:4G connecting not stable because of the compatibility of network service.
-Try 3G manually and try.
-Observing the Signal connecting status
	2.Proposal: VPN was blocked because of Chinese Government Policy Issue,GMS(Google Service) keep trying connect to Google Service and cause extra 7 Hours battery life dropped which is found in Houdini too due to WakeLock Service don’t release .
		-setting -&gt;battery-&gt;Slider down to check if  GMS have abnormal battery drain percentage
	3.Proposal:VPN Usage will cause extra 10 Hours Battery life Dropped which can be reproduced.
		-setting -&gt;battery-&gt;Slider down to check if VPN activated
	4.Proposal:other APP that keep connecting
		-setting -&gt;battery-&gt;Slider down to check if  some APP have abnormal battery drain percentage
	5.Proposal:User in low signal strength Area which cause searching with maximum power,maybe low possibility in china
		-Observing the Signal connecting status
Solution:
	1.Normal issue 2.Normal Issue 3.Normal Issue 4.Normal Issue 5.Normal Issue.
Closed</t>
  </si>
  <si>
    <t>[S3]Als no function 
Clue:Connetion Bad
RootCause:Spring Contact Issue,ME Analysis
OK2Ramp Pass，Closed</t>
  </si>
  <si>
    <t xml:space="preserve">[S3]1 unit found Missing Pixel with  Mods Projector
Clue:1.BT Pass,2.With Projector Mods Fail
Root Cause:1.Solder Joint on AP DSI4&amp;5
</t>
  </si>
  <si>
    <r>
      <rPr>
        <rFont val="Georgia"/>
        <b/>
        <color rgb="FF000000"/>
        <sz val="11.0"/>
      </rPr>
      <t>[S2]   Issue:</t>
    </r>
    <r>
      <rPr>
        <rFont val="Georgia"/>
        <color rgb="FF000000"/>
        <sz val="11.0"/>
      </rPr>
      <t>ALT WH105378 A5 loop2 Magnetometer sensor no function
Root cause: 1.M-Sensors Crack by cutting force Observed on FPCA  2.M-Sensor was cut by Sharp Edge in the Slot 3.M-Sensor need glue more 
Solution 1.Expand Glue on M-Sensor
               2.ME Expand Slot 
               3.Proposal：SOP Improvement
Merge to 2018-3-29 Edu02 Issue ,Close</t>
    </r>
  </si>
  <si>
    <r>
      <rPr>
        <rFont val="Georgia"/>
        <color rgb="FF000000"/>
        <sz val="11.0"/>
      </rPr>
      <t>[S3]</t>
    </r>
    <r>
      <rPr>
        <rFont val="Georgia"/>
        <b/>
        <color rgb="FF000000"/>
        <sz val="11.0"/>
      </rPr>
      <t>Issue:</t>
    </r>
    <r>
      <rPr>
        <rFont val="Georgia"/>
        <color rgb="FF000000"/>
        <sz val="11.0"/>
      </rPr>
      <t xml:space="preserve">DVT3 Edu02 Magnetometer sensor no function
</t>
    </r>
    <r>
      <rPr>
        <rFont val="Georgia"/>
        <b/>
        <color rgb="FF000000"/>
        <sz val="11.0"/>
      </rPr>
      <t xml:space="preserve">Clue:
</t>
    </r>
    <r>
      <rPr>
        <rFont val="Georgia"/>
        <color rgb="FF000000"/>
        <sz val="11.0"/>
      </rPr>
      <t xml:space="preserve">                1.Magnetometer Sensor no function also found during Assembly
                2.EDu02 on FPCA samples 10pcs checked Pass by Hongflex. 
                3.PVT IQC Sort FPCA,No Failure Found.
</t>
    </r>
    <r>
      <rPr>
        <rFont val="Georgia"/>
        <b/>
        <color rgb="FF000000"/>
        <sz val="11.0"/>
      </rPr>
      <t xml:space="preserve">Root cause: 
</t>
    </r>
    <r>
      <rPr>
        <rFont val="Georgia"/>
        <color rgb="FF000000"/>
        <sz val="11.0"/>
      </rPr>
      <t xml:space="preserve">                1.FPCA Damaged. Nothing to do with Edu02 
                2.Some 3 of 5 M-Sensors Crack Observed on FPCA  
                3.Proposal:M-Sensor Crashed with the Pocket Edge during Abnormal Assembling: -Owner:NPI liuyulong         
</t>
    </r>
    <r>
      <rPr>
        <rFont val="Georgia"/>
        <b/>
        <color rgb="FF000000"/>
        <sz val="11.0"/>
      </rPr>
      <t xml:space="preserve">Solution:
</t>
    </r>
    <r>
      <rPr>
        <rFont val="Georgia"/>
        <color rgb="FF000000"/>
        <sz val="11.0"/>
      </rPr>
      <t xml:space="preserve">                 1.Proposal：Assembly SOP Improvement –Owner：NPI Liuyulong
                 2.Proposal：Enlarge the M-Senosr Pocket as below for more space for M-Sensor–ME Ethan
                 3.M-Sensor need glue more                                    
</t>
    </r>
    <r>
      <rPr>
        <rFont val="Georgia"/>
        <b/>
        <color rgb="FF000000"/>
        <sz val="11.0"/>
      </rPr>
      <t xml:space="preserve">Plan:
</t>
    </r>
    <r>
      <rPr>
        <rFont val="Georgia"/>
        <color rgb="FF000000"/>
        <sz val="11.0"/>
      </rPr>
      <t xml:space="preserve">                 1.Assembly Issue Analysis，Focus on Side FPCA Assembly in PVT, To see if failure found in JOT  –Owner:NPI ，On-Going
                 2. Enlarge the M-Senosr Pocket more space for M-Sensor –ME Ethan ，Done，Solution Run in Change in MP directly.
                 3.Glue M-Sensor - ME Ethan/BB</t>
    </r>
  </si>
  <si>
    <t>[S3]issue：Media volume maximum,  when rear camera take picture  ,there are some vertical line.
clue：Audio smart pa and rear camera avdd 2.8v ldo use the same B_plus power supply,
Root Cause:1.Smart pa consumes large current ,  so B_plus voltage has a big drop which belows 2.8V， AVDD ldo putout is not stable ,this causes the issue happen
Solution: 1.Cirrus Enable Surge Current Threshold，Verify Pass，SW imported</t>
  </si>
  <si>
    <t>[S3]MyDP I2S Bring up
SW Own</t>
  </si>
  <si>
    <t>[S3]QC CR：03374129  moto CR：IKSWO-65523 
issue： Kernel panic while streaming music and using BT headset B2GID:301816190    1 time
clue： QC log analysis show：  This issue is happening due to memory corruption. issue is only once so far. Lets keep this in monitoring state.
           moved the case to h/w CE to help further as device needs for PTE/foundry team investigation. 
QC reply ，BT issue ，RF take this issue。</t>
  </si>
  <si>
    <t>威姐</t>
  </si>
  <si>
    <t xml:space="preserve">[S3]CR IKSWO-71285  One Unit Haptic feedback has stopped working / Audio Lost B2GID:301980855
Clue:1.Log show I2C issue,new type  2.Re-Boot OK 2.DVT2a HW Version
Root Cause:
Solution:
Plan:1.NTF,Monitor
</t>
  </si>
  <si>
    <t>[S3]Samsung Display White after ESD Zone 16
Clue:1.
RootCause:1.EMI Conductive Fabric on LCD Driver Area Introduce the ESD Energy 2. ESD Energy Flow Through Sensitive Area of LCD Driver
Solution:1.Better conductive EMI Conductive Fabric to GND 2. Using Anti-Static Film to Block the ESD Energy through Sensitive Area ,DVT3 Validation Pass.</t>
  </si>
  <si>
    <t>靓仔</t>
  </si>
  <si>
    <t>[s3]Soft ESD Failure on Second Vendor TianMa D6 Unit,Reboot OK （8KV Air discharge）
Clue:1.Zone1- P-Sensor/SPK no function ,Reboot OK  2.Zone1 -System Halt ,Reboot OK.
Root Cause:1.Codec Affected by ESD through SPK 
Solution:1.Move TVS Position to the SPK Terminal,
                  Evaluation Pass.
                  Antenna Eval Pass
                  DVT3 Validation Fail，
                  Keep Original Design</t>
  </si>
  <si>
    <t>[s3]DTV app shows signal low when inserts usb with wall adaptor.
Clue:1.
Root Cause:1.Charger Detection Invoke USB while it is used for Video Steam
Solution:1.Disable USB Invokation in these scenario
Plan: Support SW, SW solve it</t>
  </si>
  <si>
    <t>文亭 &amp; 李果</t>
  </si>
  <si>
    <t>[s3]60% HDK Projector test Fail on DVT2B
Clue:1.Projector Mods OK 2.Slim Port Routing is ok 3.Eye diagram OK 4.DP Link error ok 5.Fine Tune Drive Strength ，No Improvement
Root Cause:1.DSI MIPI Lanes Set to  2 ,It should be 4 Lane. 2.Some Cable can't supoort 1080P stablly.
Solution:SW Lead 1.Configure right 2.Config to 480p
Plan:1.Validation with other Factory in Brazil</t>
  </si>
  <si>
    <t>[S2]Issue:1. Shelby_IF_QBOOT_BLANK_FLASH_01_true fail  In DVT2A EMEA &amp;Brazil SKU . 
Clue:1.Erase DDR ,Can't reproduce 
2.heat Unit 1 memory about 100，200,300 degree，can't recover 
3.heat memory up to 400 degree ，Recovered
4.Found Dirt under memory after Take it Down，Re solder the same memory ,recovered. 
5.Heat Unit 2,Can't recover 6.Red dye 1 unit no abnormal found
6.Detached Memory,Check Signal ,one CPU Address line open
Root Cause： 1.CPU Address line Solder open 2.Why solder open,SMT investigate
Solution: 1.SMT investigate
Plan: 1.Cross Section Unit 2 . 2.investigate other 2 units 3.Raise SW SR to Qualcomm</t>
  </si>
  <si>
    <t>[S3]Epr04 test fail in DVT2A 
Root Cause: P-sensor gain is too high 
Solution:1.change gain PLDRIVE to 20,build a new config (tested in XM ok)
Plan:1. retest in Wuhan TCC with new config  by2/24
Verification：1. new WH104491 test pass  at 2/23.    will check with SW chaoyi  change into: OCW28.41-BECKHAM-SHA1</t>
  </si>
  <si>
    <t>[S3]-6KV contact discharge at zone 16(Aging 10),Mods function intermittently, recover after restart.
-6KV contact discharge at zone 16(Aging 10),Mods function intermittently, recover after restart.
Root Cause:1. CC pin ESD Suppression Not enough
Solution:1.change CC pin TVS to larger capacitance and retest with improvement. Evaluation Pass.DVT3B Validation Pass
Plan:1.DVT3B Validation</t>
  </si>
  <si>
    <t>[S2]Power off when Import TianMa LCM
Root Cause:1.Power sequence mismatch between First Vendor Samsung and Second vendor TianMa
Solution:1.Fine tune Power Sequence to meet both of them
Plan:Verifing</t>
  </si>
  <si>
    <t>[S3]Risk:Cap Sensor I2C Risk
Root Cause:
Solution:1.Reset SCL When Error Found
Plan:1.SW arrange Pressure Test</t>
  </si>
  <si>
    <t>[S3] 1.Some Unit Cap Sensor function not stable 2. CQA Test Cap Sensor Fail
Clue:1.Happend when Wifi Scaning each 70S.
Root Cause:1.Wifi Scaning Mode 2.Cypress FW filter
Solution:1.Cypress improve filter,Far away need 6S Response time，DVT3 validation Pass</t>
  </si>
  <si>
    <t>[S3] DVT2A,3/2600,  Mods Projectors still can't work
Clue:1.1 Unit can’t reproduce 2.Change Anx7805,can’t recover
Root Cause:1.ANX7805 I2C error .2.ANX7805 Reset Sequence issue 3.U5041 C4&amp;C5 Solder Joint by X-ray
Solution:SMT Lead-Solder Paste Resize ,DVT2b No defect found
Plan:</t>
  </si>
  <si>
    <t>[S2]Issue:1.Cap Sensor Detection distance cannot match  ANT SAR requirement in DVT1B units 
Root Cause：1.Cypress Solution may not meet requirement 2.Antenna Pad Too Small,3.loading capacitor too big 4.FW Parameter need fine tune
Solution:1.Reduce Loading Capacitor-Done   2.Proposal:Increase Ant Area ,Dropped because of schedule impact . 3. Fireware Parameter fine tune. Best Performance now.but not stable. 4.Using Psensor to resolve Front Detection 5.Back side set as 10mm</t>
  </si>
  <si>
    <t>森森</t>
  </si>
  <si>
    <t>[S2]Issue: Harsu Mods can't work
Root Cause:1.CSI2 P/N Swap ，DVT2A Revised  2.SW do not ready
Plan:1.Support  Jon Bring up 2.Pressure test.</t>
  </si>
  <si>
    <t>[S2]U5040 Solder joint
Root Cause:1.Proposal:Soler Paste Over Volume
Solution:1.Fine Grain Stencil
Plan:Give Advice to SMT on Stencil Grain</t>
  </si>
  <si>
    <t xml:space="preserve">[S3]Issue:1.DVT1B  Second Vendor 4+64&amp;4+32 Hynix memory build . 17pcs can not flash in IF  .
clue:1.Blankflash Success , 2.Fastboot mode failed , 
Root Cause:1.Qualcomm SW Driver Issue 
Solution:1.4G Weak DQS Pull Up Patch-SW </t>
  </si>
  <si>
    <r>
      <rPr>
        <rFont val="Georgia"/>
        <color rgb="FF000000"/>
        <sz val="11.0"/>
      </rPr>
      <t>[S3]DVT2a Tianma display compare result in Max brightness，</t>
    </r>
    <r>
      <rPr>
        <rFont val="Georgia"/>
        <b/>
        <color rgb="FFFF0000"/>
        <sz val="11.0"/>
      </rPr>
      <t xml:space="preserve">+2.5℃ &gt; samsung display
</t>
    </r>
    <r>
      <rPr>
        <rFont val="Georgia"/>
        <color rgb="FF000000"/>
        <sz val="11.0"/>
      </rPr>
      <t xml:space="preserve">          Clue:1.Decrease Brightness ineffective
          RootCause:The power consumption of Tianma is higher than that of Samsung 
          Solution:1.Adding Graphite under Driver IC
          Plan: control the power consumption of Tianma display,DVT2B tracking--onwer: KeyPart
</t>
    </r>
  </si>
  <si>
    <t>[S3]Issue:Remove the Charge,charge icon not disappear
Clue:1.Only happen on AICL Closed
Root Cause:1. PM660 Issue 2.Same as 98
Solution:1.Qualcomm feedback no solution except enable AICL mode.</t>
  </si>
  <si>
    <t>1.BB</t>
  </si>
  <si>
    <r>
      <rPr>
        <rFont val="Georgia"/>
        <color rgb="FF000000"/>
        <sz val="11.0"/>
      </rPr>
      <t>[S3]Issue:DVT1A ESD Test Usb Fail 3 units
D2：After ±8KV air discharge,The computer can not identify the UUT,can not recover.
D3,D4：After -15kv air discharge,The computer can not identify the UUT,can not recover.
Root Cause:1.D2-D4 Usb Analog Switch Damaged
2.Rohm 1pF TVS request by purchase team can't meet Requirement
3.Easy to striked by ESD due to Type C Connector tongue piece protrude
Solution:1.Using Better TVS on DM/DP,Eval 10pF Pass，Verify on DVT1B，</t>
    </r>
    <r>
      <rPr>
        <rFont val="Georgia"/>
        <color rgb="FFFF0000"/>
        <sz val="11.0"/>
      </rPr>
      <t>DVT1B Pass-2018-1-12</t>
    </r>
    <r>
      <rPr>
        <rFont val="Georgia"/>
        <color rgb="FF000000"/>
        <sz val="11.0"/>
      </rPr>
      <t xml:space="preserve"> ，</t>
    </r>
    <r>
      <rPr>
        <rFont val="Georgia"/>
        <b/>
        <color rgb="FFFF0000"/>
        <sz val="11.0"/>
      </rPr>
      <t xml:space="preserve">ALT Fail 1 unit -2018-1-16
</t>
    </r>
    <r>
      <rPr>
        <rFont val="Georgia"/>
        <color rgb="FF000000"/>
        <sz val="11.0"/>
      </rPr>
      <t xml:space="preserve">2.Reserve Additional TVS closed to USB-C Pin on DVT2 3.Reserve 2 0R Resistor on DM/DP </t>
    </r>
    <r>
      <rPr>
        <rFont val="Georgia"/>
        <color rgb="FFFF0000"/>
        <sz val="11.0"/>
      </rPr>
      <t xml:space="preserve">Done
</t>
    </r>
    <r>
      <rPr>
        <rFont val="Georgia"/>
        <color rgb="FF000000"/>
        <sz val="11.0"/>
      </rPr>
      <t>3.TVS Closed to USB Port 
4.2 TVS （Switch+Port）</t>
    </r>
  </si>
  <si>
    <t>6.Display</t>
  </si>
  <si>
    <t>[S3]Issue: can't boot in low temperature environment (-10C°）
Clue:1.battery capacity drop to 0%, so can't boot up 2.Sencond Vendor Battery is OK.
Root Cause：1.Qualcomm Fuel gauge Algorithm issue,ESR+Rslow&gt;2ohm under -10°C
Solution:1.Fine tune ESR coefficienct,Evaluate OK
Plan:1.Gathering Battery Discharge data and to check with Qualcomm to possition the issue.</t>
  </si>
  <si>
    <t>[S2]Issue:1.DVT2A Build Projector Failed
Root Cause:1.I2C read 0X42,and then Fail to Write 0X02 due to clk bit halt on 6th bit due to I2C Arbitary mode
2.The Rising of V1.0 Power of Anx7805 affect the CLK during 1us.
Solution:1.Retry Reading IO expander-Verify Pass. 2.Initial IO expander first, Presure Test on Projector Open Scenario ,Focus on Vibrator and Audio.- Pass</t>
  </si>
  <si>
    <t>[S2]Issue:CE ESD Usb Link Fail
Clue:
Root Cause:Usb Data Transfer interrupt by GND voltage drop when ESD
Solution:1.Proposal:Separate Signal  &amp; Changing GND with Shielding GND 2.Proposal:Separate Shielding GND with Cable 3.Better TVS with bigger Capacitor- Sporton Verify Pass
Plan：1.import S3 in dvt2a and monitor
Closed</t>
  </si>
  <si>
    <t>[S3]Issue:Vibration/Earpiece speaker/Alert speaker function intermittently during ALT
Root Cause:1.I2C Abnormal lead to Function intermittently 
2.Anx7805 I2C Abnormal lead to this issue.
3.I2C abnormal when Anx7805 Pown Down and V1.0 Power Supply exit.
Solution:1.Using independent GPIO to control An7805 1.0V Power 2.Modify Power on/off Sequence to avoid Power down and V1.0 Power supply exit at the same time. 3.Reset IO expander U5401 when I2C crash.
Plan: 1.Monitor in DVT2A</t>
  </si>
  <si>
    <t>[S2]Issue:Alt test after ESD,GamePad Mods keypad no input
Clue:
RootCause:1.ANX7805 Usb Port Damaged 2.ESD Proect May not enough
Solution:1.Optimize ESD Protection，DVT2A imported
Plan:Monitor DVT2A Test Status</t>
  </si>
  <si>
    <t>[S3] NTF BT ：DVT1B   AMPS_MSMGPIO14_INITIAL_LOW_STATE fail
Clue：
Root Cause：1.Power Sequence Issue
Solution：1.Initial C-Wire first，and start to test 
Plan：Verify on DVT2A</t>
  </si>
  <si>
    <t>[S2]DVT1a  2 units（total 1500pcs） JOT  AMPS_NO_LOAD_CALIBRATION_STATUS fail
clue：1.SN: NS9A110077 change U710/U711 to a new one retest pass by  liguoa
           2.SN: NS9C120127 is under analysis by Xianhua
           3.No Signal When Calibrate 1A
           4.Same Issue on Houdini
RootCause:1.276 ,280 exceed 1-255 range
Solution:Replace 220K compensation Resistor with 620K
Plan:1.Replace 220k compensate Resistor with 620K , 2.Verify in DVT2A</t>
  </si>
  <si>
    <t>[S3]Issue:DVT1A Power Consumption exceed 2mA,Failed at Standby Mode (6mA while BT/WiFi is on)
Clue:
Root Cause：1.Mods Anx7805 IC 1.0V Power Supply is not shut down. 2.This IC share the same Power Source with WIFI/BT,Enable Pin share the 3.3V Power Supply on Anx7805
Solution:1.Using Seperated GPIO as Enable. 
Plan:1.Import Solution1 in DVT2A and verify</t>
  </si>
  <si>
    <t>[S3]Issue:1.DVT1a U5040,U5041 Solder open issue ，SMT suffered failure rate of 0.5% 
Root Cause:1.Cold Pad Design lead to Solder Open
Solution:1.Expand Solder Paste 2.using cold pad design 2.Reseve Glue Design on this IC by fine adjustment hole on shielding case 
Plan: 1.DVT2A Verify</t>
  </si>
  <si>
    <r>
      <rPr>
        <rFont val="Georgia"/>
        <color rgb="FF000000"/>
        <sz val="11.0"/>
      </rPr>
      <t>[S2]Issue: Ps/ALS  sometimes not work after 1.2M drop .  reboot ok .
Clue:1. ME found that Position Over limit
Root Cause:pop pin connect shortly open when drop ,recover after a short time.  cause p-sensor work abnormal
Solution：Proposal 1. ME check design
                    Proposal 2. SW evaluate recover method at same time. 
Plan: 1.Follow up ALT  DVT test result 2.Push Software Insert Recovery Mechanism 3.Push ME Analysis or Improve Spring Contact Stability   
DVT1A ，1st ALT ok ，</t>
    </r>
    <r>
      <rPr>
        <rFont val="Georgia"/>
        <color rgb="FFFF0000"/>
        <sz val="11.0"/>
      </rPr>
      <t>follow up DVT1A 2nd ALT</t>
    </r>
  </si>
  <si>
    <t>[S3]Risk:SD trace is too long (130mm length,More than   limitation 77mm)
Conclusion: keep good pcb layout，protect the signal, keep equal tace length.
Verification:EVT Test, 1.4ns,   0.96ns , Risk Turn to Issue.
Issue:SD card Interface Signal Integrity Fail,
200M Mode ;Clk,Data,CMD Rising Time/Falling Time Exceed 1.4nS,Creteria &lt;0.96nS.
Clue:1.200M Sandisk sd card ,SDR104 ,No Speed affection  2.100M （No Brand）Copy fail temporarily,Signal Integraty OK,low down clk to 50M ok.
3.Modify IO Driver Capability,can't meet.
Root-Cause:Trace too long
Solution:1.Optimize Routing,Less Gounding to lower down parasitic capacitance 2.Lower Down Clk when Data Error rate
like P2,or Houdini</t>
  </si>
  <si>
    <t>[S3]Issue:ALT   WH103118        B1 can not power on with turbo charge mods. 
RootCause:1.Analog Mux Damaged lead to can't power on
2.Proposal:maybe caused by ESD/EOS
Solution:1.Optimize Mods Pin ESD Routing in DVT2.
Plan:1.Monitor</t>
  </si>
  <si>
    <t>[S3]Issue:Edu16 Charger Overvoltage Test 1/2 Fail
Clue:1.D2, After 11V Charger Overvoltage test, the charge current changed to 1.5A（Initial 500mA ），can be recovered by restart, the test stop
Root Cause: 1.It is not a OVP Issue,2.Why Trigger 1.5A Charging Mode is a SW Issue
Plan:Support SW to Analysis.</t>
  </si>
  <si>
    <t>[S3]Issue:DVT1A ESD Test Unable to power on
D1：After -15KV air discharge,power off,unable to power on
Root Cause:1.LCD Damaged lead to fail to power on
2.Wrong Grounding Foam Position lead to ESD Damaged(Conclusion by Display zhuanghuajun)
Solution:1.Enlarge Conductive Foam and Graphite Keep out Area  ,Verify  1 unit evaluation pass 
Plan:1.Evaluation Thermal Side Effect.</t>
  </si>
  <si>
    <t>[S3]Issue:DVT1A ESD Test Display Missing Pixels
D5：After-15KV air discharge,display missing pixels.
Root Cause:1.Wrong Grounding Foam Position lead to ESD Damaged(Conclusion by Display zhuanghuajun)
Solution:1.Enlarge Conductive Foam and Graphite Keep out Area  ,Verify  1 unit evaluation pass 
Plan:1.Evaluation Thermal Side Effect.</t>
  </si>
  <si>
    <t xml:space="preserve">[S3]Issue:Cap Sensor Sensing Fail
Clue:1.2 Channel Fail,Value 2000-5000 ,Normal value is 0.
Root Cause:1.Antenna Switch output capacitance affection lead to sensing failure
Solution:1.Add 82nH Inductor to cancel this affection
Plan:1.Antena confirm the inductor affection,2.NA Sku keep run for data. 3.Latam Sku add 82nH inductor.4.Reserved inductor in DVT1B,Will determine the final solution after solution verification pass.
</t>
  </si>
  <si>
    <t xml:space="preserve">Issue:The eyes height is fail, compare with Eagle it is fail too. 
Rootcause:1.Maybe due to the MDK to increase the length of lines. 
Plan:1. Check if there are some opportunity to improve the pcb layout.
         2.Check if can test without MDK
         3, Refer to the Mydp test result which using the same lines. </t>
  </si>
  <si>
    <t>[S3]Issue：4 units boot up failure after ALT
Root Cause:
        1 VREG_OLEDB Abnormal result in Boot Failure
        2 OLEDB_EN Abnormal result in VREG_OLEDB Abnormal
        3 PCB delamination under Mods result in OLEDB_EN crack
Solution&amp;Verification：
      Solution 1:Wires on 9th Layer Keep away from Mods Conn
      Verification 1=DVT1B Verify 
Plan：
      1.Mods Connector Changed to original version,Low risk</t>
  </si>
  <si>
    <t xml:space="preserve">[S2]Issue:Shelby EVT2 can't compliant with Xiaomi 10W Type-C Charger.
Clue:1.Factory Software 2.Moto 30W Charger is ok . 3.Verify Xiaomi 10W Charger OK(Include Low Voltage) 4.Compliance test is ok
Root-Cause:Need issue confirmed
Plan:1.Need to reproduce issue ,Proposal 1):Using 4X Extended USB Cable 2).Using repeater 3)Using USB Cable without D+,D-
</t>
  </si>
  <si>
    <r>
      <rPr>
        <rFont val="Georgia"/>
        <color rgb="FF000000"/>
        <sz val="11.0"/>
      </rPr>
      <t xml:space="preserve">[S3]Risk: Flash Thermal Evaluation fail  at 1.5A which exceed LED's Junction Temperature , and will damage flash led
Clue: 1.factory flash calibration set flash current  1.5A(cool)+0A(warm)/  0A(cool)+1.5A(warm)  2.Ibis use the same LED Flash,No defect in Factory,After sale
2.Thermal Evaluation result: Flash can work at 1.2A(cool)+0A(warm)/0A (cool)+1.2A(warm)/0.75A(cool)+0.75A(warm)
Root Cause:1.
Solution :1. Flash positive add vias      2.  Flash positive enlarge copper paving
Plan:1.Verify on DVT1A    </t>
    </r>
    <r>
      <rPr>
        <rFont val="Georgia"/>
        <color rgb="FFFF0000"/>
        <sz val="11.0"/>
      </rPr>
      <t>Same AS Ibis（simulation data）</t>
    </r>
    <r>
      <rPr>
        <rFont val="Georgia"/>
        <color rgb="FF000000"/>
        <sz val="11.0"/>
      </rPr>
      <t xml:space="preserve"> ，monitor</t>
    </r>
  </si>
  <si>
    <t>[S3]Issue:WH102567 ESD Fail，Unit Can't Power On
Clue：1.Restart Fail 2.disassembly and find no grounding for display module.
Rootcause:1.Display damaged 
Plan:1.KP  zhuanghuajun Analysis. 2. grounding  display module in DVT1A   .</t>
  </si>
  <si>
    <t xml:space="preserve">[S3]Issue: EN301489 RS Pre-test fail 
Clue：With this solution 1，#8#9Failed, Using Letv cable Pass -2018-1-13
Root Cause:1.Mic Bead cause the unbalanced which easily affected by RS 2.
Solution:1.Remove Mic Bead, Pass ，2.Add 2 1.5nF Capacitor on Mic Channel and R&amp;L to System GND,Pass
</t>
  </si>
  <si>
    <t xml:space="preserve">[S3]Issue:Vibration/Earpiece speaker/Alert speaker  not work sometimes (function intermittently at 12/28) ,found by SW Yongbin. more units were found
Clue:1. Log show I2C fail. 2.SMT suffered Solder open failure rate of 0.5% on U5040,U5041
Root Cause：1.Anx7805 cause I2C Abnormal 2.according to A5 cross section ,it should not related SMT issue
Solution:1.Refer to &lt;[S3]Issue:Vibration/Earpiece speaker/Alert speaker function intermittently during ALT&gt;
Plan:1.Same issue with another one ,combinate
</t>
  </si>
  <si>
    <t>Issue:EDU04 WH102186 fail
Root Cause:
1. U550 Damaged by MosFET breakdown in over reversed polarity Voltage.
2. U550 reversed polarity Voltage SPEC is -0.5v/2A, and measured Voltage is -0.382V/1A ,-0.432V/2A in SPEC.
3. TCC retest 5PCS ,all pass. 
The design is available,only 1 PCS damage maybe cause by other reason.(etc. wrong test condition/ component single defect）
Monitor in the next test.  DVT1A pass</t>
  </si>
  <si>
    <t>Issue:Synaptics Need 3.45V LDO  
Root Cause: SPEC  requirement 
Solution：1. 3.45V  LDO  use On
                   2.  change power input of 3.45V  LDO from VBAT to OTG  power 5V boost  . Done
                   3. Choose 3.5V LDO for second source availible
Plan:DVT1 Verify  NO FOD in shelby</t>
  </si>
  <si>
    <t>礼森</t>
  </si>
  <si>
    <t>Issue:DVT EDu03 Eval - ESD Certification Test 
After +10KV air discharge at left side crevice in zone 16（Aging 10），Cannot open rear and front camera and vibrator no function,can't recover.
Clue:1.LCD Grounding is not good 
Root Cause:Cap sensor damaged .  No ESD protection  now. (ANT TVS DNP in EVT because no sample)
Solution&amp;Verification:1.Mount ANT TVS，DVT1 Vefify Pass
Plan：Monitor</t>
  </si>
  <si>
    <r>
      <rPr>
        <rFont val="Georgia"/>
        <color rgb="FF000000"/>
        <sz val="11.0"/>
      </rPr>
      <t xml:space="preserve">Issue:Unable to power on
   Clue:A3(1),A5(1),B1(1),B5(2)
Root Cause:battery plug incorrectly
Action： Factory correct it in coming build   monitor  2nd ALT test result
</t>
    </r>
    <r>
      <rPr>
        <rFont val="Georgia"/>
        <color rgb="FFFF0000"/>
        <sz val="11.0"/>
      </rPr>
      <t>ME own</t>
    </r>
  </si>
  <si>
    <t>Issue:EvT2 can not recognize network in xiamen enginner lab
Clue:1.Wuhan Fixture OK but Xiamen Fail 2 ADB can't Connect 3.EVT1 OK
Root Cause:Limited Margin due to TVS used in USB D+,D- are 10pF
Solution：Using New TVS with 1pF Capacitance</t>
  </si>
  <si>
    <t>Issue:EVT1st ALT Charging abnormal        Clue:A4(3),B2(3)
RootCause:Cause by Low Temperature, Analysis:Log Provide to SW for analysis；
Battery Power low to 50% easy to cause power off in -10℃
Solution：
1. charge to 100% and make sure battery &gt;50%  during ALT test ,verified ok.</t>
  </si>
  <si>
    <t>Issue:Andriod CTS Camera test item PIP(picture in picture) Failed
Root Cause:1.Rear Camera &amp; Front Camera Using the same CSI0 Data Channel 2.Share Same Reset Signal
Solution:SW Disable parallel cameras for CTS test，  NO need to change HW CSI design</t>
  </si>
  <si>
    <t>Issue:Noise when insert type-c earphones
Root Cause: 1.Mic Bias 25Hz Switch
Solution:1.Mic Bias constant open,Evalation OK
Plan：DVT1A verify, 
Verify: OK</t>
  </si>
  <si>
    <t xml:space="preserve">[S3]Issue: Alternate Operation Fail
Root cause:1.Variant BOM can’t invoke Alternate Part
       2.Alternate Part need same Symbol and Cells name.
Solution:1.Develop tool to solve it .
</t>
  </si>
  <si>
    <t xml:space="preserve">Issue:Mods I2S Tx no out
RootCause:I2S Tx ，Rx Switched in front of MUX input
Solution:
     1. Short TX,RX,  -liguoa---I2S verified OK
     2.Switch TX ,RX on EVT-2  -liguoa - Done
Verification:Verify on EVT2
</t>
  </si>
  <si>
    <t xml:space="preserve">[S1]Issue:With the charger can't turn it off,Will be automatically power on
Clue:
Root Cause:Mobile phone input ALT special instruction(fastboot oem off-mode-charge 0)
Solution:Eliminate the instruction( fastboot oem off-mode-charge)
</t>
  </si>
  <si>
    <t>[S3]Issue:SDA Pin of a MOD connector short to GND
Clue:
Root Cause: The mod connector short circuit
Solution:DVT2 will change the old connector
Plan:</t>
  </si>
  <si>
    <t>Issue：Power Consumption Airphone :29mA
RootCause:   
1.Mods  ANX7805 :20 mA  
2. Cap-sensor :1.1mA
3. TP: 4mA
Solution：
1.10/25 SW has been modified---weiweij
2.Because there is no firmware version cause, need to get the phone debug. Will follow blaine cap-sensor solution.-----caoyi
3. wil be optimization when get the formal TP ----liguo/yongbin
Update Airplane 4.1mA 10/27</t>
  </si>
  <si>
    <t xml:space="preserve">Issue：金手指厚度做成0.3mm，Spec is 0.2+/-0.02mm
RootCause：some DFM mistake confirmation between CAD &amp; Hongflex
Solution：
1.grinding thinner 10pcs by hand- fanlf/liujjg  10/13 done 
2.Hongflex re make the sample (10/12)  chenwt </t>
  </si>
  <si>
    <t>Issue：There is not U6160 in BOM(FPC2050 ,side FPS driver IC) 
RootCause：SCH  Variant BOM affected by old Info
Solution：1.EVT board only not SMT  U6160.  chenwt Done 10/12
2.Soler FPC2050 by hand for SW bring up . Chenwt 10/16
3.update BOM generation process,adding variant review step .fangmei 10/16</t>
  </si>
  <si>
    <t>Issue：EVB Mods Bringup suffer much
RootCause：1.Clock&amp;CS of SPI Swapped 2. M-PHY I2S Rx Missing 3.SPI Switch Signal LPI can't work
Solution：1.Swap clock&amp;cs 2.jumper wire 3.replace LPI-GPIO with GPIO</t>
  </si>
  <si>
    <t>Risk: SAR sensor design， Cap sensor can support 3 ANT？（1 up +2 down）？How to design it？
Evaluation:Change IC  from SX9310 to SX9324. More compatible for High Path capacitor（From 100pf to 200pf，same cost）？
Conclusion:1   Cap sensor can support 3 ANT （3 Bottom ANT）</t>
  </si>
  <si>
    <t>OVP design check,Moto has added OVP IC, Keep monitor</t>
  </si>
  <si>
    <t>Risk：Usb Eye diagram may fail because of Type-C connector on FPC</t>
  </si>
  <si>
    <t>Risk：IBIS Swiwming Water Proof Fail
2017-8-28：IP68 Canceled on NPI，turn NA
Solution：Reserved ADC on CC1 for anti-water research ,Research it on EVT</t>
  </si>
  <si>
    <t xml:space="preserve">Risk: Thermal design check . there should be high thermal Risk ,need further check
Evaluation:
Conclusion：It is fine according to the latest Thermal Simulation
</t>
  </si>
  <si>
    <t xml:space="preserve">Design：Key Design to compatible with Option C1，Option C2，Option D，Option E before 9/5
Conclusion: Design Changed
</t>
  </si>
  <si>
    <t>Issue：LPI GPIO can't use，Need xx more GPIO
conclusion: Add IO Expander</t>
  </si>
  <si>
    <t>Risk:NEW MODs connector SMT RISK( Can  pass Build and can pass ALT)
Conclusion: here</t>
  </si>
  <si>
    <t>Risk:Type C ，switch control logic is correct？
Conclusion: It is ok</t>
  </si>
  <si>
    <t>Risk:M-sensor placed on side of battery ,some Assembly risk
Evaluation: 1. check with AKM porformance .  2. can we put it on main PCB?（base on new stacking）
Conclusion:Place in the middle of Side Key FPC</t>
  </si>
  <si>
    <r>
      <rPr>
        <rFont val="Georgia"/>
        <color rgb="FF000000"/>
        <sz val="11.0"/>
      </rPr>
      <t xml:space="preserve">Product Design:Charging solution 20W？27W  ？ charing IC solution is？(Impact thermal and placement)
Conclusion: 27W Adpater +20W charging rate (not big switch solution) .  Thermal risk is   </t>
    </r>
    <r>
      <rPr>
        <rFont val="Georgia"/>
        <color rgb="FFFF0000"/>
        <sz val="11.0"/>
      </rPr>
      <t xml:space="preserve">high.  Any chance change to 20W Big switch solution？
</t>
    </r>
    <r>
      <rPr>
        <rFont val="Georgia"/>
        <color rgb="FF000000"/>
        <sz val="11.0"/>
      </rPr>
      <t>Charging Solution back to 15W because of cost - 2017-8-1</t>
    </r>
  </si>
  <si>
    <t>Risk:Barometer design ：ME requirement is for IP68？
Conclusion:check with Bosh that no IP68 phone MP with Bosh Barometer .Barometer can not work because the air can not go into the phone.  
Next Action: Any solution for air to go into phone but water can not go into it? Cost?
IP68 Cancel on NPI -2017-8-23</t>
  </si>
  <si>
    <t xml:space="preserve">Risk:P-sensor  ，How to design it in Notch phone？
Conclusion:Camera+SPK+P-sensor+camera,P-sensor on Flex ,now is ok.  needed further tracking if there is any change </t>
  </si>
  <si>
    <t xml:space="preserve">Risk：FPS option 2-3 may have ESD risk
Evaluation：
Conclusion：Solution Canceled
 </t>
  </si>
  <si>
    <t xml:space="preserve">Risk:Use typeC For earphone interface，How to design FM（ANT） ？
Action:1.Inform Risk to RF,RF Own  -Done 6/16
</t>
  </si>
  <si>
    <t xml:space="preserve">[S2]Risk:WDC Memory may exceed erase endurance specification which may lead to no turn on
Clue1:Roburst2 have several No Turn on issue in EWG and DF due to UFS issue 
Clue2:P/E Cycle(Programing or Erase Cycle) limitation should under 1M, For Roburst2 UFS, Low Risk under 200K ;Mid-Risk &lt;-250K; High Risk &lt;=300K 
            Estimated Average P/E Cycle=P/E Cycle Counter+71%x Initialization Counter ≈ 71% Initialization
Clue3:For UMCP， the initialization Counter Coefficient should be low than 71% duo to bisc4 INAND New Generation Tech. WDC will feedback the coef by 12/20(CHN)
Clue4:For Stingray,Initial Assessment P/E Cycle≈ 154K ( From 2 Stingray and 2 quattro Power Cycle Data).More data with more accurate estimate on-going ,12/20(CHN)
The risk is true,we still need more data to have a more clear view.
Root Cause：
    Why no turn on?
1.All Free SLC Block used for improve write operation was wrongly erased after initialization by Firmware due to they are wrongly recognized as "Not Erased" even for erased block,After exceeded endurance Specification,it will lead to no turn on . From WDC FA on R2.
   Why those opeartion issued?
2.1 Those operation will be triggered after VCCQ Power Down in Sleep mode or HW Reset issued. From WDC FA ,It is known issue 2 months ago in WDC.
2.2 Why Free Block was recognized as "not Erased"?
     UFS FW Design Logic error issue
Solution:
1. Correct memory FW 1.without erased all free block operation; 2.enable a new SLC(6% memory capacity consumed)
    and update,by OTA or by service center , WDC will release solution by 12.23 
</t>
  </si>
  <si>
    <t xml:space="preserve">[S2]Issue:Display Flicker during Charging after Patched for Flicker when Loud Speak.
Clue:Only when Battery Fully Charged
Root Cause:
Why Display Flicker when Charging?
1.Input Charging Voltage Ripple 200mV Observed and ELVDD 120mV Ripple observed when Charging to Full battery Capacity, TianMa Display Need 5mV .
2.ELVDD Enter Force Boost Only (0xDE70=0x80)  ,No Issue under Charging with Original setting 0x00(Boost Only Mode and Boost+LDO mode Dynamic Switching) duo to when input Voltage Transient over 200mV-300mV，
Pmic Will Enter Boost+LDO Mode with low ripple(7mV). .
Why ELVDD Force Boost Only（0x80）? To solve issue  when Loud Speak(0.7% Failure Rate)
3.0x00(Dynamic Boost&amp;LDO mode) have issue Switching when Voltage Transient over 200mV-300mV that happen during Loud Speak which lead to over 5mV Ripple
4.1 TianMa Display Only Accept 5mV Ripple, SDC Display accept 50mV due to AVC Tech.
4.2 0x81 mode consume extra 20mA Power current.
Solution:
1.When Charging , Set 0xDE70 as 0x81（Force Boost +LDO mode，Extra 20mA Power Consumption,Acceptable under Charing）
   When not Charging , Set 0xDE70 as 0x80 (Force Boost Mode, No Extra Power Consumption)
   HW Validate OK.  SW Release 7/26
</t>
  </si>
  <si>
    <t xml:space="preserve">[S3]Issue:
     7/5 SW summary User Feedback that Shut Off Suddenly when using DouYin, Camera Capture with Music Background or Duo in Low Battery Status.
    Clue:Stingray 4.6A, Quattro 29.59 6A, Quattro 29.45 5.5A
RootCause:
    1.  Shut Off Due to Supply 2.8V over 3ms on PMIC.
        Exp:VBAT_L2=2600mV(deglitch=8mS) or IBAT_L1=6000mA(deglitch=8mS), it will trigger BF fault and cause BATFET open.
    2. 2.8V over 3ms on PMIC duo to High Power Consumption in Audio Smart PA.Over 7.5A maximum Current Observed in DouYin APP.
    3.1  BCL Setting From 5.5A to 4.5A. 
    3.2  High Audio Smart PA Gain Setting. 30% bigger Current Drain than Stingray. 29.59 have 9% Bigger Current Drain Than 29.45
 Solution:
     1.Enable Smart PA Low Voltage Protection, 50ms or 5ms Release time, HW Verify OK. 
       KP  Audio team check 5mS not impact audio performance , SW will merge this change . by 7/10   Under Pressure Test and DFer Validation
</t>
  </si>
  <si>
    <t>[S3]Issue:29.59-2 Thermal Camera Test, 1°C Higher than 29.49 ,but in test Tolerance.
Clue1:59-2 : 42.9°C @15Min ; 
         29.49 41.9°C@15Min ，39.6°C@10Min
Clue2:Camera Power 3% increased observed.
Root Cause:1. Power Consumption 900mA+@Camera Preview, While Z6 Pro with Same 48M only 600mA
2.Camera Team investigate.
Solution:Monitor.</t>
  </si>
  <si>
    <t>[S3] Issue: Quattro Compatibility Test with M14（ThinkVision new generation Display）10% Display Low Resolution 640X480， about 1-2/10 Failure rate.
Clue: 1080p normally
Clue:External Adaptor with M14, No Issue
Clue:Change Another Cable , No Issue.
Root Cause:
Why Low Resolution?
1.EDID Read error
Exp:Log Analysis. Result:EDID Read Error . Conclusion:Phone side can't read EDID.
Why EDID Read Error?
2.Aux P/N Signal Transaction Affected by OTG Vbus Sink Current 
Exp2.1: Observe Vbus Waveform, Result: Aux Read Time slot in VBUS Sink Current. Conclusion: Aux P/N Affected by Vbus sink current.
Exp2.2:Delay Aux Reading by 5S , Result:No Issue , Conclusion: Aux Reading avoid Big Current can resolve issue.
Why Aux P/N Signal Affected
3.1 Aux P/N in Cable Bad Common mode rejection
   Exp3.1.1:Verify Black Cable and white cable on differential interference.   Result:Aux P and Aux N have different differential interference. Conclusion: Cable Matters.
   Exp3.1.2: Compare Black Cable with Standard Cable. Result:Aux N is more close to Vbus than Aux P which lead to different Common Mode Rejection.
3.2 OTG Output big Ripple duo to Vbus Power
   Exp3.2: Measure WaveForm,Using External Loading . Result: 0.65V Ripple@200KHz (Target &lt;0.5V Ripple) when Current drain greater than 900mA (OTG enter PFM Mode)  Observed. Conclusion: Big Ripple Observed when Current great than 900mA.
Why Big Ripple?
4.OTG of PM6150A Enter PFM Mode and unstable 
   Exp4.1: Switching WaveForm Observation   Result:Big ripple when enter PFM mode.   Conclusion: PFM mode Alter lead to big ripple.
   Exp4.2:Change 4.7UF to 10uF on MID_CHG, Result: 0.2V Ripple@800K  ,Acceptable.  Conclusion: Increase capacitor on Mid_CHG can solved this issue.
Solution:
1.Set EDID Read Fail retry Delay to 4S   -SW Need CR  -  Recommend 
2.Modify Type-C Cable, Twisted-pair Aux P&amp;Aux N. - ThinkVision Team   -  Not Recommend
3. Change C2412 to 10uF ， Cost Up $0.003 - Baseband  -   Recommend , Bom Changed</t>
  </si>
  <si>
    <t>[S3] Issue: Display Missing Pixel after ALT Drop
Estimate to drop this issue ,Due to wrong Test Method-Tear Down Crack Display cause Abnormal PCB Strain.</t>
  </si>
  <si>
    <t xml:space="preserve">[S3] Issue: Display FOD visible after ESD
Clue: ESD at zone15, LOGO LIGHT area. Recovered after 2 minutes automaticly.
Clue:
Root cause:
1.LHBM Reg Affected,
1. Panel Abnormal , TE Lost, Panel Recovery Triggered and Recovered.
Solution:
1.SW recovered and NTF
2.Close LHBM 1.Close LHBM </t>
  </si>
  <si>
    <t xml:space="preserve">Issue:[S3] 
1.P sensor no function after ESD, with permanent damage.  （EDU03） WH116676 1 unit fail 1/6
Clue:
        1. ESD at zone 1, front camera area. ME Status OK.
        2. In 8 TCC tests, 42 units in total before PVT, no this issue.
        3. 8 more PVT units Zone1 ESD  pass .then these 8 PVT units stress test pass(100 times +15kV AD and 100 times -15kV AD on zone 1),  5 times strengthen test.
Root Cause:
1.P sensor IC VDD is damaged, with low impedance. With about 100mA current, IC heats.
2. Receiver deco 2nd discharge.
Solution:
1.Low Risk :Accept 
2.modify Grounding conductive  fabric （make a path for Receiver deco 2nd discharge）,ANT Approved, Runing Change.
</t>
  </si>
  <si>
    <t>[S2] Issue 2:  [Quattro] [Factory] [CQA1]  test  result:P-sensor is at Near status all time.
         Rootcause：
1.Near status caused by high CT due to Rubber  cover the IR LED cause reflection
2. DVT2B Rubber  dimensions：Out of tolerance   
	3. Wrong Rubber Design due to incorrect Vendor Spec 
        Solution：
1.  use MP  tooling Rubber that within tolerance ---PVT  import
	2. change the rubber design ,here ---Pilot Import 
3. change threshold to increase 50% margin.---PVT  import</t>
  </si>
  <si>
    <t xml:space="preserve">[S3] Issue:   sometimes Motoaction can not work outdoors  IKSWP-89083
clue：1. When the IR channel data is too high，Pdata will increase and fluctuate.
Root cause：
1.Moto Action suspend due to P-Sensor report Near status(Pocket Mode),Observed from Log.
2.Low Threshold observed as a result of low noise calibration which triggered by wrong P-Sensor Data under normal crosstalk value.
3.Innormal P-Sensor Data reproduced after P-Sensor quit sunlight Mode. (Sunlight Mode is to solve correct response under outdoor IR enviroment,by setting Pdata=0 and Report Far Status).
4.Why P-Sensor output a wrong data when quiting sunlight mode?  Can not reproduce by Vendor RD. 
Solution：
SW Working Around.
1.Optimize Low Noise calibration :using Average data without Peak and Valey data to calibrate. 
2.Optimize Low Noise calibration : Do not calibrate when IR channel is higher than 1oooo 
3.Debounce Trigger ,Only when 4 continuesly valid data compare to originally 1 .  validated on temp patch. 
4.Set lower sunlight mode to level 1 which is easier to enter  (original is level3) , validated on temp patch. 
5.Low Down 5mm detection distance(20mm Near,25mm Far) to increase threshold to 180,120（MPS=2）.  
DF  Validate Pass.
</t>
  </si>
  <si>
    <t xml:space="preserve">[S2]Issue: 40℃高温关机充电4 hours，充入电量未达标准3.9V
        Clue1:从log分析，高温充电下，充电thermal机制启动，充电电流降到300mA，Quattro 电池4000mAh，电量大，充电速度太低无法满足需求.
        Clue2:thermal config 调整，最低充电电流提到700mA，自测Pass，实验室测试临界pass，与预期不符，从log分析，充电误进USB模式，导致充电电流只有500mA
        Clue3：经过实验室压力测试，关机状态下，常温或高温下，都有概率会进入USB模式，开机不会
                       出现fail的概率和USB cable线插入的速度有关，慢速插入时复现概率高
        Clue4：测量fail时出现的波形，关机下，系统先进bootloader，再进kernel，初始化完成后，亮屏充电，发现在bootloader下做充电状态识别时，会有异常波形出现，导致无法进入BC1.2之后的QC3.0协议，在后续的kernel mode 继续以异常的状态持续充电
Root Cause:  
       1.bootloader模式下，充电状态识别容易出现异常（尤其是慢速插入时），而开机状态，充电识别初始化在kernel层完成，在kernel层的充电识别初始化，未发现问题
       2.Proposal:Moto Bootloader
solution：
       在进入Kernel后重新做一次充电状态识别，可以有效排除慢插的影响，确保系统识别正确的充电类型
       经多次压力测试，OK
</t>
  </si>
  <si>
    <t xml:space="preserve">[S2]Issue:  DVT2A  unable to power on after ALT complete
 Clue:  1. leak current: 15ma when power off
             2. the voltage of DVDD(PM6150) is 1.5v ,the normal voltage is 1.8v
             3. B_PLUS is 1.654V,the normal voltage is colse to vbat voltage.
root cause: 
1.PM6150 is damaged after ALT
2.The corner chipping already propagate to the active circuitry area, so it do affect the function
3.High PCB Stain due to abnormal Test Method that Tear Down Display.
Solution:
1.Monitor next ALT.
</t>
  </si>
  <si>
    <t xml:space="preserve">[S2]Issue: DVT2A Quattro Thermal Failed 4.3℃ on Camera Photo 
 Clue:
           1.DVT2B re-test on camera 43.1°C,improve 1.2°C.
Root Cause：
       1.Camera Fine Tune Not Fixed and power consumes more 
       2.Thermal config Triggered but failed to mitigate the surface temperature.        
Solution：
1. HW: CPU heat spreader Expand
2. Active photo off @Back Therm&gt;40°C
3. MAX backlight  100%-&gt;95% @ Quiet therm&gt;45℃
4. turn off log
5.Turn off WMP(Thermal Log APK)
PVT Validate Pass
          </t>
  </si>
  <si>
    <t xml:space="preserve">[S3]Issue:       standby U510( USB DP ss mux) current leakage 0.6mA
Root Cause:       
        U510 pin 18 EN is pulled up to L7C which is always on , when EN=H，U510 active current is 0.6mA.
solution： 
Change the power supply to L17A  which is used for USB PD.  L17A could be powered off if there is no usb or dp device.
 </t>
  </si>
  <si>
    <t>[S2]Issue:  DVT2A ALS Angular in Y axis is only 25 degree(Standard=33 Degree?)
Clue:        1. Test in Vishay show ALS angle in Y axis only 25 degree
                 2. if no silicone case, 27 degree in Y axis
solution： By adjust LCD brightness response curve</t>
  </si>
  <si>
    <r>
      <rPr>
        <rFont val="Georgia"/>
        <color rgb="FF000000"/>
        <sz val="11.0"/>
      </rPr>
      <t>[S2]Issue: Quattro No turn on issue after ALT drop-Link
Clue1： U2400 Pin solder Crack in DVT1B &amp; DVT2A
Clue2： U1600 Pin solder Crack in DVT2B
Clue3 : all no turn on issues happened after display crack.
Clue4:No issue in Tumbling Test.
Root Cause：
1.U2400/U1600 issue
Exp 1.1: current observation. Result: Conclusion: U2400 abnormal
2.U2400/U1600 solder crack
Exp 2.1: red dye test. Result:U2400 solder Crack found by red dye test.Conclusion: U2400 solder crack.
3.U2400/U1600 weak solder joint. Drop
Exp 3.1 Cross section failed one .Result: by 6/18
Exp3.2 Cross section normal one. Result:Solder Joint Normal .Conclusion: No Issue.
4.Proposal: ME change lead to high PCB Strain 
Exp 4.1: Harder Thermal Pad . Result: Failed too . Conclusion:Harder Thermal Pad also failed.
Exp4.2: .TBD</t>
    </r>
    <r>
      <rPr>
        <rFont val="Georgia"/>
        <color rgb="FF1155CC"/>
        <sz val="11.0"/>
        <u/>
      </rPr>
      <t xml:space="preserve">
</t>
    </r>
    <r>
      <rPr>
        <rFont val="Georgia"/>
        <color rgb="FF000000"/>
        <sz val="11.0"/>
      </rPr>
      <t xml:space="preserve">5. No Sealess Assembly display in position lead to high PCB Strain after display crack and removed for analysis.
Exp 5.1: keep original display until ALT drop finish(loop 5) result:Function and Red-dye no Issue . Conclusion:Drop test without Sealed Display  lead to Extreme High PCB Strain that cause Memory and Pmic Solder Crack.
Solution：
1.add underfill in U2400 &amp; u1600,optimizing underfill cost .
2.Remove underfill
</t>
    </r>
  </si>
  <si>
    <t>[S3]Issue: FOD self test fail, but can recover withou rebooting
Clue:1.  -15KV air discharge at zone 11(Aging 10),Fingerprint Self Test fail, then return to the previous menu,after executing the “Fingerprint performance Test“ test item,then run "Fingerprint Self Test" item.it can be pass 
2. Sensor is alive. AP SPI port is well functioning. 
Solution:
1. SW asked vendor for help.
2. Update SW, PPH 29.29</t>
  </si>
  <si>
    <t>[S3]Issue:User Feedback Quattro Got Hot using 65W Type-C Charger（T480 Note Book）
Clue:Test 65W , Issue Can't Reproduce in XM SW,XM HW,BJ Thermal
Root Cause: Need confirm Issue first.</t>
  </si>
  <si>
    <t>[S2]Issue:      DVT2A P-sensor TCMD unstable
Clue:1. JOT Fixture may impact the test result ----ENG chen Huaiyu /WWTE Tang Muzong
         2. SW  DVT2A_04   get the data different per test , should be some problem  ---SW  Huangjq9
solution： SW&amp;WWTE Own</t>
  </si>
  <si>
    <t>[S2]Issue: DVT1B ALT-WH115686 ， A1(3)        A1:TH/TC,USB charging is normal, but fail to connect computer.                        
Clue： DM,DP common mode filter open , replace it and remove TVS on DP ,it is ok. 
Root Cause:       
          -Why TVS&amp;CMF Damaged?
            1.External High Voltage on DP
                Exp1:Apply 9V on TVS with 1A Discharge Current. Result:TVS Damaged Observed. Conclusion:TVS and CMF damaged on DP duo to High Voltage over 9V
                Exp2:Draw Vbus Log and Pivot out. Result: Continues Voltage over 9V found . MAX=12V
            2.Proposal: SW Issue?    Drop
                 Exp:Observe Normal One VBUS. Result:Under 5.5V . Conclusion: Not SW Issue.
         -Why  over 9V   voltage on DP?
            1.Vbus short to DP due to Bad USB Cable or Bad Charger or Water Ingression
                Exp2:Mark ALT USB Cable and Charger , Observe the following ALT Test.  Monitor if new failure. 
                 Result:the third failure happend
                Exp:Using Charging Monitor test the Calbe and Charger. Result: Heat found between Cable and Charging Monitor. Conclusion: Charger Broken duo to USB Cable Short found.                
        -Why Over 9V on Vbus ?
           1.Proposal:Charger supply Over 9V duo to D+Or D- short to Vbus  
                Exp3:Short D+/D- with tweezers . Result:Vbus go 10V-12V. Conclusion: NA            
         -Why USB Cable Short?
               Artifical USB and  Plug Plastic perished and all fallen off. Bad cable
solution：
        1. Using New Cable &amp; Charger in latest ALT of Quattro.
        2. Discuss with TCC Lab to use reliable USB Cable in ALT Test.</t>
  </si>
  <si>
    <t xml:space="preserve">[S2]Issue:
        Factory IF QBlank Flash Issue ，1-3% NTF (Unknown Device,)
Root Cause:
        1.Soft Reset After Provision lead to multiple channel conflict.
Solution:
        1.SW Optimize Soft Reset by Adding 1S Delay between Provision and Bootloader Flashing.
</t>
  </si>
  <si>
    <t xml:space="preserve">[S2]Issue: DVT1B ALT WH115309 ，Not turn on after ALT loop 5 (6 in 12)
Clue：Cross section， not abnormal found between DVT1A &amp; DVT1B 
Root Cause:       
        1.U2400 PM6150A Solder Crack Found , Confirmed by MDU44 
        2.High PCB Strain Lead to Solder Crack
            Exp:Add Bucket Holder ,Result:6/12 Failure -&gt; 1/10 Failure ，Conclusion:Significant Improved.
            Exp:Add Harder Thermal Pad on U2400,DVT2A Validate Pass
            Exp:Under Fill U2400,Result:DVT1A Validate Pass.
solution：
        1.Add Bucket Holder 
        2.Add Harder Thermal Pad 
        3.Backup:Underfill U2400, DVT1B ALT Pass. 
</t>
  </si>
  <si>
    <t>[S3]Issue: TP no fuction - recoverable
Clue:
1. +8V air discharge at zone 3(Aging 10),touch screen no function,press the power key 10s times later power off,press the power key to reboot recovered.(4/15 10:55)(Front camera(and Front flash) is ON )
2. Zone 3 is the bottom side of display.
Root cause:
TP keypart own</t>
  </si>
  <si>
    <t xml:space="preserve">[S2]Issue: 
          Factory IF QBlank Flash Issue ，1-3% NTF (Unknown  Device)
Root Cause:
          1.Proposal: Moto Multi-Downloading Tools +USB3.0 Issue? (No Issue feed back from other vendor of QC SM6150)
              Exp1:Using Qualcomm Multi-Downloading Tools + USB2.0 Tools
              Resource:PI Align with SW on requirement -IMG include UFS provision,reset  and blank flash in PBL mode
Solution:
            NPI own ，BB monitor and support  
</t>
  </si>
  <si>
    <r>
      <rPr>
        <rFont val="Georgia"/>
        <color rgb="FF000000"/>
        <sz val="11.0"/>
      </rPr>
      <t xml:space="preserve">[S3]Issue:DVT1A Quattro tele camera OIS_VDD and GRO_VDD are swapped
Root cause:   OIS_VDD and GRO_VDD are swapped in camera module 2D drawing. 
Impact: All units before DVT1B Tele camera OIS cannot work（Not including DVT2A）.
Solution:  change the OIS_VDD and GRO_VDD in DVT2A sch
  Action : 1.Notice PI &amp; HPM DVT1a&amp;DVT1B units Tele camera OIS cannot work 
                2. rework units for china team bringup OIS
                3. mail how to rework the units for chicago team .
                4.optimize  2D drawing
</t>
    </r>
    <r>
      <rPr>
        <rFont val="Georgia"/>
        <color rgb="FFFF0000"/>
        <sz val="11.0"/>
      </rPr>
      <t>Lesson learn : optimize  2D drawing  requirement  with Camera Module Vendor .  Such as add power voltage requirement in 2D mapping ,Add current requirement for each power in 2D Drawing . etc</t>
    </r>
  </si>
  <si>
    <t>[S3] Issue: P sensor no fuction after ESD, recover after reboot
Clue: 
1. SW version is 29.15
2. P sensor could get no fuction without ESD, just covered by finger.
Root cause:
1. P sensor fuction bugs in SW 29.15
2. ESD recovery works well in SW 29.16.
3. TCC re-test P sensor fuction after update SW 29.19. No issue this time.</t>
  </si>
  <si>
    <t>[S2]Issue:  DVT1B, NqTL1Q0095, fail to open every camera
Clue: No data read from A+G sensor in CQA test
Root cause:
1. Camera software combines A+G sensor in its algorithm, if  sensor  is inactive, camera will fail to be launched.
2.Question:Why A+G Failed?
persist.img data have been erased, sensor can't download their parameter and stop starting. Reflash persist make sensors all work normally</t>
  </si>
  <si>
    <t>[S3]Issue: Phone drop call after ESD
Clue: 
1. +8KV air discharge at zone 12(Aging 10),Dropped call.(4/15.14:25-14:35)(In a call)
2. zone12 is bottom side of battery door.
Root cause:
Unreproduciable after 200 times +-15kV AD, with phone keypad hidden
Unreproduciable in DVT1B 2nd EDU03 test, WH115370</t>
  </si>
  <si>
    <t>[S3]Issue: System stucked after ESD
Clue:
1. +8KV air discharge at zone 11(Aging 10),Picture jammed,press the power key 10s times later power off,press the power key to reboot recovered.(4/15 10:55-11:05)(Rear camera(and Rear flash) is ON )
2. Zone 11 is the right side of battery door.
Root cause:
Unreporducible after 200 times +-15kV AD
Unreproduciable in DVT1B 2nd EDU03 test, WH115370</t>
  </si>
  <si>
    <t>[S2]Issue: DVT1B +8KV air discharge at zone 10(Aging 6),Drop call,picture jammed,restart cannot be recovered,
Re-pair Bluetooth headset recovery
Clue: 1. zone 10 includes cap sensor ant, div ant and bluetooth ant.
2. From DVT1A to DVT1B, bluetooth ant's GND inductor(2.7nH) is removed.
3. Another new unit could reproduce this issue.
Root cause:
SW Issue, IKSWP-79280</t>
  </si>
  <si>
    <r>
      <rPr>
        <rFont val="Georgia"/>
        <color rgb="FF000000"/>
        <sz val="11.0"/>
      </rPr>
      <t xml:space="preserve">[S3]Issue:DVT1B Display go black when calling with DVT1B ，7 pcs
Root cause:1.P-sensor Rubber change in DVT1B
Exp:Temp parameter  check ok by 4/4 ,Done
Solution:  
1.Provide BAT to update new Parameter.
2.SW ready by 4/8   PPH29.9
</t>
    </r>
    <r>
      <rPr>
        <rFont val="Georgia"/>
        <color rgb="FFFF0000"/>
        <sz val="11.0"/>
      </rPr>
      <t xml:space="preserve">Lesson learn : need to follow up Change impact   .P-sensor Rubber change impact Factory build and TCC test ，when the change was confirmed need to change SW in time for them .（for User too） </t>
    </r>
  </si>
  <si>
    <t>Issue:Quattro DVT1A FVC L1A MXC06（WH114507）D3, alt camera no flash
RootCause:Proposal:
Proposal:1.48M （rear main camera）Connector Release， Lead to CQA rear 1  viewfinder torch on  flash ledTest Failure
软件逻辑上用camera id识别camera关系，48M的camera id正常为0，连接器松动，初始化失败，id 0被分配给其他的Camera。所以在rear 1 viewfinder torchon中看到的是其他camera的图像。
经验证，该机器flash LED自身功能正常。
2.Why Connetor Loose？
Solution:
1.ME Own</t>
  </si>
  <si>
    <t>[S3]Issue:Quattro  DVDD Ripple when work，（哪个camera？什么情况下面出现）
Root cause:Camera Current Drain
Solution: DVT2A  Reserve 1 LDO.</t>
  </si>
  <si>
    <t>[S3]Issue:The video was stucked(Picture jammed) during ESD testing
Root cause: 1. SW bug(IKSWP-73588)
Solution: SW version update</t>
  </si>
  <si>
    <t>[S2]Issue: DVT1A  Tianma Display Flicker found under gray Scale.
Root Cause:   1.Tianma Display can't endure 5mV dynamic ripple of ELVDD.
                         2.ELVDD Power Ripple 5mV when Power Mode Switching on non PSRR mode.
Solution:1.SW set 0xde70 register to 0x80,force ELVDD circuit work at boost only mode.</t>
  </si>
  <si>
    <r>
      <rPr>
        <rFont val="Georgia"/>
        <color rgb="FF000000"/>
        <sz val="11.0"/>
      </rPr>
      <t xml:space="preserve">[S3]Issue: DVTA ALT WH114449  A1 ，Auto power off 1time in loop3(1 in 12)
 clue:         1.after Loop4 ，it always power off after drop
                  2.Press Top  PM6150 Shielding case ，Reproduce case
                  3.remove rear housing ，reproduce （so it is PCBA issue）
                 4. remove  PM6150A Shielding case  ，Reproduce  
                 5.remove PM6150  Shielding case ，can not power on  
                 6. this ALT units were built with temp shielding case ，which can not protect PCBA well.
                7.Measure power (primary power Vreg_BOB=0V ,So  PM6150A do not work completely )
Root Cause:       
            1.U2400 PM6150A Solder Crack Found , Confirmed by MDU44 
            2.Temp shielding case have weak protection
Solution：  </t>
    </r>
    <r>
      <rPr>
        <rFont val="Georgia"/>
        <color rgb="FF0000FF"/>
        <sz val="11.0"/>
      </rPr>
      <t>1. Update New shielding Case , 2nd ALT Test good ,   Mdu44 for double check pass too</t>
    </r>
    <r>
      <rPr>
        <rFont val="Georgia"/>
        <color rgb="FF000000"/>
        <sz val="11.0"/>
      </rPr>
      <t xml:space="preserve">
            2.   Backup solution:underfill for DVT1B 2nd ALT&amp;tumbler  ---linfenga   </t>
    </r>
  </si>
  <si>
    <r>
      <rPr>
        <rFont val="Georgia"/>
        <color rgb="FF000000"/>
        <sz val="11.0"/>
      </rPr>
      <t xml:space="preserve">[S3]Issue:
DVT1A Not turn on after tumbler test WH114467,D1&amp;D2 （2 in 5）
Clue:
1.D1 &amp;D2 Power on current 110~130mA ,can go into 9008 mode with V+ key,but can not download. (should be memory issue)
2.found  Shield case is too weak ,and more than 25% unsolder 
3. D 1 press U1600 then can turn on
Root Cause:
           1.U1600 Memory Solder Crack due to Tumbling, Confirmed by Mdu44
            2.Temp shielding case have weak protection
Solution:
1. </t>
    </r>
    <r>
      <rPr>
        <rFont val="Georgia"/>
        <color rgb="FF0000FF"/>
        <sz val="11.0"/>
      </rPr>
      <t xml:space="preserve">Update New shielding Case ,  2nd tumbler test(With correct shielding case) pass  </t>
    </r>
    <r>
      <rPr>
        <rFont val="Georgia"/>
        <color rgb="FF000000"/>
        <sz val="11.0"/>
      </rPr>
      <t xml:space="preserve">
           2.   Backup solution:underfill for DVT1B 2nd ALT&amp;tumbler  ---linfenga</t>
    </r>
  </si>
  <si>
    <t>[S3]Issue: Front camera preview fixed after ESD test. Recovered after reopen camera app.
Root cause: 
1.No GND for front camera
2.After grounding, issue not reproduce.
Solution:
Add Grounding area.
After enhancing GND, this issue is not reproducible in DVT1A 2nd ESD test.</t>
  </si>
  <si>
    <t>[S3]Issue: P sensor no function after ESD test. Recovered after reboot.
Root cause:
1. Air gap around P sensor IC.
Solution:
1. need SW recovery ,Tracking 
2. ESD recovery works well in WH115318</t>
  </si>
  <si>
    <t>[S3]Issue:P-sensor no function 
Clue: 
Root Cause: Rubber skewed
ME will be in charge of this issue.</t>
  </si>
  <si>
    <t>[na]Simulation:High Strain on BGA4 0.43%,BGA3 0.58%（pixworks&amp;Audio codec ）
Root Cause:
1.PCB Strain
2.Drop Crash
Solution:1.Monitor DVT1 ALT ， Red-Dye Data &amp; tumbler test result
               2.Reserved DVT1B underfill ，need to check how to build DVT1B</t>
  </si>
  <si>
    <t xml:space="preserve">[s3]DP over Usb-c didn't work on AR Prototype of  nReal（若太科技）
Clue:1.Work on DP Display
RootCause:
1.USB SS&amp;DP Coexistance Config?
Exp:Get USB+DP Hub to verify the co-existance
2.Not Fit with This AR(Need Customization)
</t>
  </si>
  <si>
    <t>[S3]Issue: DVTA Factory  IF 9008 and fastboot mode can not get USB3.0
 clue:it is ok when board Power on 
Root Cause:Switch power  L7C not turn yet in Fastboot mode and 9008 . 
Plan:
9008 mode ：not support USB 3.0 on Quattro
Fastboot mode ：SW issue ,Yuecai solve it at 3/21 ,will submit into DVT1B SW by 3/26</t>
  </si>
  <si>
    <t>[S3]Issue:No Main display after Shaker right (WH114449 B3 loop1)
Clue: 
Root Cause: 
1. can't turn on caused by side-key FPC Dome invalid.
ME will be in charge of this issue.</t>
  </si>
  <si>
    <r>
      <rPr>
        <rFont val="Georgia"/>
        <color rgb="FFFF0000"/>
        <sz val="11.0"/>
      </rPr>
      <t>[S3]</t>
    </r>
    <r>
      <rPr>
        <rFont val="Georgia"/>
        <color rgb="FF000000"/>
        <sz val="11.0"/>
      </rPr>
      <t xml:space="preserve">Issue:Display  blink some time ，Worse with Adaptor FPC
Clue: change mipi 1.09 G from 1.14G  ,improved   . but fail too with Adaptor FPC
Root Cause:  Pw8368 insertion loss 
1.EMI filter impact?  Exp1:Replace EMI with 0R Resistor 2/28  No improvement
2. Pixelworks Insertion Loss?
     Exp2-1:works under normal mode  is ok with Adaptor FPC, but the hardware bypass mode fail. 2/28 
     Exp2-2: Compare the mipi signal Waveforms，hardware bypass mode is much worse than normal mode 3/1
     Exp2-3:  mipi Impedance in the px8368wm =100 ± 20%Ohm, but the mainboard PCB and display panel mipi = 85 ± 20%Ohm  
     Exp2-4: Pixelworks Vendor can't putout the Insertion loss data
     Exp2-5: Compare the MIPI waveforms before and after Pw8368, the loss makes the MIPI quality bad
3.SW Configuration on MIPI Signal Integraty, 
     Exp3-1:.MIPI Drive Strength Increase to 0xFF(default 0x88) ，no improvement 3/1   
Product Team Reject this feature due to MEMC not remarkable
 </t>
    </r>
  </si>
  <si>
    <t xml:space="preserve">[S3]Issue：Board ESD Evaluation  Display easy to go dark
Clue: The system is well functioned.
Root Cause: 
1. No ESD recover strategy in current SW version.
2. No TE signal after screen blanked. Panel IC died.
Solution: Pixelworks FAE may provide ESD recover version if possible.
Product Team Reject Pixel Work due to MEMC not Remarkable. 
No this issue in DVT1A PCBA, but need to sheild JTAG connector.
</t>
  </si>
  <si>
    <t>[S3]Issue：USB  3.0 SS ，flip test fail ( 1 side can work )
RootCause: SW Config
Solution:SW re-Config</t>
  </si>
  <si>
    <t xml:space="preserve">[S2]Issue: 40℃高温关机充电4 hours，充入电量未达标准3.9V
        Clue1:从log分析，高温充电下，充电thermal机制启动，充电电流降到300mA，Quattro 电池4000mAh，电量大，充电速度太低无法满足需求.
        Clue2:thermal config 调整，最低充电电流提到700mA，自测Pass，实验室测试临界pass，与预期不符，从log分析，充电误进USB模式，导致充电电流只有500mA
        Clue3：经过实验室压力测试，关机状态下，常温或高温下，都有概率会进入USB模式，开机不会
                       出现fail的概率和USB cable线插入的速度有关，慢速插入时复现概率高
        Clue4：测量fail时出现的波形，关机下，系统先进bootloader，再进kernel，初始化完成后，亮屏充电，发现在bootloader下做充电状态识别时，会有异常波形出现，导致无法进入BC1.2之后的QC3.0协议，在后续的kernel mode 继续以异常的状态持续充电
Root Cause:  
       1.bootloader模式下，充电状态识别容易出现异常（尤其是慢速插入时），而开机状态，充电识别初始化在kernel层完成，在kernel层的充电识别初始化，未发现问题
       2.Proposal:Moto Bootloader
solution：
       在进入Kernel后重新做一次充电状态识别，可以有效排除慢插的影响，确保系统识别正确的充电类型
       经多次压力测试，OK
</t>
  </si>
  <si>
    <t>Andy Issue</t>
  </si>
  <si>
    <t>[S1]Issue：SPK Degrade
Clue:1.
Root Cause:1.Cause by ESD?
Solution&amp;Verification:
Plan:
FuPan:</t>
  </si>
  <si>
    <t>Yangwla</t>
  </si>
  <si>
    <r>
      <rPr>
        <rFont val="Georgia"/>
        <color rgb="FF000000"/>
        <sz val="11.0"/>
      </rPr>
      <t xml:space="preserve">[NA] OK2Pilot ESD Fail,SPK Noise
Issue:ESD Fail on Zone1 -15KV on Alt ,1/2.
Root Cause:Find that Conduct Foam Grounding not good ,100Ω，out of spec 3Ω
Solution:Press Conduct Foam on FPC to ensure the grounding，and then Assembly on back Housing.
Verificaion: Verify ESD 4 pcs on 4/27：WH100063-Pass
</t>
    </r>
    <r>
      <rPr>
        <rFont val="Georgia"/>
        <b/>
        <color rgb="FF000000"/>
        <sz val="11.0"/>
      </rPr>
      <t>Research 1:Further Diving on Bead Effect -yangwla
Research 2:ESD TVS Part Near by Contact Pin Research - yangwla</t>
    </r>
  </si>
  <si>
    <t>[NA]Issue:TMO Thermal Pre-Test Fail ,Gap 5°C
Root Cause:Can't Meet TMO Standard
Solution: Waiver With TMO
Plan:
1.TAM Dialog with TMO on this case by TBD</t>
  </si>
  <si>
    <t>Liguoa</t>
  </si>
  <si>
    <t>[S3]Issue:Sku2 EUT with second source Charger,CE 301489 RE test has 2.1dB margin,FCC 15B RE has &gt;3dB margin
Root Cause:Andy NA EUT Dvt2 A ,Assemble parts mix with first and second source,impact the RE Level
Solution:Use the First source assemble parts
Plan:
Andy NA EUT must guarantee that has no Mix and Match of the first and second source of assemble parts</t>
  </si>
  <si>
    <t>[S3] Sensor No Function found in ALT .
Issue: Andy NA DVT2B Alt 2pcs fail:Sensor no Function        
Root Cause: P-Sensor Solder Short between IC &amp; interposer board
Solution:PE Lead (eminent change SMT line which with SPI )
Plan:PVT SKU2&amp;3 use new samples for control run .</t>
  </si>
  <si>
    <t>Chenwt</t>
  </si>
  <si>
    <t>After +15KV discharged at zone9(camera&amp;flash&amp;MIC2),Mic 2 no function:C2</t>
  </si>
  <si>
    <t>[S1] ESD Fail,SPK Degrade
Issue:ESD Fail on Zone1 -15KV on Alt ,1/2.</t>
  </si>
  <si>
    <t>P - sensor anti-fog test, at the same time arranged SKU1 and SKU3 SKU1 fail, but SKU3 pass</t>
  </si>
  <si>
    <t>huangls</t>
  </si>
  <si>
    <t>ALT/AT&amp;T -Boot up Failed</t>
  </si>
  <si>
    <t>Andy CE Certification RE Test Failed</t>
  </si>
  <si>
    <t>yangwla</t>
  </si>
  <si>
    <t>Bad 5W（1A)） charger issue. change SW  and pass</t>
  </si>
  <si>
    <t>wuxm5/Chenwt</t>
  </si>
  <si>
    <t xml:space="preserve">Issue:RF Buzz Noise
Condition:NS Cancel ，Mic_GND Connect to Pmic_GND
Result: -46dBV/-48dBV </t>
  </si>
  <si>
    <t>Xiaozh1</t>
  </si>
  <si>
    <t>EVT ESD Fail,P-Sensor No Function</t>
  </si>
  <si>
    <t>Andy EVT Edu14 surge Failed</t>
  </si>
  <si>
    <t>4.ALT/DVT</t>
  </si>
  <si>
    <t xml:space="preserve">[S3]Issue:psensor no function in ALT loop5   -Chenwt
RootCause: PAD crack were found on Both PCB &amp; Module .There may be some crash during assembling since silicon rubber case assembled well and no obvious deformation observed.
Solution: Monitor to see if it happened twicely.
 </t>
  </si>
  <si>
    <t>chenwt/Lvgl</t>
  </si>
  <si>
    <t>[S2] DVT2b ESD Fail,Headset Pop Noise
Issue:ESD Fail on Zone15, PVTA&amp;PVTBEval Pass
Root Cause:1.Codec Damaged by ESD through SPK 
Solution:1.Move TVS closed to Signal Pin
Plan: Update ESD Design Rule with high priority -yangwla</t>
  </si>
  <si>
    <t>[S2] DVT2b ESD Fail,SPK Noise
Issue:ESD Fail on Zone1, PVTA Eval Pass but PVTB Re-Test Fail 1/4.
Root Cause:1.Codec Damaged by ESD through SPK 
Solution:1.Add 2 TVS on SPK Channel 2.Switch Semtech Part nearby contact Pin with will part ,Eval 4 pcs with Pressure Test Pass
Verificaion: Verify ESD 4 pcs on 6/1 ,Pass</t>
  </si>
  <si>
    <t>2.Build</t>
  </si>
  <si>
    <t>[NA]Issue: Cap Sensor Detection Partially Fail on BT
Root Cause: 1.No update issue belongs to CQA Software Issue  .2 No output issue need to furtherly Analysis
Solution: Update Cap Sensor Configure Data Avoiding Trensient Response Pending
Verification:Pass</t>
  </si>
  <si>
    <t>5.Certification</t>
  </si>
  <si>
    <t>[S3] Issue:EN301489 ESD Failed on Data Link(Phone to PC) -Yangwla
Root Cause: PC Side USB Module Affected. Cable shielding Issue.Andriod big version update on usb Data transformation  which cause the data verification capability S3 down and the procedure easily affected by ESD. 
Solution: 1. Improve Cable Shielding ,Cert Pass</t>
  </si>
  <si>
    <t>[NA]  George NA DVT2A MDu30 Thermal Test,game+charge,Front side 44.2℃ VS 42℃
Issue:    Pass B standard(45℃） but fail in A standard（42℃），quality update a stricter request and block it.
Root Cause:  cost down solution cause 1℃ up （42.9℃ DVT1B），and charge current mitigation not available for DVT2A test (44.2℃）
Solution:  update SW mitigation solution by controlling charging current.
Plan: Self test pass，and submit to test on 4/26，test result will output on 4/28</t>
  </si>
  <si>
    <t>Linfenga</t>
  </si>
  <si>
    <t>[S3]  George NA DVT2A XM99620 1pcs(Loop5) no turn on
Issue:    no turn on
Root Cause:  PM8940 U1205 Joint Crack by Strain,
Solution:  Under Fill U1205
Verification: Pass</t>
  </si>
  <si>
    <t>[S1]  after ALT(for EDU06) ( loop3 1pcs D2,Loop5 1pcs D10)  No signal
Issue:    LTE No Camp
Root Cause:  U5500&amp;U5600 Solder Crack
Solution:  1.Glue U5500&amp;U5600  2. Single strech Shielding Case
Plan:  https://docs.google.com/spreadsheets/d/11us2BUCEQluIthHAMDMPdh_TdoCEyoipaotpBndCfr8/edit#gid=0</t>
  </si>
  <si>
    <t xml:space="preserve">[NA] Can not power on after ALT(for EDU06) ( loop4 TH/TC done )  D7
Issue:    VPH_PWR short to GND.  C2110 component issue.  remove it and the phone ok.
Root Cause:  PE lead the fail analysis
Solution:   PE lead
Plan:  TBD </t>
  </si>
  <si>
    <t>[NA]Issue:ALT DTF test ,3*Loop5 ，1 pcs no power on
Analysis/RootCause:From cross-selection Analysis,U1205(pm8940) had cracked on the board side of solder joints
Solution/Verificaiton:ALT and tumbler test were pass until now.
Plan:FolS3 up the next ALT and tumbler test,if the same failure happen, add underfil is the available backup solution.</t>
  </si>
  <si>
    <t>[NA]Thermal materials cost down solutions risk 
Issue:Decrease half size of copper could cost down ￥0.2，the temperature should rise 0.5-1℃；
Analysis/RootCause: LTE Data call(15dB） fail，RF correct the measure  method after align with TCC because the wrong measure method cause big different data between DVT1A and DVT1B.
Solution：the retest result was pass after update measure，and the cost down solutions could been accepted.
Plan: DVT2A had imported the cost down solution which could save $0.27.</t>
  </si>
  <si>
    <t>[NA]Red Dye test After ALT, Found MCP functional solder had partial crack but function was ok
Verification:ALT and tumbler test were pass until now.
Follow up the next ALT and tumbler test,if the same failure happen, add underfil is the available backup solution.</t>
  </si>
  <si>
    <t>[NA] MSM_therm  not correct (EDU08)
Issue:   MSM_therm too S1t . more than CPU
Root Cause:    R1208 not mount
Solution:  R1208 change to 0R from DNP
Plan:  change From DVT2B ,done.   Retest with rework units by chenwei ,ongoing.WH99980 ,pass</t>
  </si>
  <si>
    <t>[NA] LCD damaged Flickering after ALT ESD  here
Issue:1/2sets Zone 3: air discharge -15KV fourth times, top display flickering, and can not recover.LCD damage.      
Root Cause: housing resistance, the value is 21.6ohm, while spec should less than 1ohm.ME checked that this lot housing resistance abnormal while in the process
Solution: OK housing lead in. And built in DVT2A Golden units and latest Black units.
Plan: ESD test will be done in XM99841(golden,4/16) and XM99784 (black,4/20)
update:XM99841 Pass and XM99784 Pass</t>
  </si>
  <si>
    <t>pengsp/chenwt</t>
  </si>
  <si>
    <t>[NA]Thermal DVT1a failed
Issue:1.WCDMA Voice Call 1.2 °C while no charging
           2.Wifi Stream (Front 0.9°C ，Back 1.2°C) while charging ,here
Solution：1.Decrease PA Power
           2.Charging Rhythm Modification
Verification：Dvt1b Pass</t>
  </si>
  <si>
    <t>[NA]Isuse:sensor Vision test limit need update
Solution:Delta limit need to change from 580 to 300( refer to Andy),and folS3 up DVT2A test 
 DVT2A check ok ，close</t>
  </si>
  <si>
    <t>3.BB Test</t>
  </si>
  <si>
    <t>Cap sensor noise
Place Cap Sensor IC as Closed as Possible to Sensor PAD,Shielding Sensor Line
Ant had confirmed performance is ok .
DVT1B PCB change：Place Cap Sensor IC as Closed as Possible to Sensor PAD,Shielding Sensor Line</t>
  </si>
  <si>
    <t>discharge on low voltage battery
the sample don't charging on low voltage battery，but normal voltage battery is ok
sw problem,charge is ok after sw update
charge is ok after sw update</t>
  </si>
  <si>
    <t>ALT issue: After loop2 post drop inspection, phone heat up: B2
1.off current more than 500mA
2.EOS problem.Not happened then in the next ALT test.</t>
  </si>
  <si>
    <t>chenwei24</t>
  </si>
  <si>
    <t>Board Test Issue:2 PCS Board Fail
1.Vr1421 TVS  damaged;（0.5mA current increase） 
EOS damage from FA report of vendor:
2.U1205  PM8940 chipset damaged;(MPP2 pin damage)
3.Not happened then in DVT1 build
need vendor analysis report.</t>
  </si>
  <si>
    <t>FAE</t>
  </si>
  <si>
    <t>Project</t>
  </si>
  <si>
    <t>[S3] Issue:
Clue:
RootCause:
Solution/Veirification:
Plan:</t>
  </si>
  <si>
    <t>1.Route</t>
  </si>
  <si>
    <t>1.1 ESD</t>
  </si>
  <si>
    <t>RF</t>
  </si>
  <si>
    <t>2.Part</t>
  </si>
  <si>
    <t>1.2 Strain</t>
  </si>
  <si>
    <t>ME</t>
  </si>
  <si>
    <t>3.Pin</t>
  </si>
  <si>
    <t>1.3 EMC</t>
  </si>
  <si>
    <t>Display</t>
  </si>
  <si>
    <t>4.Net</t>
  </si>
  <si>
    <t>1.4 TDD</t>
  </si>
  <si>
    <t>Audio</t>
  </si>
  <si>
    <t>6.Parameter</t>
  </si>
  <si>
    <t>1.5 Thermal</t>
  </si>
  <si>
    <t>Antenna</t>
  </si>
  <si>
    <t>6.Parameter/Sequence</t>
  </si>
  <si>
    <t>1.6 Current</t>
  </si>
  <si>
    <t>SW</t>
  </si>
  <si>
    <t>2.1 Selection</t>
  </si>
  <si>
    <t>NPI</t>
  </si>
  <si>
    <t>2.2 Position</t>
  </si>
  <si>
    <t>CAD</t>
  </si>
  <si>
    <t>2.3 Compact Design</t>
  </si>
  <si>
    <t>2.4 Polarity Mark</t>
  </si>
  <si>
    <t>3.1 Pin Mapping</t>
  </si>
  <si>
    <r>
      <rPr>
        <rFont val="Georgia"/>
        <color rgb="FF1155CC"/>
        <sz val="11.0"/>
        <u/>
      </rPr>
      <t>20.NF</t>
    </r>
    <r>
      <rPr>
        <rFont val="Georgia"/>
        <color rgb="FF000000"/>
        <sz val="11.0"/>
      </rPr>
      <t>C</t>
    </r>
  </si>
  <si>
    <t>3.2 Pad Stack</t>
  </si>
  <si>
    <t>4.1 Topology</t>
  </si>
  <si>
    <t>6.1 Initial Sequence</t>
  </si>
  <si>
    <t>6.6 CSI/DSI Configure</t>
  </si>
  <si>
    <t>Comsumer Impact</t>
  </si>
  <si>
    <t>Milestone Imact</t>
  </si>
  <si>
    <t>Fix with Plan</t>
  </si>
  <si>
    <t>Have Plan to Fix</t>
  </si>
  <si>
    <t>Y</t>
  </si>
  <si>
    <t>N</t>
  </si>
  <si>
    <t>Block Gerber Out</t>
  </si>
  <si>
    <t>Solution Validated(Y/N)</t>
  </si>
  <si>
    <t>S1 –1.Impact consumer, 2.Program blocking issue, 3.Must fix prior to ship
S2 – 1.Impact consumer, 2.But have plan to fix, 3.Manageable risk
S3 – 1.low risk of getting field returns, 2.Can fix but may not be able to fix due to time or design limitations.</t>
  </si>
  <si>
    <t>Definition</t>
  </si>
  <si>
    <t>Clue</t>
  </si>
  <si>
    <t>Root Cause</t>
  </si>
  <si>
    <t>Speculation</t>
  </si>
  <si>
    <t>Experitment</t>
  </si>
  <si>
    <t>Result</t>
  </si>
  <si>
    <t>Conclusion</t>
  </si>
  <si>
    <t>Solution</t>
  </si>
  <si>
    <t>Verification</t>
  </si>
  <si>
    <t>Next Step</t>
  </si>
  <si>
    <t>Risk Factor</t>
  </si>
  <si>
    <t>Function</t>
  </si>
  <si>
    <t>Performance</t>
  </si>
  <si>
    <t>Cost</t>
  </si>
  <si>
    <t>Schedule</t>
  </si>
  <si>
    <t>Supply</t>
  </si>
  <si>
    <t>Design Complexity</t>
  </si>
  <si>
    <t>PCB Placement</t>
  </si>
  <si>
    <t>BB Team</t>
  </si>
  <si>
    <t>BB Solution</t>
  </si>
  <si>
    <t>Open,Ready,Reviewed,Verified,Closed,NA</t>
  </si>
  <si>
    <t>BB Design</t>
  </si>
  <si>
    <t>0.Copperfield</t>
  </si>
  <si>
    <t>Issue: EVT 一供 WH208009，AD: -15kV Zone1 Proximity &amp; Front Light Sensor No Function, 实验室反馈重启未恢复。
Analyze: 1. 机器收到校验CQA中：Proximity 闪退, Front Light 不刷新，现象一致，从现象来看像是器件不识别到I2C设备。但是重启后可以恢复。
                 2. 抓机器Log，给软件分析：IKSWW-203359，分析结果是I2C通讯异常，判断IC被干扰异常导致无法进行I2C通讯，需要下电才能复位（I2C总线没问题）
                 3. XM实验室尝试复现：Zone1/通话/-15kV 200次暂未复现，但是发现实验室回来这台机器，打Zone1容易触发屏幕Recovery机制。
                 4. 测量VIO18_PMU，发现reboot过程确实不会下电，只有PowerOff会下电；—— 提交CR给软件，看能否实现reboot过程VIO1.8下电。
                 5. Vendor 分析，出现这个问题有两种可能：a) 芯片I2C被干扰到其他ADDR；b) 芯片假死无响应;
RootCause：高压空气放电，干扰PUD，reboot过程中VIO1.8也没有下电，导致重启也没有恢复，下电重启才恢复。（高压重启可恢复，属于可接受）
Solution：1. 实现reboot过程VIO1.8下电。-- MTK确认不能实现；
                   2. 增加PUD LDO下电方案，增加控制的IO口，需要软件提前确认导入； -- 直接DVT1导入；</t>
  </si>
  <si>
    <t xml:space="preserve">Issue: EVT 二供BR157907  128 UFS 尺寸太大，造成连焊。（贴了4pcs 板子）
RootCause：   二供 SM38F05190        BWU3AKG16D128G         U1392        BIWIN，尺寸11.5*13  VS 一供三星的11*13
 Solution： EVT二供试产 及 DVT1 备料临时更换回一供三星memory
    长期：1.跟进厂家更改尺寸为11*13情况（可行，但是要2027年才能改好，咱们项目用不上了） 
                2.项目上将三供pull in ，预计DVT2二供来得及导入验证
            </t>
  </si>
  <si>
    <t xml:space="preserve">Issue：PVT CQA测试发现，2台机器出现过OTG问题
N4AC420027  4/17/2026 5:10:29 PM         UCT pass 。没有抓log ，直接ABA 交叉验证随芯片PMIH0104  （U3700）） QC初步分析IC异常了，更进一步消息，预计要到5月底出完整报告
N4AC4H0005   CR https://idart.mot.com/browse/IKSWW-198501 ，4/28/2026 6:15:57 PM UCT pass 。软件分析是已经检测到时OTG设备，然后电输出，之后枚举数据没有枚举上。   </t>
  </si>
  <si>
    <t>Issue：DVT1二供 EDU14出现一台机器Fail，一台200V Fail，一台250V Fail（实验室标准250V）
Anaysis: 1. 两台机器，拆机分析VBUS浪涌管都未烧毁。
                 2. 测量机器发现USB充电快充/慢充均没有电流，且OVP MOS后端都没有电，判定OVP MOS没有开启。
                 3. CP-IC U6400是二供南芯，分析发现VUSB SNS的R6401电阻击穿（22Ω），且VUSB管脚对地电阻异常15Ω，判定是浪涌实验中，CP-IC的VUSB引脚先被浪涌击穿对地，然后再烧毁电阻，进而导致芯片内的OVP模块损坏或无法工作，导致充电故障。
                 4. EVT1 一供400V，二供300V； DVT1一供400V，二供200V&amp;250V, 判定二供CP-IC在Aviator现有架构下可能抵抗能力不如一供；
                 5. DVT1二供 浪涌测试 采用的机器是复用跌落的；
RootCase：二供南芯CP-IC 的VUSB管脚抵抗浪涌能力不如一供。
solution:   1. DVT2 R6401 更换成33R电阻（0613952X37），加大电阻，已和供应商确认50欧以内都OK；
                   2. 损坏的两颗CP-IC已经给到Southchip分析中；
                   3. TODO: Rework机器33R，回归测试：
                         3/23日复测结果，两台Rework二供机器 到33R的均Pass(250V)，但是余量不够；
                         3/26日复测结果，两台Rework二供机器 到47R的均Pass(400V)，且未出现漏电，判定方法有效。</t>
  </si>
  <si>
    <t>Issue： DVT1产线出现4pcs烧毁VBAT-TVS(FR：4/86)，请软件导入降低电流软件后，3pcs烧毁(FR:3/553)
RootCause：从TVS烧毁现象怀疑是Peak电压导致TVS异常开启后短路，电源常电进而烧毁TVS管。
Analyze: 
差异对比：
 - Aviator: SF68D39333(Will)+8845; 烧TVS
 - Horizon: SF68D39333(Will)+8845;
 - Urus: PTVSHC2EN4V8UF + 8845;  未出现烧TVS
36.12版本：（进入Homescreen大电流）
 - 4pcs板子，D3500,D3501均烧毁(FR：4/86)，实测电流在进入Homescreen瞬间有一个7A的值，经实验确认是CPU限频解除导致。
36.16版本：(限制CPU频率，确保没有大电流)
  - 请软件导入不解除全程限频的措施，截至到2/11出现3pcs烧毁，其中2pcs烧D3500,1Ppcs烧D3501。(FR:3/553)
产线测试波形：
 - 36.12版本下，产线夹具上测试，3pcs 产线主板 3个板子36次压测，均未烧毁，最高Peak电压抓到4.8V （VBR:4.9V），继续在武汉基带用为准电源压测，也未发现明显异常。
 - 36.16版本下，烧毁的1pcs板子产线夹具上测试，未发现故障波形。</t>
  </si>
  <si>
    <t>Issue：ESD在CD:8KV下，在Deco区域和侧边出现Flicker Sensor软失效、auto-recycle。
Analyze：1. 厦门摸底机器，已导出Ramdump —— 软件分析是触发了PMIC（PMIC_B_E0） OCP保护，导致PMIC触发RST复位。
                  2. Deco弹片主板EVT无露铜 —— DOE实验：原始状态 CD:6kV下就复现Flicker无功能；刮开露铜, CD:8kV，AD15kV各打100次均无出现问题。
                  3. ANT0 Cable 测试CD 8kV下ESD波形，Peak电压有491V，对比Equator ANT0为250V —— Aviator天线小板是新的设计，馈点弹片和下地弹片很近且取消侧弹，相较于Equator天线小板上路径会短一些。
RootCause：1. Camera Deco 两个接地弹片主板对应区域没有露铜, 增大了Flicker板上Deco下地弹片的泄电压力，进而导致I2C干扰。 —— Flicker软失效；
Solution： Flicker 软失效：
                    1.  主板请结构输出Deco对应弹片接地区域(已增加到CheckList) —— DVT1已改入；
                    2.  增加Flicker弹片过孔下地过孔 —— DVT1已改入；
                    3. 确认Flicker Sensor  Recovery机制 —— 目前已确认有这个功能，现在软件是否打开正在确认。
                    Auto PowerOff/Cycle：
                    1. 增加ANT0天线小板过孔下地过孔  —— DVT1 已导入；
                    3. ANT0主板RF端预留TVS位置，加强下地。</t>
  </si>
  <si>
    <t xml:space="preserve">Issue： CB 认证反馈 2.        Q.1测试，电流超了8A （具体代表什么意义待 和battery KP确认）
Impact：推测：不能宣称满足Q.1 LPS ，只能宣称PS2
Rootcause：因为电池的对外输出能力越来越大，所以自身不能限制到能pass 8A的这个放电限制 。
                      （测试方法是 短路充电IC的输入和输出，就是将Vbus 和Vbat 短路 ，多少个充电IC就分别短路多少次，分别测试，用来判断整个系统在异常情况下 外部能抽到的电是安全范围的。标准8A 或者100W 是个认证固定标准）
Solution：      两个选择 
                                   2.1   尝试正向解决：在OTG场景，监控Ibat ，当Ibat 大于某个值（比如6A ），就关闭OTG （包括OTG 对外输出的OVP mos 管 ） 。 原理上推断有机会可以解决这个case  。需要SW进行逻辑更改 ，请SW评估下是否进行更改以及更改plan @Wei Wei9 Xu
                                   2.2  选择放弃这个项 的符合，宣称不支持 。 负面影响是什么，RD无法判断 ，需要请  认证同事 帮忙多确认下  @Xingxing XX18 Wang@Weiting Wt1 Sun
</t>
  </si>
  <si>
    <t>Issue: 产线出现2pcs无触屏主板，X-RAY无问题，测量Touch_VCI_3P3无电压，Touch_VIO_1P8开机过程中会有1.8V，5s左右掉电，测量TP所有线路二极体阻值正常;
Analyze: 1. 请产线重新刷27软件，没有解决问题；
                 2. 1#主板更换LDO和PMIC，故障依旧，通过ADB命令回读GPIO状态，没有grep到对应PIN，
                 3. 1#主板产线自行更换了CPU，不重刷软件，TP电压和功能均恢复正常。
                 4. 1#主板 怀疑是CPU问题，但是没办法交叉验证（CPU是POP的，EVT没有钢网，产线没办法将故障CPU重新焊接到OK的主板上）。2# 故障主板直接抓Log，软件判断是AP读不到TouchIC的ID，导致初始化流程没有跑下去。且Log中没有看到OCP或者其他的保护类报错。
                 5. 请产线X-RAY照了下2# 故障机器SPI部分的焊点，未发现明显问题。
                 6. 2#主板对比测量NG-CPU SPI阻抗，发现CLK  MOSI 这两组稍微偏大了点。
RootCase：怀疑可能和CPU有关？
Solution：1. 确认无法交叉验证方法后，2#主板也更换CPU确认下故障是否消除。
                    2. CPU寄给MTK确认—— 已经请wenting帮忙和MTK沟通，邮件已经反馈了我们这里的分析信息，2pcs主板；
                    3. MTK反馈管脚IV曲线测试没有发现异常，返回武汉处上板验证，依然不良，已重新寄回MTK处返回台湾ATE进行分析；—— 12/1
更新： 12/19 MTK返回分析报告，判断2pcs CPU分析结果为EOS损坏 link</t>
  </si>
  <si>
    <t>issue：After 150V surge pulse test,fast charging no function,OTG no function,headset no fuction:D1/D2(Vbus)-
推测：可能1.快充IC的OVP控制模块坏了。如果是这样，有预留串联电阻可以加上电阻进行复测。 
Analyze：1. D1机器测量VBUS对地，D2:正向45.5K，反向5.1K，D2：正向
分析：插入充电器，有电压，没电流。插入OTG，看到输出电压只有3V。 拆机测量 OVP 前后的Vbus 电压波形，发现两端电压不等，插入充电器，OVP后端只有1V电压，所以不能正常充电，虽然OVP前端检测到有充电器插入了。 OTG时候，发现后端电压5V，但是接口端3V。 根据以上信息，可以判定，快充IC的OVP控制模块坏了。 根据历史经验评估，OVP模块 坏了，就是浪涌从vbus sens pin 进入，超过了IC的耐受度而损坏了相关OVP控制模块。
解决方向：快充IC的OVP串联电阻，提高这个pin的抵抗力。根据经验以及vendor的信息看，希望加10R~22R之间的电阻。 目前项目上建议直接上最大值22R。 然后尽量小板浪涌管加强接地和走线尽量优化（具体看板子的情况）
Rootcase： 浪涌太大，超过快充IC的OVP sens pin 的耐压36V，导致这部分电路烧毁。OVP 模块无法工作导致充电相关都异常，包括OTG。
Solution ：1. 小板浪涌管下地加强——DVT1已导入
                    2. 快充IC Vbus 侦测pin  预留的串联电阻R2600，从0R改为22R，料号：0613952X33 .---EVT rework 验证，11/24出结果，一台250V Fail，一台500V Pass，结果均Pass（高于200V）
                           DVT 1 原理图已提交对应的更改。
                    3. 二供两台机器EOS Fail，分析发现一样是OVP控制模块的问题，测量发现OTG可以工作，但是死电池没办法充电，判断还是VBUS SENS PIN损坏导致。（OTG输出时，VCHG有电，OVP模块可以正常工作。死电池时，OVP模块没办法从VBUS SENS PIN取电，所以打不开OVP）
                    4. 一供250V Fail的机器，分析问题同二供机器。
DVT1 pass</t>
  </si>
  <si>
    <t>Issue：产线反馈，出现1pcs闪屏，交叉验证故障跟随主板。（周六反馈CQA1检出来2PCS，产线检出来3PCS，待确认）
Analyze: 1. 请产线在白屏状态下调节屏幕亮暗，发现闪屏频率没有改变，调整分辨率也没有改善。感觉和ELV关联性不大
                 2. 抓Log给软件分析中；
                 3. 已经请产线寄一台故障机N0TR050117回来分析。
               11/10：log软件分析，闪频是触发了ESD Recovery机制，等待周一新版本复测看看 —— 测试30min，无出现闪屏；
                 4. 通知工厂故障机刷96的版本验证
Rootcase：VTDR的DDIC的ESD Revovery机制需要在HS mode下读取，之前的版本是在LS mode下读取导致。
Solution：1. 产线工厂模式验证了4台故障机刷了新版本，CQA跑了一遍循环，未再复现闪屏；
                   2. ESD检测模式修改成HS mode改入主线。—— Done</t>
  </si>
  <si>
    <t>IKSWW-59901</t>
  </si>
  <si>
    <t>5.Camera        4.Build        S3        Closed        "Issue:  IKSWW-54362台报主摄拍照dump。 （3台1100台一供）
Clue：
1.均是主摄测试fail，且log均提示的MIPI error
Root cause：
MIPI cphy参数和目前硬件搭配不是最优
Solution：
优化MIPI cphy参数(  修改后EQ=0x0B，  CDR PGM=0x40，CDR Coarse=0x0B)，待软件提供版本给产线。"  
---10/13 retest fail ，reopen ，软件参数未提交。
 10/15  新参数有效导入产线故障机后验证pass
长期：houston 上的参数到dallas 参数为什么就不生效？  SW主导确认</t>
  </si>
  <si>
    <t>ISSUE："EVT ATT tumble WH195778 1st
6:Cap/SAR sensor Ch2 no function:D8(450)- 0901已返回厦门，分析中  
7:Cap/SAR sensor Ch2 no function(Recovered after reboot :D10(500)" 。已恢复
坐压试验 也出了一台SAR sensor Ch2 no function 分析结果一样。 合并处理
Clue：0. 二供机器实验也出现一台450滚出现无作用，重启后恢复了的。
           1.机器回来的时候，故障复现。重新开关机依然复现。
           2.插入USB后，故障消失
           3.装成整机，跌落压测，复现1次。这时候用WIFI adb 查看，发现CH2 没有读值。（所以看起来非门限fail问题）
           4. 跌落后又复现了。加热焊接也还能复现。 而且这时候插入USB 无法再恢复了，判断为IC彻底坏了。
           5. Houston 是没问题的。 capsesnor没改，可能是其他变化导致的应力发生变化
Rootcause：推测是  IC 被应力破坏，处于半坏不坏的状态。 将这个IC寄给厂家分析内部情况，预计9/10 返回分析报告。
                    ME 确认dallas 和 houston的结构应力情况。
Solution：建议移动capsensor ，来优化作用到capsensor应力。 
              Option1  可实现的是往左上角移动，最后移动到屏蔽盖外， DVT1 一供跟踪                  
               DVT1 一供都测试完了  pass，先close</t>
  </si>
  <si>
    <t>Issue:  泡水测试后到下一步复用机器实验前，发现显示充电图标 但是充不进去电。Mxc04 WH193926 2nd source lily pad， D1 initial
Clue：1.关机充电到开界面前可以充电，而且当系统起来进行判断后就不让充电。 无线充电也类似结果。电池电压，温度，PD协议功率识别，都是正确的。 以上信息推测不是CC1 或者CC2 的问题
            2. CID pin 上有0.3V电压，所以看起来也不是CID pin电路问题。fastboot boot mode 可以充电一小段时间（可以用来做临时补电然后抓log用）。 
           3.Log 给SW分析：给的判断是PMIV0102 的充电状态不变，aicl是0 （意思是否指向说就是PMIV 出现异常了？），充电状态一直是not charging--继续跟踪
           4. EXP：长按开机键1分钟来确认是否可以复原。结果是依然fail。（ 9秒和15秒的时候都各自重启一次，之后就开机了）
下一步：信息share给QC，看下是否有什么分析建议。等待回应
   这台机器 ：确认 主FPC连接器上有一些导电材料导致 USB NTC 信号对地短路，进而导致USB NTC 温度过高导致保护了不让充电。  进一步分析： 外观看：主FPC连接器端有个 导电材料  ？ 不像是盐水导致，更像是一种生产材料，非外物进入机器。颜色和焊锡很像，银灰色，但又不是实的而是像棉花絮的，碰触就会变形的导电体（有点像导电泡棉的细碎？ ）
其他的：SUB端的一个pin腐蚀了（但是这是个GND pin，不是导致故障的直接原因）。
板子上我没见过这种材料，建议大家及产线进行下一步确认这是什么，以及怎么进入主FPC连接器的。
Rootcause：  确认 主FPC连接器上有一些导电材料导致 USB NTC 信号对地短路，进而导致USB NTC 温度过高导致保护了不让充电。
                       板子上我没见过这种材料，建议大家及产线进行下一步确认这是什么，以及怎么进入主FPC连接器的。
Solution：TBD</t>
  </si>
  <si>
    <t>issue：MXC06        WH193914        D1        NEQE1B0126        USB  one side no function:D1(225)-
clue ：1.CC1 线路 open ，断路点在PMIC 屏蔽盖下边沿底下 layer11，具体看链接截图。 （CC线已经走0.2mm宽度了，但还是断了）
        2.WIFI_THERM 这个在CC1 边上的线也断了。 再更边的CID_DET没断（断了就直接没法充电了），另外一边的CC2 也没断，所以可以单面充电。
      3. 一供机器没有问题，二供还有另外3台类似故障机器，等待返回后确认。 第二台是：WH193919        D1        NEQE1B0131        USB function intermittent:D1(26,Bottom right Back ) ，现象类似 
Rootcause：结构应力太大，导致PMIC 屏蔽盖脱开，并拉动L11 的CC线。（ 推测：二供PCB的抗拉拔力可能比较弱导致出现多台断线。 ）
solution：  PMIC右下角L11走线都改到L10 &amp; L9 ，DVT2 二供PCB导入修改</t>
  </si>
  <si>
    <t>Issue：死电池激活场景 ，在电池保护电路还没完全激活开之前，就开始转到5V1.5A快充，电流超过电池的期望3V以下上限电流0.1C 。 可能有安全风险。
rootcause：3.1V 是5V600mA 切换到5V1.5A设置点。 而死电池内部保护后，mos的前向二极管有0.5~0.6V。 
补充说明：以前项目没有关注这个转换瞬间是否会有超过的电流，因为这个测试难准确监控到电流，log 也无法记录。 需要再排查下，以及风险如何。
solution：Option1 ：调高转换的电压点（负面作用是：低电量电池 充到能开机的时间会拉长，具体值需要 KP 主导 take CR）
                option2：电池内部是否可以优化？（ 充电时候默认就直接激活电池？ 需要KP 主导评估，项目上基本没机会，只能长期看）</t>
  </si>
  <si>
    <t>IKSWW-19238</t>
  </si>
  <si>
    <t>         QBOOT_BLANK_FLASH_01（9008 SW下载），NTF，FR 3.07%  -----SW：志龙   BB 文亭  
Rootcause: 1. PCB 上介于repeater 和CPU之间的USB 线路阻抗没有设置阻抗控制线，导致阻抗控制偏差及离散。
                    2.测试夹具整体环境和板子USB 兼容性不好叠加让问题更加突出
solution：DVT2 对PCB 上介于repeater 和CPU之间的USB 线路进行差分 90ohm  阻抗管控。  monitor DVT2 结果。
lesson learn：优化checklist ，对USB阻抗review项 ，描述出各个段都需要考虑到阻抗设置。</t>
  </si>
  <si>
    <t>IKSWW-16177</t>
  </si>
  <si>
    <t xml:space="preserve"> Issue: EQUATOR DVT1 eBT （板级测试）概率性无法识别 端口,交换站点有时候pass ，不固定。 约7.7% NTF
clue：1. APEM 一开始数据还好 0.39%，但是后面的其他3个SKU测试数据看就又不理想了 （15+9+2）/(228+95+13) = 26/336 = 7.7%
          2.目前信息：这些fail的站点都是夹具上加了各种延长线和开关，非用户场景，用USB直连电脑 是没有问题。 
Rootcause: 1. PCB 上介于repeater 和CPU之间的USB 线路阻抗没有设置阻抗控制线，导致阻抗控制偏差及离散。
                    2.测试夹具整体环境和板子USB 兼容性不好叠加让问题更加突出
Solution:    
                   1.DVT2 会特别提出对这段线进行阻抗 90ohm 中值管控。
                    2.调整所有devices 模式底下的USB参数：Squelch Detector Threshold Adjustment. 静噪检测电压门限调到一个中间值 （112.5mv） option4
                     monitor DVT2 结果。
其他一些做过的验证：1.建议产线再尝试下加信号放大器的线，并调整下放大器的参数。（产线反馈没有明显改善，看最后的情况看哪个站点需要导入 ）        
                                2.   尝试Option1 将眼图改为最大 ，以及option2 将眼图改为最小。实际结果都不理想，没有明显改善。不适合
                               3.Squelch Detector Threshold Adjustment. 静噪检测电压门限，从默认的87.5mV改为137.5mV （可配置的最大值） option3 ---结果：故障板好了，但是正常板fail了。所以 这组参数不能批量使用，再优化下参数。
lesson learn：优化checklist ，对USB阻抗review项 ，描述出各个段都需要考虑到阻抗设置。</t>
  </si>
  <si>
    <t>Issue: TCC实验室二供EVT1报CAP-Sensor ±8kV下无功能，重启后恢复；D2 Cap sensor no function(CH0,CH4), recovery after reboot.
Clue: 
1. 观察到D2机器Intital测试中，CapSenor也有无功能的问题Cap sensor no function(CH1,CH2,CH3)；
2. EVT1二供贴二供厂家的SAR IC，邮件厂家沟通提示公司的驱动可能没有合入软复位模块，已经通知厂家联系对应负责软件同事;
3. 周一收到样机，检测CH1/CH2/CH3无功能，确认是校准参数问题；6/17日刷入校准参数后，ESD测试后，SAR-Sensor参数丢失，软件确认软复位机制还没有合入。此外出现了软失效后第一次开机SAR芯片识别不到的问题，第二次开机OK，已经提交CR给软件分析；
Rootcause: 目前推测软件驱动未合入软复位机制可能性较大，另外前测capsensor也有部分问题，推测软件驱动还不完善，进一步monitor；
Solution:
1. 检查二供sensor的recover机制；—— 确认6/23日可以完成，DVT前可以导入，已验证；
2. 加强CH0-capsensor部分tvs接地;  —— DVT已导入；</t>
  </si>
  <si>
    <t>Issue: TCC实验室二供EVT1报PUD低压下出现无功能，重启后恢复；D4 后测发现 After +8KV air discharge at post check, Proximity sensor no function, recovery after reboot.(2025/6/9,14:00)
Clue: 
1. 实验室软件版本：user 272版本；
2. 导出LOG结构分析，对应时间点bug report显示功能是正常的，有接近远离状态变化，但是这个时间点没看到打开cqa测试的操作；
3. 使用D2机器，在厦门实验室打ESD ±18kV，200次，无复现PUD无功能故障；
Rootcause: 软件定位以及实验，推测是TCC误判；
Solution：1. 请邓林安排复测，判断问题； —— 机器复用其他测试，实验室暂无资源安排复测，同时观察到该问题不仅在ESD出现，在微跌等其他场景也有出现，存在共性，目前没有稳定软件版本；使用155稳定软件版本，厦门复测结果OK；</t>
  </si>
  <si>
    <t>Issue: TCC实验室二供EVT1再次报报两台机器低电压下ESD重启/关机：After -8KV air discharge at zone9 (Aging 10 ), Unexpected auto power off,recovered after reboot (2025/6/8 23:09).
After -8KV air discharge at zone4(Aging 10), Unexpected auto power cycle , recovery after power on.(2025/6/9,14:54)；
Clue: 
详细分析过程见后面文档连接
- 更新：
1. 6/17日，软件确认D4机器两次黑屏都是进入dump，并且和modem crash有关，拉modem同事确认，modem crash在TCC所用软件版本中中是已知问题，根源是ipa和modem通信出问题报错，这个问题在新版本中已经fix；
2. 6/18日，再次在D4上出现一次黑屏故障，但是状态是在 非ESD&amp;充电，导出对应时间log给软件同事分析，确认还是modem crash 导致；
3. 6/18日，收到的D1/D3机器，使用modem同事给的软件版本测试ESD ESD +15kV 200次，未出现黑屏；
4. 6/19日，RF/ANT确认，打完ESD后一供D5机器TIS/TRP和正常机器比较无下降；二供D2/D4机器，因为ANT软件还未调通，暗室容易出现掉线，RF非信令测试传导无异常，ANT无源测试驻波效率均无异常。
5. 手动通过adb指令触发ram dump，观察到现象和poweroff类似，黑屏40-50秒后才会进入重启状态；
RootCause：根据实验结果以及软件分析，目前判断结论是软件modem不稳定导致系统进入dump状态，进而导致黑屏(实际上没有poweroff)；
Solution:
优先考虑改版，预留防护方案：
1. 基带：影响系统重启信号：SM_RESET有预留电阻/电容(10nF DNI),若后期出问题可以贴上；PS_Hold信号CPU端已增加一个0R电阻；PWR_KEY有预留TVS位置; FAULT_N并联器件过多，走线多集中在板中央，暂无方案预留； —— 已经导入
2. 结构：3D VC，结构增加镭雕，加强整片VC在受到ESD冲击时放电通路；—— 已经导入；
3. 后续等待软件版本稳定后，若TCC有资源，提供无panic的软件版本供结构复测 ——— 目前都暂无稳定的版本，最新的稳定版本要月底才能出来，所以等机器收到后先尝试自己复测；
4. D1/D3机器，刷软件给的modem fix后的新版本，提交TCC复测；
[7/10] DVT1 一供6台ESD实验未发现问题。</t>
  </si>
  <si>
    <t>Issue：CQA 报一台黑屏，U1000 Disp_rst pin损坏，更换cpu后正常
Clue：总共发现了2台，1台是产线在烧录后发现的，他们再次做离线烧录现象就消失了，还有一台就是机器到了CQA才发现的，ME准备做离线烧录看能不能好，但是离线烧录失败，拆机验证不良随主板，，才把板子送到FAE分析的
rootcause： 黑屏烧芯片的问题，确认到因为屏FPC难扣合，EVT应结构研发需求，都是使用压棒按压FPC，导致FPC有露铜死折风险，露铜区域容易与前壳接触导致短路，有短路烧伤主板芯片风险
Solution：
跟结构的研发核对的是，DVT前壳会挖槽0.8MM避让
DVT也会验证增加FPC预弯折
[7/10] DVT1 400台 CQA 未发现问题。</t>
  </si>
  <si>
    <t>Issue：TCC实验室EVT1一供ESD报D1机器，在CQA前摄开启状态&amp;Charging下，8kV下出现自动关机问题； After +8KV air discharge at zone1(Aging 10),Unexpected auto power off(2025/6/2 10:49). 
Clue：
- 尝试复现：D1/D5两台机器在 zone1 区域厦门打ESD ±10kV/±18kV各100次，未复现；加压对D1问题机zone1区域ESD打±18kV各500次，未复现；
- 复查ME设计：前摄被屏幕模组覆盖，模组背面有完整接地铜箔，Rec开缝紧靠金属边框(与中框一体)，整机实验发现zone1静电会优先被边框吸引释放，未发现明显问题；
- 复查BB设计：检查AP开关机关键信号(SM_PS_HOLD/FAULT_N/KPD_PWE_N), 均有屏蔽或远离前摄位置，未发现明显问题；
- 拆机实验：使用替代机器拆开后壳对Camera模组和REC风险点放电(±8kV)100次，未复现关机； 
- 故障机Log数据和故障时刻已提CR给软件分析，软件分析结果如下：
   软件Log初步分析，判断自动关机时机器应该是在factory mode下打ESD，机器触发了VBUS OVP关机，实验数据不具备参考价值；
1. 标准ESD测试是需要在normal mode下打，该模式下OVP不会直接切断VBUS；在factory mode下电池功能失能，VBUS切断后就会关机；
2. 本批测试错误在factory mode下打ESD的原因分析：第一批机器软件版本不稳定，normal mode下无法打开拨号盘进入CQA，所以TCC采用的替代方案是实验员在打ESD前，首先切换到factory mode初测功能，再切换回normal mode打ESD，最后再切换回factory mode检测功能，手工反复切换，存在误操作风险；
3. 复现：手动切换到factory mode模式，在厦门插充电器在zone1打ESD +18kV ESD，成功复现自动关机故障；
   分析log可以看到自动关机前，机器触发了VBUS OVP保护后导致VBUS切断，触发factory kill功能导致自动关机；
Rootcase：判断自动关机时机器是在factory mode下打ESD，机器触发了VBUS OVP关机，实验数据不具备参考价值；
Solution:
 - Monitor第二批ESD结果(最快周二晚上打完，跟踪结果) 
周二上午和TCC实验员确认，第二批ESD用的软件版本可以正常进入拨号盘，截至周二上午，暂时没反馈自动关机的问题；
- 后续Align TCC ESD测试时机器不能处于factory mode下；
[7/10] DVT1 一供6台ESD实验未发现问题。</t>
  </si>
  <si>
    <t>IKSWW-8971</t>
  </si>
  <si>
    <t xml:space="preserve">Issue：（定义为无线充电问题1）有些机器无线充电没反应。BB首批5台有2台无反应。 TCC 10台有3台 （A3,A5,A6）， SME 都有发现故障机。不完全统计大概30%左右不良
Clue:  板级测试，无线充IC 读ID都是pass的。
          1台故障机：确认ID是对的，FW是对的。故障出现时，TX上面没有指示灯亮（也就是无线枚举都没有成功）
          1台TCC故障机D2：  是否装配问题？实验：线圈焊线到主板弹片上测试，故障依旧，推测非装配问题。（实验室的D2机器）
           SW 拿到一台故障机，实验：更新FW将inhibit 禁用，看下是否inhibit 异常高了导致。 结果：NG 。所以和inhibit 应该没有关系。 是其他问题 
            SME 拿到2台机器有1台故障机，交给 Vendor 同步分析。
Rootcase： 分析结果1.目前南芯手上的问题1机器确认trim 被修改了（存储着校准参数等信息），导致ADC等数据错乱。导致的无线充fail没有图标。 （这个可以通过SW修复方式修复回来）   2. BB手上的机器升级一次FW后无法再升级。推测I2C地址变动了。这也是trim被改动的一种结果。（不可修复）  问题严重度 ：高  。 
solution：1.出临时包，加上修复trim 被异常改写的情况，这个临时小包和大包都准备一下，但是不进入主线（避免将ok的机器也变成NG的风险），仅用来修复故障机。   ---实际验证，发现有些
2.同步准备去掉所有trim相关操作的代码，提交到主线。避免更多的机器出现这种情况（特别是担心出现不可逆的修改，比如SC9624的I2C地址被修改了，就再也修复不回来了）。   6/6 提交修改 https://gerrit.mot.com/#/c/3418718/ 。monitor EVT2 生产情况 （已发邮件和CQA  强调判定方法，待生产反馈，预估13号出结果）
  EVT2 只测试6台，都是pass 。目前没有更多机器可以测试。先close 了。 </t>
  </si>
  <si>
    <t>IKSWW-9596</t>
  </si>
  <si>
    <t>Issue：ALT滚筒测试，两台机器出现无显示的问题  概率2/6。
Clue: 替换SIM-FPC后，两台机器显示OK；测试走线发现ELVSS等Bottom面走线不通，用手轻微掰动Display连接器部分FPC会恢复导通；
Rootcase：万用表显微镜下点阻抗，定位最终断裂区在 屏幕B2B连接器左侧焊盘 - FPC出线 这一段，推测折弯区距离焊盘过近，以及屏幕连接器与上支架间隙过小，导致滚筒实验时屏幕连接器不断被掰动，导致连接器左侧焊盘与走线断裂；
Solution：
1. 结构分析后，改动钢片外形，B2B位置钢片外伸，SIM卡槽部分钢片内缩；
2. 第二条故障FPC周末寄出给PBH，等待工厂double check下问题和建议；
[7/10] DVT1 一供10台滚筒实验未发现问题。</t>
  </si>
  <si>
    <t>Issue： 工厂BT反馈CHARGER_THERM_READING读值错误和BATT_CHARGER_THERMISTOR_VERIFY_STAT数值异常 （读值接近于0度，超出SPEC）
Clue : 1.这个NTC 接到PMIV0102 得SMB_TEMP 端口上 （不知道QC SW是否有限制，QC 原理图review没提有问题）   
            2.反查EVB bringup时候就是这样的读值，只是当时没有识别出来是一个异常
rootcause： TBD
1.        SW CR 07888869继续跟踪下是否有机会通过配置来解决。 
2.        HW CR 07893610 
solution ：SW  proposal 0 继续debug 看是否能解决
 如果SW上明确无法解决得话。---06/03   SW CR 07888869 答复说 不支持这样更改。请换口来实现。
HW Proposal 1  再找一个 ADC 口给这个NTC用。  -----06/03  QC HW 建议 ：PMIV0102     GPIO_06 / GPIO_02 ,(02 目前预留JP 关闭Vbus 用），
     06/04先用GPIO_02 飞线 tuning，结果目前温度不准，测量电平看起来像是内部上拉电阻不对导致分压不对，还在请QC 协助分析
HW Proposal 2  如果proposal 1搞不定，就将不常用得一个NTC 挪过来用给这个用
6/9 update ：detj:DVT1 阶段计划用【SCHG NTC】来取代【MCHG NTC】，同步用【WIFI NTC】来监控【SCHG】和【WIFI】</t>
  </si>
  <si>
    <t>RISK： 当前log 看快充68W，两个CP的电流 差异值比较大。 充电性能RISK
Clue： 1.目前使用的是临时电池+转接FPC/焊线来提前bringup  ，仅能作为参考（内阻不对，影响左右通道的电流分配）
            2.目前值是通过log 读取，准确度有问题 
           3. EVB PCB 仿真看 ，Rbat1 比 Rbat2 小了0.47mR 。和实际测试结果影响看起来是反向的。 （推测偏差结果可能是电池 或者 CP 的特性引起的）
          4. 目前的SW版本+houston电池+转接FPC+串联电流检测电阻 测试出来， Ibat 最多差~1A   （Ibat1 =5.4A VS Ibat2 =6.4A）
          5.这个属性要以实际电池作为最终判定，EVB数据仅供参考（因为和电池的内阻属性相关性也很大）
          KP给的时间是5/28 equator 电池出来，第一时间寄送给南京和厦门进行确认。 
Rootcause : EVB仿真点位有些偏差，按照QC新仿真模型重新仿真数据看左右通道阻抗有偏差        
solution：   修改PCB走线。 尽量减少slave CP相关的阻抗，并适当增加master CP的阻抗来尽量平衡。  DVT1 导入。（目前PCB已经修改好并且仿真ok。）
最后优化方向：  target ：左右通道Ibat 差值小于1A 
                            thermal 结果趋势来进一步判定。
DVT1 机器测试：左右通道Ibus 差值再200mA 也就是对应的Ibat 差值400mA （MAX）。 已符合预期 ，close</t>
  </si>
  <si>
    <t>Issue：快充时候，log 打印数据和预期是不匹配
Rootcause：可能1 ：PMIV新架构，log打印还需要澄清。 
                     可能2 ：ICL 等充电配置目前有问题，没有如预期配置，所以看起来log 对应不上。 ---需要dump 寄存器给QC确认具体配置值，然后修正配置后dump确认配置对了，才能往下继续测试事宜。
Next action： 1和2 都要同步排查。然后再进入下一个均衡问题确认。
                   方向1：5/16 QC给的配置，配置后判断还是觉得不对，继续沟通中 （CP 和 Buck 的电流混在一起））
                                 5/22 QC提供一些配置建议，导入后，看起来比较接近了。（CP 和 Buck 的电流已经可以分别读取了）-分开后的读值是否正确，正在tuning 
                    方向2.  5/16 中午 dump 成功第一份寄存器，发给QC ，待回应。
                                 5/22 QC提供一些配置建议，通过解决方向1后的log 显示 和设置值还是对不上 
                                5/28  快充时候 BUCK charging ICL设置100 （实测电流是100mA）但是log 打印出来BUCK charging 电流是300+ 。PMIV0102的快充DIV模块 实测在2900mA左右，但是 log打印出来是2450mA  ,偏差了450mA，问题及log提交给QC ，暂时没有找到根源及提供有效改善方法。
           建议SW 从6/3 开始拉QC 例会核对这个问题的分析和解决来加速case解决。
                6/13 highlight 给各位领导 ，并重新触发QC CR针对 PMIV CP 电流读值偏差问题。启动邮件追踪push 该case
 1. PMIV 快充的Ibus电流已经比较准了，最大电流情况下，误差值预计在100mA左右，可以满足项目需求。 6/20 
2 .QC bug ：100mA 的ICL设置时候，内部电流检测倍率不对，是真实值的5倍左右，其他电流档位没问题。  最后临时patch是将读值/5的值再log输出就比较接近了。可以接受，先这样go。具体正式修改，QC会加到高通代码主线中 6/25</t>
  </si>
  <si>
    <t>RISK：SW 无线IC SC9624 ，在houston 印度工厂量产中，工厂测试发现大概0.15%无线充电无作用，换无线充电IC后OK。（试产约0.07%，所以产线认为可以接受，没有反馈问题）
Rootcause :  无线充IC 内部校准参数被改写了，厂家怀疑是咱们FW升级时候有小概率动到校准参数。（但是厂家自己测试无法复现问题）
solution： 1.for houson 已经出了版本导入量产（同时加入对校准参数的log 跟踪，以便万一再出现可以抓到细节log确认在什么情况下出的问题），需要较大数量的数据来看是否解决。（预计5/25 出10K左右的结果。）
                2.for equator ：备份 PCB 可以兼容的方案CPS4038（老方案，但是会cost up 0.035$），以防万一SC9624的生产良率 无法达到PE能接受的程度。   但是需要在EVT试产前决定用哪个。  PE 主导收集houston 数据。
                    action : rework CPS4038 的PCBA出来（5/12 到达南京），待SC9624 bringup 完成后开始开发CPS4038 的bringup 。期望在5/20 前完成。  具体待跟进SW进度
Houston验证10K ok， 维持目前SC9624设计</t>
  </si>
  <si>
    <t xml:space="preserve">Issue： wide camera 背面有WIFI芯片，S3b 2P2 会干扰camera
Clue：1. 在houston 上验证2.2V 会干扰wide camera            
Rootcause : 13M sensor受到干扰
solution： 预留隔磁片空间
6/20：去掉隔磁片在WIFI最大发射功率，以及正常下载和上传时，测试RCN pass, 去掉隔磁片。 DVT1 monitor
</t>
  </si>
  <si>
    <t xml:space="preserve">Ramp Build ,CQA2 ,12pcs can not wireless charge when phone power off. Total/13K ?
clue :
1 .Wired charge can work when phone power off  and power on .Wireless charge can work when phone power on .
2. Wireless charge can not work at  power off  but can charge after short press power key   .
3. EXP : replace relate components . Q2800 (can not recover) ,U2801 (can not recover ) &amp; U1001 (CPU  and need replace memory at same time for power on ,it recover),suspect it is related U1001 issue.
4. EXP : NG U1001 replace to ok PCBA ，result  ：TBD
5. EXP :  check waveform for fail unit （WLC_DET  before and after R2811    &amp;  CHRDETB  ）to check why it can not work，result  ：TBD
Rootcause： 
Solution ： 
RISK assessment ： </t>
  </si>
  <si>
    <t>L.Prado</t>
  </si>
  <si>
    <t>RISK：MOTO NUDD 磁吸背夹 PCMCR 进入，处于approve 状态中，相关方案的各种事宜分解需要细化清楚
BB相关：1.HALL IC 磁仿真OK， 其他sensor 评估ok ，mag sensor不受影响，不需要两套参数，cap sensor 要启动重新校准。
2. WLC 需要两套参数来匹配（磁吸背夹 吸附 和 没有磁吸背夹，要各自一套参数）  单独增加 GPIO 设计 让AP通知  WLC IC，DVT1B 开始导入到机器中。
       被动影响问题：DVT1A和EVT机器 导入这样的FW后WLC 充电会乱掉，怎么处理。  评估ongoing --chenwt ，wanggc6
3.thermal WLC charging 部分，需要两套参数 （磁吸背夹 吸附 和 没有磁吸背夹，要各自一套参数），具体参数需要最终的WLC FW 基本lock 后才能tuning，需要多久时间？目前预估3周是否ok？</t>
  </si>
  <si>
    <t>Issue :  DVT1 ESD WH185467 1ST  d3 Right louder speraker no function(15kv, zone7, 通话状态）;
Clue: 拆机，测量Smart-PA输出LDSP-DM网络阻抗对地0.1欧，判断Smart-PA输出端损坏；
Root Cause: 整机Costdown, 删减SPERKER接地泡棉; 先前设计的镭雕放电区，没能成功防住ESD；
Action:   
1.  LDSP-DM &amp; LDSP-DN网络，DVT1B USB板紧急rework 6 台机器，增加TVS进行验证（Presemi PESDMC2XD18VB 18V），月底出结果。；提前Prisemi索样，在DVT2版本全部导入；
2.  天线确认，可以增加泡棉接地；结构确认中框预留导电泡棉预留位置；（DVT1B如果没问题，先不加泡棉0.2元）
3.  DVT2版本USB PCB进一步优化TVS放电路径；
DVT2 OK</t>
  </si>
  <si>
    <t>K.Houston</t>
  </si>
  <si>
    <t>Issue ：DVT1 ALT WH182596 1st source 第二配色 unable to power on:C2(15kv，手写笔孔)
clue：样机返回厦门，预计10/17到达
rootcause：1. 主板HALL_INT_S端口阻抗异常，FPC部分VREG_L8E_1p8，HALL_INT_S，HALL_INT_P阻抗异常，确认主板CPU和HALL IC损坏；
solution：1. DVT2及以后机器增加绝缘麦拉片 ，确保堵住Hall IC开孔；
                  proposal 2. Hall FPC信号线修改为内层走线，过孔打在焊盘上，并尽可能增大黑胶覆盖厚度面积，在工艺允许情况下增加正面露铜接地区域；---FPC厂家评估无法实现。
                  proposal  3. 主板TVS根据修改后实验情况决定是否贴；----Hall IC损坏，TVS 不能解决该问题，不走这个方向。
其他项目：应提前审查到导电笔悬空的ESD风险；
DVT2 一供测试pass ，先Closed</t>
  </si>
  <si>
    <t>Issue S2: P-sensor CT test result:20000~40000 ，Fail（target &lt;3000，deadline：5000) IN EVT
DVT1 方案：
V2：黑色泡棉+0.03黑色背胶+RX硅胶套+机壳不喷黑（应急生产92pcs）
V4：黑色泡棉++0.03黑色背胶+接收区域开孔减小（替代硅胶套作用）+no RX硅胶套+机壳不喷黑（主要生产）
V4:  黑色泡棉+0.03黑色背胶+接收区域开孔减小（替代硅胶套作用 ）+no RX硅胶套+机壳喷黑" （期望的比较好的状态，DVT1 一供末期主要方案，包括L-sensor 金机也用这个状态）
DVT1 结果：CT 数据在6000~10000 之间，没有达到预期理想状态
DVT1 末期：只能导入临时硅胶套+侧面喷黑方案来降低CT，根据之前的rework 确认 预计CT在3000附近,批量数据 ：200台数据集中在2000~3000，最多不到4000
长期：DVT2 导入修改的防呆的硅胶套，以提高产线装配可操作性（同步PCB修改让位给防呆及检查用）
其他项目：目前的结构设计情况下，需要硅胶套+黑色泡棉+中框侧壁喷黑的方案。
  DVT2 目前导入硅胶套后，P-sensor CT已经控制住。 该问题先收敛close ，关注其他问题</t>
  </si>
  <si>
    <t>IKSWV-28598</t>
  </si>
  <si>
    <t>Issue S2:  WH180780 ，tumble test，  D5  cap sensor nofunction （CQA 所有通道一直显示绿色） ，recover after reboot
"EVT TMO tumble WH180780
1 out of 5 cap sensor no function,recover after reboot:D5(150) 
EVT ATT tumble WH180784
Cap/SAR sensor no function:D5(450)
EVT MIL drop WH180788 1.5m
Cap/SAR sensor no function:D3(post)"
clue：       其他两台硬性故障机器，8/28 到厦门
Rootcause：1.第一台软件故障 。2. 结构CH3 板子断裂问题导致，同MIC2  3.capsensor 单体故障。
solution： 1.软件优化2.同MIC2 无作用的修改板子增加一个钢片进行加强 
                 3.单体寄给厂家分析，同时ME 应力仿真值确认及想办法降低形变。monitor
DVT 1 一供没反馈问题</t>
  </si>
  <si>
    <t>Issue S3:  WH180794 ESD D4 -8KV air discharge at zone8(Aging10),OTG no function，
clue： D4 OTG is ok ,can not reproduce .安排压测  50枪，不复现
              EVT2复现3次，重启恢复，  软件 log 分析，没有ADSP log 暂时没有进一步的结果。 
   SW有已知的问题：IKSWV-19512  故障发生后，和ESD  测试时的故障结果一样。  OTG和USB都无法连接，Vbus有电，但是USB就是枚举不上。
Rootcause： suspect SW issue 。 Action ： DVT1 ESD 打开ADSP log 后再进行测试，有故障后抓取对应log 进一步确认是否同一个问题。
solution：monitor 
DVT 1 一供没反馈问题</t>
  </si>
  <si>
    <t xml:space="preserve">  Issue S3: ATT drop 1.5M MIC2 no function 5 in 10 unit
Rootcause：corner PCB crack （near MAIN camera ）
Solution： 1.PCB外形加大0.2往camera，2.top增加一个小钢片用来加强板子。  import from DVT1
       DVT1 第一轮ATT drop 没有发现相关问题。</t>
  </si>
  <si>
    <t>Issue S3:  houston Flash LED 出光孔位置和结构需要不匹配
clue：1. EVB基带自测闪光灯功能正常，EVT试产产线自测功能正常
            2.EVT整机camera测试灯效，发现出光孔和Lens中心点不一致，偏心。        
Rootcause：  1.结构需求未出给  2.硬件设计未确认到位。
solution：
1.临时方案： EVT rework 闪光灯板给camera测试Lens效果。
2.  DVT1 修改PCB板设计
2.项目长期：
长期：
1）结构EVB根据Lens出光孔输出闪光灯摆放方向图纸给CAD，包含焊盘形状和出光孔标识，并且检查和验收主板设计闪光灯出光孔是否符合Lens出光孔的要求。若有闪光灯不同阶段的更换物料，也同样适用此条。
2）基带负责闪光灯按照结构的要求放置闪光灯，协助结构判断出光孔是否一致。严格遵守BB review 发版检查。</t>
  </si>
  <si>
    <t xml:space="preserve">Issue: 自测5台，4台出现 ANT7和ANT8的 N77&amp;N78干扰后主摄像头
           1）ANT7 N78 有preview failed和camera error found
           2）ANT8 N77 preview failed
Clue：log提示后摄MIPI error    
实验:  1. 石墨片不动，去掉Inlay, pass
           2. 去掉camera石墨片，裹紧Inlay, pass
           3. 去掉camera石墨片，去掉Inlay上camera ring，裹紧inlay，pass
Root cause:
          ANT7和ANT8 N77和N78 最大功率26dbm干扰到inlay camera ring和石墨片，两个同时存在就会有fail
Solution：
                   修改石墨片形状，避开后置camera连接器区域， 
                 负面影响：thermal 前置camera 发热较大，有风险。  但是DVT1 还是用这个作为主线
                                      DVT1 二供 导入氮化硼对比测试  。  预计DVT2 thermal MCN 前决定用哪个方案。 </t>
  </si>
  <si>
    <t>Issue S3:  Flicker sensor &amp; A+G sensor reuse I2C bus impact performance 
clue：1.houston First SOIS+Flicker on SM6450/SM6475
Rootcause：SOIS 占用了SM6475平台ADSP的所有接口 （一组I2C for OIS控制，一组SPI for OIS A+G 数据上传，以及 I2C 的A+G UI通道数据 for EIS）。其他所有ADSP端的sensor只能和A+G UI通道复用I2C.  一些极限场景会同时调用A+G UI 数据和flicker 数据，就会出现总线性能不足的风险（按照SME 的数据计算模式，可以确认同时调用A+G UI 数据和flicker 数据 无法满足 CTS 认证的 EIS  和 AR core 相关认证）
其他同期项目情况：paros 项目 OIS+flicker ，所以ADSP 接口资源够用，不需要A+G和flicker 复用I2C 抢总线。
需要解决问题：1.认证问题：EIS  和 AR core 相关认证
solution：proposal  1. AR core 测试camera 场景默认不开flicker sensor 。 EIS场景（录像？） 使用A+G SPI数据通道获取UI数据，SOIS （拍照物理防抖）场景再配置成 OIS需求数据模式。  ---Need SW camera team evaluate ，ongoing 
                 proposal  2. flicker sensor change to AP side。---need SW  sensor &amp; camera team evaluate ，ongoing  （mey need HW rework base on boston ，waiting SW feedback）
                proposal 3. houston change main camera to OIS module （similar to paros）--没提上议程，毕竟我们目前的设计有很大的cost down ，如果回到OIS 方案，我们的costdown 就没了，以及会产生一些设计变更。在其他方案不可行的情况下，最坏情况下考虑这个方案。</t>
  </si>
  <si>
    <t>J.Wrangler</t>
  </si>
  <si>
    <t>G.Manaus NA</t>
  </si>
  <si>
    <t xml:space="preserve">issue: PAT wireless charging fail  
Rootcause：：1.一部分机器Stack 板子没装。这部分制程问题工厂处理--统计这几天有15pcs Stack 板子没装。 
                         2.有两台机器是stack 有装，但是FW升级一直失败。 Q2803 虚焊  ，具体还有多少台 由产线统计及SMT参数修改解决。
</t>
  </si>
  <si>
    <t>F.Manaus Row</t>
  </si>
  <si>
    <t>[s3]SGM Release FCN that mention  SGM3837 OLED Driver Frozed,Change to Novatek.
Root Cause: SGM3837 出货有0.3%芯片本体损坏，导致整机会在VBAT上有漏电流，供应商数据10mA+
        影响度：量产项目：  london na 无影响，London Row 13K , Juno 5K    
                         试产项目：munaus 5G DVT1 1K 主板 ,  ODM XXX 项目
solution：1. 冻结所有在库SGM3837物料，退货处理。
                   2. 量产项目主板和机头进行sorting方案，挑选异常
                           主板方案： MMI夹具上分别测试主板漏电流 和主板+屏漏电流。
                                Juno 漏电流大于0.5ma的有16pcs/2882pcs=0.555%（16pcs中有12pcs漏电流大于10ma，12/2882=0.416%）
                            整机待定：
                    3.manaus 5G 主板sorting方案： 挑出&gt;=0.5mA 漏电流主板
                    4. 圣邦之后供货初定3K，联想SMT后做sorting。</t>
  </si>
  <si>
    <t>E.London NA</t>
  </si>
  <si>
    <t xml:space="preserve"> Issue:  Temp / Humidity and Temp Cycle ， ALT drop  3units( 3/12) flash led no function.
 Root Cause: 1.2rd sourcing vendor  flash led FPC ，LED  SMT poor welding, need fpc vendor PBH improve 
   DVT2 fail too
Root Cause: 1. The heightening of the sea ring leads the flash FPC poor contaction,  After opitimizing the structure， not find the issue in PVT.
</t>
  </si>
  <si>
    <t>[S3]Issue:  WH159074  TMO  Drop  1:Proximity sensor no function,recovered after reboot:D1/D3/D4(14),D2/D5(28 
rootcause:  suspect no P-sensor parameter optimize , optimize it in DVT1 SW . monitor DVT1 and no issue so far 1/11</t>
  </si>
  <si>
    <t>[S3]Issue  ：EDU03  WH159065 D3 After -8KV air discharge at zone9(Aging10),Mic1 and Mic2 no function,recovered after reboot.(only once not count 2022/12/6 15:09)
rootcause:  N/A
Solution ： Monitor</t>
  </si>
  <si>
    <t>H.Boston</t>
  </si>
  <si>
    <t>D.Geneva NA</t>
  </si>
  <si>
    <t xml:space="preserve">[S3]Phone Crash during second restart after skipping SlotB for OTA test , and then Restart failed.
Clue:1.Press power key will help to continue the power on process.
Clue2:Log shows GP Fault 7 and uvlo
Clue3:HardReset or Battery Removed will recover.
Clue4:Factory SW Also Reproduce , ~2%
Root Cause:1.System Suspend duo to Fault Issue on of PMK6450 which caused by Secondary Power VREG_XO/RF/BB not shut.
Exp:Measure Pon_rst_n/Fault_n/PS_Hold when crash reproduced, Result:PMK6450 Trigger Fault_N duo to Vreg_xo keep alive and drop after L17B.
2.BootLoader PSI File issue.
Exp:Upgrade newest Bootloader  Result: No issue
Solution:1.Latest SW resolved
Un-reproduced by QC mainline update </t>
  </si>
  <si>
    <t>[s3]Issue: Cannot charge phone by USB: D7 (350) after ATT tumble , WH160949
Clue: PMIC sheilding case solder crack more than 40% .press sheilding case it recover. 
Root Cause: Batt_thermal Layer9 wire crack duo to ME stress  (PMIC sheilding case solder crack )</t>
  </si>
  <si>
    <t>Issue: DVT2 ALT WH159234 FVC T2H Unexpected auto power off.A2(1)
TrackID: NGVT2H0110
HW: DVT2
SW: genevn_factory-userdebug 13 T1TGN33.7 d5a45-e78dce release-keys
AP Log: https://drive.google.com/file/d/1-I8MHqvwROxQwy7XEVP2LI1Nv30weR7U/view?usp=share_link
问题及线索描述：
1.        插SIM卡，灭屏待机，静置2min，自动关机。按power键或者插USB直接开机。
2.        界面信号图标空白，Mobile Data图标反复On/Off，像是不断地尝试注网
3.        不插SIM卡，未出现故障
4.        飞行模式关机，开机再待机，未出现故障
5.        开机一段时间，尝试注网之后，再开飞行模式，待机可出现故障
Root Cause: 1.Unexpected auto power off duo to GP Fault7 triggered which means XO issue from log. 
                       2.Next Step: Check XO -RF
Cannot reproduced</t>
  </si>
  <si>
    <t>[s3]Issue:EVT ATT tumble WH156483 1st,No voice.
clue:Earpiece no function:D4(450),D11(300),D15-follow mainboard
rootcause ：1. I2C line of smart pa damaged in innerlay on corner               
solution ：1.line expand to 0.2mm  2. optimize Solder Paste to reduce strain， DVT1 monitor
DVT1 tested improved ，but still fail 2units ，optimize layout again ，DVT2 monitor
No issue</t>
  </si>
  <si>
    <t>B.Dubai+ NA</t>
  </si>
  <si>
    <t xml:space="preserve">[s3] Issue: Tesla some times can not charge in DF (DVT2 &amp;PVT),Recovered after power cycle, 5 users reported.
Root Cause:    
1.not charge due to cc logic error,and can't detetect cable.
Exp1:CC /Vbus Waveform Plot. Result: 1.CC Open 2.CC 5.1K  Conclusion:CC Logic in error stats
2.CC Logic error duo to interrupt source masking
Exp2: embedded reg plot in User Debug 1 , Result: ISR Mask （mean not support INT now）
3.Int mask duo to int Arbitration issue of system
Exp3: Import Patch2 and try , Result:Pass 
Solution:  1.  import patch 2  to main line（I2C INT flow optimize），Validated Pass
</t>
  </si>
  <si>
    <t>CR  IKSWS-83340</t>
  </si>
  <si>
    <t>CRIKSWS-89240</t>
  </si>
  <si>
    <t>CRIKSWS-102720</t>
  </si>
  <si>
    <t>A.Milan 5G</t>
  </si>
  <si>
    <t>9.Yukon</t>
  </si>
  <si>
    <t xml:space="preserve">
[NA]   Yukon  DF  DP issue   IKSWR-137479
cable issue 
change a cable and ok</t>
  </si>
  <si>
    <t>【故障来源】PVT MXc03跌落试验。
【复现现象】敲击主板的时候图像卡住，重开相机可恢复。测量连接器各个引脚阻抗、连接正常。
【历史线索】产线也有发现几台主摄异常，有发现U1000 和J3150-15印刷少锡。
【推测原因】U1000 MIPI引脚缺锡断裂，震动时断路，MIPI信号终止，CQA图像卡住。
【Next Plan】
1. X-ray查看锡量。=====&gt; 无异常
2. 安排切片查看U1000和J3150引脚是否锡球断裂。===&gt; 发现J3150连接器底部出现开路情况（报告待更新）</t>
  </si>
  <si>
    <t xml:space="preserve">
[NA]   Yukon  DF  Device Rebooted - Stuck in Boot Screen   IKSWR-139460
Clue ：1.L5E  LDO error in Ramdump log.
QC CR：https://qualcomm-cdmatech-support.my.salesforce.com/5004V0000181Vef
2. L5E is RF  Power for SDR
RF Tracking this case</t>
  </si>
  <si>
    <t>[S3]Yukon intermittently notice Pluging/out after charger connected.
Root Cause:
1.Charger Reset Frequently
2.CC GND Voltage &gt;0.43V 
3.Cable GND Mesh Broken ,165mΩ(Spec 83mΩ）
4.2018 Cable
Solution:1.Cable Team Own</t>
  </si>
  <si>
    <t>[s3]Issue:Flash Led  can not work    4/300 in EVT.
Root Cause:suspect LED CH 3  control impact LED CH 2 
Exp:   enable LED CH 2&amp;3  at same time  by adb command and it can work .
Exp:     SW version enable LED CH 2&amp;3 both ,but fail . need more check
Solution : 1.Change SCH&amp;PCB  to disconnect LED CH3&amp;4 （LED driver  1CH  can support 1.5A ,we just need 1A each CH ,it is enough .） monitor DVT1
DVT1 no issue so far</t>
  </si>
  <si>
    <t xml:space="preserve">[s3] rear camera 2 test in CQA  will cause rampdump sometimes
Camera2 Kernel panic https://idart.mot.com/browse/IKSWR-100409
 clue：can preview ，and video capture fail
Root Cause：Speculation:SW issue
Solution: temp SW continue build 107  checked ok .  close issue .  
</t>
  </si>
  <si>
    <t>8.Sierra</t>
  </si>
  <si>
    <t>7.Denver</t>
  </si>
  <si>
    <t xml:space="preserve">[na]Issue:DVT2 units Barometer Test Failed in TMO,Avg Data@4 Group @24units Exceed +/-36Pa.
Root Cause:
1.Precision of Reference Calibrator BMP388(calibrated by Drunk8100)  over Spec.
2.SMT  Thermal Strain Not Released  when Calibrated which lead to over calibration.TDK 2.6Pa/Day.ST Pass@5D Standing after SMT
Solution:
1.Recalibrate PVT Units for TMO in Chicago Mart. 
2.Recalibrate BMP388 with Drunk1000 that calibrated with Pace5000.Done.
3.Sending long Standing Time units,re-calibrate for LE.
4.Hold Standing Time for at least 5 Days from SMT to Calibration for TDK and ST. Go OK2Pilot.
5.Proposal:Furtherly low down Standing Time Solution from Vendor. 5D OK ,Try 3D .
6.Proposal:Import dynamic calibration for barometer.TMO Agree Using Google </t>
  </si>
  <si>
    <t>2.Stingray</t>
  </si>
  <si>
    <t xml:space="preserve">Issue:FFRP ID 167653
RTT function on the phone is physically off, make an outgoing call it shows up on my phone call, and the ppl on the other line canot hear me properlyl
Clue:There is  screen protector .
RootCause:
1.Speculation: It will increase the CT of the Prox sensor , and more important is that the increases count is unstable because the screen protector is not fully adhered to the 2.5D glass at the edges which is the Prox area.
Solution:
1. Requirement for screen protector is to cut off the prox area.
other same root cause return unit :FFRP ID  167693  </t>
  </si>
  <si>
    <t>视频link</t>
  </si>
  <si>
    <t>[S3]Issue: Unexpected auto power off after ESD CD on MODS area, recovered after reboot.  TM display
RootCause: Display error
1.Display TE check failed and carry on recover procedure.
2.Display pwr_mode register meet error after power down and on.
3.AP halted after two recover fail.
Solution:1. Not reproducible in PVT and Quattro</t>
  </si>
  <si>
    <t xml:space="preserve">[S3]Issue:
1.DisplayPort Aux Communication Failure,Over 50%
Root Cause:
1.Aux Signal Integrity Issue
Exp1.1-Clear Log and Start Mods on passed one and failed one on two unit，Log and send to SW for analysis
Result:Passed with no error;
Failed with all Aux error
Exp1.2-Aux-P /GND Wave Form Measurement
Exp1.3-Repeart Reading through Aux on failed unit and Passed Unit.Observed the Waveform on Aux P/N from Phone side.
Result:Failed unit entering Repeating Read mode,Can't Insert one Read operation
Exp1.4-Remove R755Mod,Remove R743Mod,Remove C748
Result:Fail
Exp1.5-Remove R756Mod,Short C747mod
Result:Fail
Exp1.6-Aux n Pull up to L17A using 100K；Aux P Pull Down 100K after Capacitor
Exp1.7-Measure Aux P/N ,Observe Waveform after P-N(Math Minor)
Reslut:P-N=0
Solution:
1.Sol1.6:Adding 100R after Capacitor on Aux
Verified OK,BOM Change in DVT2B
</t>
  </si>
  <si>
    <t>Issue:SW 反馈有人报Foles通话不容易灭屏的问题（caizhiyi的机器）
clue： 1.SW caoyi 告知，手机左手拿着，P-sensor 位置比较容易跑到耳朵意外的区域，导致读值很低，不能判接近。
           2. 右耳朵也会出现，那应该是0距离状态下的
Root Cause:1.左耳朵飘出耳朵范围 
 Solution Action：1.DVT2B 旋转P-sensor 180度，将发射灯更靠近手机中心。（硅胶套同步更改）</t>
  </si>
  <si>
    <t xml:space="preserve">Issue: Black Card Performance Can't Meet requirement 
Root Cause:1. Double Holes window on CTP
Solution：1.Change Double Hole  to Singe Oval Type Hole ,Verify on DVT2B  ：
           Samsung Display PVT  100+pcss
            TianMa Display   DVT2B    TBD       </t>
  </si>
  <si>
    <t>test data</t>
  </si>
  <si>
    <t xml:space="preserve">Issue:WH111665 1.After +10KV air discharge  at zone 6(Aging10),P sensor and light sensor no function,restart recovery.
Clue: 点胶和封胶 是否没做好，直接打到P-sensor本体了？  （点胶不完整，打击P-sensor区域，会出现软性失效）
RootCause: 1.P-Sensor Affected by ESD
Solution:1. SW recovery ,RD Validate Pass 。 </t>
  </si>
  <si>
    <t xml:space="preserve">[S2]issue:on Dec/2 WH111848 ALT Loop2  B2:After drop top left corner,P sensor is always in enable status,light sensor is always in dark status, recovered after reboot
Clue:Plan :1.PI Get log  and check what the status CR  IKSWP-44583.  
2. Follow up the Loop 3~5  
3. tear down the B2 after ALT test  
4.SW check how to dump the Register when ALS/PS fail
Root Cause:1.SW Bug and Fixed
Solution:SW update
</t>
  </si>
  <si>
    <t>CR  link</t>
  </si>
  <si>
    <t xml:space="preserve">[S3]issue:WH111516_B4_NNBA120190 After loop2 drop right side,1 units' P sensor&amp;Light sensor have no funciton,but restart can be recover
Clue:Plan :1.LOG in CR  IKSWP-43026   2. CTP not assembly good
3.Proposal:Try to Reproduce，Can't Reproduce，Monitor others
Root Cause:1.suspect assembly issue ：CTP not assembly good may cause rubber moved and cover the sensor  . 
Solution:Monitor Loop 3~5 result,No Issue
</t>
  </si>
  <si>
    <t>Here</t>
  </si>
  <si>
    <t xml:space="preserve">[S3]Issue:MIC TDD Noise -40dB &gt;-71dB failed.
Root Cause:
1.poor Cirrus Mic Anti-TDD , 
1.1 Validate ACC+ Shielding Case pass; 
1.2 Proposal:Estimate Knowles Mic. Exp: Interposer FPC Sampling to verify.
2.Near field power strength- Antenna
2.1 Proposal:validate Antena Energy Field Modification
Solution:
1.Change to AAC Mic in DVT1A,
 AAC+3Walls Shielding Case 67dB@850MHz ，72dB@900MHz;
Cirrus+3Walls Shielding Case 58dB@850MHz
2.Import Mic Shielding Case  in DVT1A,Done
</t>
  </si>
  <si>
    <t>RPA analysis report link</t>
  </si>
  <si>
    <t>[na]If QUP config to UART,Stingray will have not enough AP  SPI for Audio codec. 
Root Cause:  SM6150 not enough AP  SPI
Solution: 
1.use LPI  SPI (LPI Qup2)for Audio codec Firmware download , Update 8/8 ,SW can’t realize bridge AP to ADSP. Drop
2.Using I2C instead of SPI to Codec,Update 8/8:need 6.8S loading AOV code.Drop
3.QUP Config to SPI instead of UART.  Update 8/8:Mainstream Solution.
Plan:Closed.</t>
  </si>
  <si>
    <t>[s3]Issue:No SPI Port for Mods 
Root Cause:  SM6150 not enough AP  SPI
Solution: add 1 Switch to solve it
Action：Done. Already designed in Stingray and completed development. Update the design diagram here.</t>
  </si>
  <si>
    <t>[S3]Risk:Als Design,No Feasible Place for Ambiant Light Sensor on Front Side.
Root Cause:Full Display
Solution:1.Place ALS on Edge ,2. turn to ALS under OLED ，under evaluation by SME team 
plan： 8/1 check use AVAGO9307 or  AMS 3701 。  9/30 check if we can go with s2？</t>
  </si>
  <si>
    <t xml:space="preserve">[s2]Risk：Stingray P-sensor design ESD Risk
Root Cause:P-sensor ESD Risk is high for the current Solution
Solution:
1.Non-Conductive Grommet Around P-Sensor
2.Conductive Grommet Around P-Sensor- Update 0.3$,Further investigate Low Cost Conductive Grommet.
3.FPC Grounding Around P-Sensor
4.Folded Copper Shielding refer to Rio-M
Plan: 1.Test Non-Conductive Grommet in EVT
2.Test Conductive Grommet In EVT
EVT1 test ok ，close it </t>
  </si>
  <si>
    <t>[S3]Risk:ESD May Damage USB-C on revised shorter metal shell
Clarification:1.EVT Validate 2.Pin anti-ESD capability validate on shelby. Only D+/D- Pin have risk while other pins have good ESD durability.
Solution:1.Keep Shelby Solution on D+/D- Protection
Plan:1.Keep Shelby Solution ,EVT Monitor,Closed.</t>
  </si>
  <si>
    <t>[S3]Risk:ESD May Damage Mods Pin
Clarification:1.EVT Validate 2.ESD failure mode analysis
Plan:1.Bettery Layout Protection
         2.Better TVS with big capacitor and lower clamp voltage</t>
  </si>
  <si>
    <t>[S2]Risk:ESD May Damage Speaker Audio Amp and cause system halt.
Clarification:1.EVT Validate 2.ESD failure mode analysis
Solution：Add Varistor near the SPK pad and double check if the TVS due to this issue
Plan:1. Add varistor near the SPK pad and test the ESD</t>
  </si>
  <si>
    <t>[S3]Issue:Proximity Design,No Feasible Place for P-Sensor
Clue:Stowed Mode
RootCause:Full Display Lead to No Space for P/ALS Sensor
Solution:1.ME Manage to place it on Front Camera
Conclusion:1.Turn to NUD Mangement，Closed</t>
  </si>
  <si>
    <t>[S2-&gt;S3] Issue:1.Qualcomm feedback SM6150 Reference Design on 8/13, 
Update 8/17：Qualcomm Upload on Create Point on 8/17
Root Cause：1.Qualcomm Design Spec Release not follow Schedule, 
Solution：1.Follow up Qualcomm</t>
  </si>
  <si>
    <t>[S3]Risk:CE ESD Usb Link Fail
Verification:on-going 
EVT pretess ok</t>
  </si>
  <si>
    <t xml:space="preserve">[S3]Issue:BSP 7.0 Simulation Shows 23.9Hrs on Latam UMTS
Root Cause:
          1.No Space on Y+ for Battery because of Camera
          2.No Space on Y- for battery because of Mods&amp;CPU+Memory 
Solution:
Narrow down PCB Bridge and expand battery on X+ by 1.3mm
1.Put some low speed Signal on bottom Surface Layer
                 2.Attach 1 Copper on this layer to shield
Value: Benefit 70mA increase up to 3570mah,Cost up $0.04. 
BSP on Target achieve all day life.
</t>
  </si>
  <si>
    <t>4.1.Sofia NA</t>
  </si>
  <si>
    <t>[S3] WH120786 DVT2 (2 fail/6 units),  WH121714(2 fail/4 units) PVT Sofia Plus unit cannot power on after ESD @15KV Air
Clue:1.Unit always enter 9008 mode; cannot recover .
         2. According to UART log, boot config error
         3.CPU bootconfig pins （SPK &amp; REC Smart PA INT 2 pins） Diode parameter abnormal （Fail unit 0.4V VS normal unit 0.6~0.7V  ）
         4. CPU GPIO_118 short to GND，TOF_RST . checked EDU03 D1&amp;D2 ,same fail.
Root cause:
1. Boot Fail due to boot config error that because of CPU GPIO_118(TOF_RST_N) short to GND 
2.1 Camera lens deposit is conductive in DVT2, making ESD reach TOF IC unit.
     exp:Change conductive deposit to non-conductive in PVT,fail.
2.2 Gap exit between lens and lens holder.
      exp:Red-dye immersion observed.
      conclusion: The interference between TOF rubber and camera lens is 0.27mm. The Elastic force of TOF rubber is greater than adhesion of clue.
3.1 anti-esd of Camera lens Double-sided adhesive become weak after temperature shock
      exp:RD Evaluate 2 units. Result:No issue before temp shock but both have issue after temp shock.
      exp: TCC Evaluate 3 units(factory pressure maintaining units). Result:No issue before temp shock but 1 unit has issue after temp shock.
      exp:Change adhesive with good temperature performance(PET-&gt;PSA).fail.
      exp:expand lens double- sided adhesive,0.6mm-&gt;0.9mm, Result:Rd evaluate fail
      exp:PET-&gt;PSA ; widen adhesive 0.6-&gt;0.9mm; expand lens double-sided adhesive thickness,0.15mm-&gt;0.2mm , RD evaluate pass.
      TCC test pass 6/6 units. 
      2 units ESD fail before thermal shock. These 2 units have been tested MDu52(Environmental / Chemical Susceptibility), which influenced the clue performance.
3.2 Speculation: TOF Rubber too hard?
     Exp:PET; widen adhesive 0.6-&gt;1.1mm; expand lens double-sided adhesive thickness,0.15mm-&gt;0.2mm; 60' hardness;RD evaluate pass. camera lens lift up 0.01~0.02mm.
     Exp:PET; widen adhesive 0.6-&gt;1.1mm; expand lens double-sided adhesive thickness,0.15mm-&gt;0.2mm; 50' hardness(softer); RD evaluate pass. camera lens does not lift up.
Solution:
 1. -adhesive change from PET to PSA ；
     -widen Camera  lens double -sided adhesive , 0.6mm-&gt;0.9mm；
     -and thickness change from 0.15mm to 0.2mm； 
     TCC test pass 6/6 units. 
2. -PET adhesive(lower cost than PSA)-Lower Cost
    -widen Camera  lens double -sided adhesive , 0.6mm-&gt;1.1mm；
    -thickness change from 0.15mm to 0.2mm；
    -reduce hardness of TOF rubber, 60 -&gt; 50, running change.
    RD test pass 4/4 units.(45min 75'C thermal shock, 10 times). 
   TCC test pass, 4 1st sourcing units, 4 2nd sourcing units.</t>
  </si>
  <si>
    <t xml:space="preserve">[S3]Issue: Sofia+ unexpected auto power off after ESD(8kV CD) on camera deco.
Clue:
1. Flash LED and TOF are high risk component, which are nearest with camera deco.
2. remove Flash spr, issue could still be reproduced.
3. remove TOF and reserve interposer, issue could not be reproduced.
4. Discharge on TOF I2C pins directly(4kV AD), issue could be reproduced, with same fail logs, while could not on RST/INT.
Root cause:
1. Camera deco discharge on TOF unit, causing I2C interferred
Exp1.1:Adding TVS on I2C,Pass.
Exp1.2:change TVS to 18pF or 33pF cap, fail
Exp1.3:Series in Resistor 100R, DVT2 Verify
Solution :1.Add 2 TVS on I2C ,04B PCB . pass
2.Remove Conductive Camera Deco
</t>
  </si>
  <si>
    <t>[S3]Issue:  
EVT ESD Sofia NA(WH117724) 
1）didn't test front side since easy to auto power off while testing it except display area
2）unexpected auto power off：D4(+8KV Air Zone16）
Root cause: 
1. JTAG is interfered by ESD. In detail, a loop made up of JTAG wire on Layer 9 and Layer 2 is interfered.
Exp1.1:Cut JTAG Wire in Layer9 and Test. Result:No Issue. Conclusion:R1 Confirmed.
Solution:
1. remove JTAG in Sofia+ DVT1A BR37327, monitor in TCC test.
Test pass</t>
  </si>
  <si>
    <t xml:space="preserve">[S3]
Issue1:  Front &amp; rear main camera no image  (Display Blank,unstable)  ALT WH117715B1(3),B2(4) ,A1(5) 
Issue2:  Front &amp; rear main camera no image  (Display Blank,unstable) ALT WH117750(sofia+)：A2(4) after drop    
Clue:B1:(N2SR010084) ,A1:(N2SR010083),A2:(N2PZ080020),B2: Not in hand
Clue: Front &amp; rear main camera reuse a mipi switch U5000.
Clue:Reproduce by Frozen U5000
Root cause: 
1.Proposal:U5000- CSI2 MIPI Solder Crack/U5000 VREG_L12A Solder Crack
EXP1.1: Reflow B1-U5000 ,can not reproduce by now. 
EXP1.2: Reflow A1-U5000 ,can not reproduce by now. 
Exp1.3:Cross Section Sofia+ A2 :F6 pin solder crack ,E6,A6 Partitial crack. 
Solution: 
1. Sofia+ Glue U5000  ,Sofia NA TBD ,DVT2 no glue  tracking
2.ME:Add Groove in Shielding Case---recheck WH18735,A4(5), U5000 solder crack .   --solution2 can not solve Sofia+ issue.  Sofia NA  TBD ,waiting for DVT1B test
</t>
  </si>
  <si>
    <t xml:space="preserve">[S3]7/31 TDD Noise Found in EVT 
Root Cause:
1.SPK Coil Couple by Electro Megnetic Interference
  Exp:Isolate and Loop Back SPK Coil P/N and Test  . Result:Noise heard. Conclusion:R1 Confirmed.
  Exp:Move SPK out of Phone, and Observe .Result:No Noise . Conclusion:R1 Confirmed.
2.1 Long Distance from Battery GND to PA
  Exp:Modify GND Sink Point closed to PA. Result:Pass ;Conclusion:R2.2 Confirmed.
2.2 Proposal:GND around SPK
  Exp:Eliminate GND Around SPK , Cancel Due to R2.2
Solution:
  1.Change GND Sink Point closed to PA.RD Validated Pass. Monitor TDD Test on Sofia Plus DVT1A Units. (V03a  PCB)
</t>
  </si>
  <si>
    <t>[S3]Issue:  EVT build sofiaNA found 4pcs  Display  abnormal ,failure follow Main PCBA
Clue:
1.  Blacklight Driver inductor Or Diode damaged (3pcs inductor ,1 pcs diode )
2. Check Backlight circuit:
1).The inductor  PL5300 1.1A typical, 1.3A max,   The inductor choose is oK
2). sofia can't support display module hot-plug,  if battery on , then plug  display module, may lead LEDA(VBAT) short to GND, there will be a very big current, damage  inductor or  diode
3).  poweron without display,  the power VSP 5.5V /VSN -5.5V/VIO 1.8V/LEDA 24V etc are always on, then plug  display module, more power signal may short .need SW to modify
4) Check  Blacklight Driver setting :   
5) LM3697 has OCP( set at 1 A (typical). it'a hardware action.  But it's not useful for the short of Vout_LEDA to GND 
6）LED String （LED_K1 /K2/K3）short Detection is not work ,   the short decection can't report active， need  sw to check,  it may occupy system resources    
7. RD  found 1pcs fail in assembly display module when unit power on   . ---Longhai
Root cause: 
1. Proposal:Display Abnormal due to PL2500; PL5300&amp;D5300 Damaged.
2.Proposal:Power Supply Grounding lead to big current 
3.Proposal:Power Supply Grounding due to Hot-plug with battery   
Solution:
1 .Proposal:产线管控,拒绝带电插拔  ,Factory Informed. DVT1A Monitor
2.Proposal:SW update,shut off  power supply to display, when without a display module.(DVT1A cost down display LDO , L9A can't close),SW Imported.DVT1A Monitor
3.Diode  PMEG4005AESF 0.5A typical /0.71 max，Change the Diode to  Rohm RB161QS-40， 1A typical.  PMEG4005AESF 0.5A typical is not enough for HBM mode ,DVT1A Import and Monitor
No more fail found ，close</t>
  </si>
  <si>
    <t>[S3]Issue: There is noise on the board when Display on,EVB  board+EVB Display module
 Clue:1. remove Display ,no noise.  It maybe  Bias current working noise. or Backlight driver noise.
           2.The noise only exist when use 2p8s panel,when use 3p6s panel is ok.
Root Cause:
2.SW setting is wrong for 2p8s panel:OVP set to 24V,which leads TI LM3697 output  some noise (5Khz to 10+Khz ,not fixed) . (TI LM3697) .
     issue in EVB Display module , not real issue
Solution:
1.  No need to change ,  sofia display module is 3P6S , the voltage of LEDA is 18V ,  24V  OVP is ok
   waiting for an analysis link and then close---chang fangmei   Done</t>
  </si>
  <si>
    <t>[S3]Design Risk:Upper limitation and low margin in DDR Routing Impedance
Clue:Micon 4+64 Pass Simulation
Root Cause:
1.Impedance control can't be with good margin due to  distance between layers.
2.Thickness Locked to 0.716mm duo to Cost Balance.
Solution:
1.DDr Eye-Diagram to validate  -BB/SW
2.QC SI Simulation  -BB/QC
3.EVB H/L T Stress Test. - BB
4.QC Can Fine Tune 1p by SW DDR REG Fine tune. if failed.
    waiting for recheck and then close---Dongjiakun</t>
  </si>
  <si>
    <t xml:space="preserve">[S2] Solution Issue:
PM prefer Sofia NA BSP Target=72Hours@50th but currently Sofia BSP=56.1 @50th
Root Cause:
1.BSP Output
Solution:
1.PM Sync the Actual BSP. </t>
  </si>
  <si>
    <t>SCH change link</t>
  </si>
  <si>
    <t>5.Nairobi</t>
  </si>
  <si>
    <t>[Monitor]Issue: Adaptive brightness mode，brightness shows 0%,screen flash sometime
Clue： 1. Backlight current=(hal/4095)*CABC duty circle*25mA，brightness 0%,hal=19，Cabc duty=79% ,backlight flash.  hal=19, backlight current= 0.0916mA/sink， hal=34, backlight current= 0.166mA/sink，               
             2.enable CABC(0x1D951=0x1), set 0x19D49=0x0c(PMIC Digital Accumulator bit-width selection14 bit to 15bit) and 0x1D952=0x0, set CABC=79%, hal19/34 ok , but  Hal=29/48/67/72/91  backlight duty not stable, screen flash
Root Cause:1.Limitation of PM7150L under Low driving current with CABC ,
                   Exp:find which parameter leads backlight flash : when backlight flash, cabc duty circle stable(test the waveform from display and use signal generator set CABC), hal value stable(adb log hal value per 10ms and adb set hal value ), but the backlight wled duty not stable ,it means the current  changes。 CABC duty circle change to 96% or  disable CABC ,backlight duty is stable hal=19/34.
                      2.CABC Compatibility Limitation of PM7150L? 
                   Exp:Check with QC, QC confirmed known issue on PM7150,
Solution:1.Set 0x19D49=0x0c(PMIC Digital Accumulator bit-width selection14 bit to 15bit) and Disable CABC on Low brightness&lt;=200, SW Work around ,Version effected</t>
  </si>
  <si>
    <t>[S3] 1 unit NNIV040046 can not power on sometimes. unstable
clue: 1.SW check it is related to a SW debug function D+ short to gnd  will run EDL mode ，then release D+ will enter 9008
2.test R between D+and GND it is ok sometimes
3.copper for mmw ANT cover USB test point 
4.remove the copper  can not reproduce for 5 times test.
Root Cause:1.thermal copper for mmW ANT cover USB test point causing D+ short to GND . 
5. Impact VZW SKU(with mmW)
Solution:1.change copper ? 2.add a glue to cover the USB test point?(checked can not move the test point)  ME tracking</t>
  </si>
  <si>
    <t>test result</t>
  </si>
  <si>
    <t>Photo  link</t>
  </si>
  <si>
    <t>photo link</t>
  </si>
  <si>
    <t>[S3]Risk: FPS soft fail after ESD.
Clue: Because of ME design limit, FPS module GND is very weak, and no metal deco.
Probable Cause:
1. FPS driver deadlock after ESD, cannnot response to AP's command.
Precautionary Measures:
1. Add 100ohm series resistace on FPS signal routes. Verify ok on sofia.
2. Independent LDO power for FPS. When AP knows the FPS ESD error, auto power cycle the FPS module. Verify ok on sofia.
EVT ESD test tracking</t>
  </si>
  <si>
    <t xml:space="preserve">[S3]  
 case ：From Chicago John Gorsica： in talking to CTO audio team (Marley integration),   have learned that Qualcomm's software implementation expects a separate bus for the EC (echo canceller) reference signal.  Our original plan was to use I2S TDM mode to send this data over a single I2S bus.  This team has requested that a second I2S bus be routed from LPI GPIO121-124 to AIF3 on Marley.
 Action：EVB，no change ； change into EVT with Racer solution --SCH change done
</t>
  </si>
  <si>
    <t>6.Tahoe</t>
  </si>
  <si>
    <t>[s2]Issue:  售后2台故障机报充电自动重启和充电慢问题
clue: 1.354001150743953         充电时自动重启，插电脑检测不到手机        　        D+:827Ω，D-:398Ω；
354001151119179         有时偏慢，有时充不进电，有时电量无变化    D+:372KΩ，D-:820Ω；
2.怀玉 在武汉拆机分析发现CPU端阻抗异常，TVS 阻抗也异常
Action：EOS测试失效的机器，TVS 和CPU 也都坏了，比较拟合，EOS？ 
Solution:</t>
  </si>
  <si>
    <t>[s2]Issue:  售后1台故障机报充电速度慢
clue: 1.  USB  D+和D- 插入充电器时没波形。  关机测量对地阻抗异常，在1K R 以下 。正常是几百KR
         2. 拆机直接测试主板测试点对地阻抗，D- =2.2R ，D+ =800+R ，异常
         3. 测试小板D+、D-对地阻抗，10KR左右， 也是异常的。而线路上对地只有TVS器件。推测TVS器件也异常了。
Root Cause:    怀疑是EOS导致。  那EOS来源是什么？机器的防浪涌能力如何？
Action：TCC  增加 tahoe 对USB2.0和CC pin 的防浪涌能力摸底测试 ，60V fail，很高的抗性。EOS测试失效的机器，TVS 和CPU 也都坏了，比较拟合。  为什么还是会坏？有啥改进机会？
Solution:</t>
  </si>
  <si>
    <t>[s3]Issue: SW test ，Connect Jiewang（500G） mobile hard drive to the OTG cable phone does not recognize,IKSWR-11737
clue: 1.change This OTG cable to a hub ,it it ok
        2.Racer turbo(SM8250) can not recognize too. but other projects can recognize
       3. test by our OTG and hub + our 1T&amp;2T  hard drive ,they are ok,can not reproduce.
      4.both USB 2.0 &amp;3.0 OTG header test fail on this mobile hard drive Jiewang（500G） 
Root Cause:no signal issue found.  
Action 1.1: SW analysis no result
Action 2: HW,  eye diagram test (host mode ) USB2.0 pass， USB3.0 host fail  at 5G Far End Total Jitter at BER-12 (CTLE ON)          -5.9 %.
Solution:keep current status. no change .</t>
  </si>
  <si>
    <t>[s3]Issue:Edu03 1/8 unit can't power on ,15KV Air Discharge on chin.
clue1:PMU Damage
2:leakage current of AVDD of PM8150L is 340uA,normal is 1.5uA
3:press power key,REF_BYP of PM8150L no output
4:AVDD leakage current and REF_BYP output of PM8250 is all normal
Root Cause:
1.PM8150L Damaged
2.Speculation:Floating VDD_BOB Affected by ESD which lead to PMIC Damage.
   Exp:Test more 2 unit on SubBoard but not reproduced.
Solution:
1. Add 1 cap on VDD_BOB Terminal.  - Done
2.Reserver 1 Resistor on Mainboard in next version. 
 DVT1A test pass</t>
  </si>
  <si>
    <t>1.Shelby</t>
  </si>
  <si>
    <t>BB Analysis</t>
  </si>
  <si>
    <t>[S2]   Issue:ALT WH105378 A5 loop2 Magnetometer sensor no function
Root cause: 1.M-Sensors Crack by cutting force Observed on FPCA  2.M-Sensor was cut by Sharp Edge in the Slot 3.M-Sensor need glue more 
Solution 1.Expand Glue on M-Sensor
               2.ME Expand Slot 
               3.Proposal：SOP Improvement
Merge to 2018-3-29 Edu02 Issue ,Close</t>
  </si>
  <si>
    <t xml:space="preserve">ME  Analysis </t>
  </si>
  <si>
    <t>[S3]Issue:DVT3 Edu02 Magnetometer sensor no function
Clue:
                1.Magnetometer Sensor no function also found during Assembly
                2.EDu02 on FPCA samples 10pcs checked Pass by Hongflex. 
                3.PVT IQC Sort FPCA,No Failure Found.
Root cause: 
                1.FPCA Damaged. Nothing to do with Edu02 
                2.Some 3 of 5 M-Sensors Crack Observed on FPCA  
                3.Proposal:M-Sensor Crashed with the Pocket Edge during Abnormal Assembling: -Owner:NPI liuyulong         
Solution:
                 1.Proposal：Assembly SOP Improvement –Owner：NPI Liuyulong
                 2.Proposal：Enlarge the M-Senosr Pocket as below for more space for M-Sensor–ME Ethan
                 3.M-Sensor need glue more                                    
Plan:
                 1.Assembly Issue Analysis，Focus on Side FPCA Assembly in PVT, To see if failure found in JOT  –Owner:NPI ，On-Going
                 2. Enlarge the M-Senosr Pocket more space for M-Sensor –ME Ethan ，Done，Solution Run in Change in MP directly.
                 3.Glue M-Sensor - ME Ethan/BB</t>
  </si>
  <si>
    <t xml:space="preserve">[S3]DVT2a Tianma display compare result in Max brightness，+2.5℃ &gt; samsung display
          Clue:1.Decrease Brightness ineffective
          RootCause:The power consumption of Tianma is higher than that of Samsung 
          Solution:1.Adding Graphite under Driver IC
          Plan: control the power consumption of Tianma display,DVT2B tracking--onwer: KeyPart
</t>
  </si>
  <si>
    <t>[S3]Issue:DVT1A ESD Test Usb Fail 3 units
D2：After ±8KV air discharge,The computer can not identify the UUT,can not recover.
D3,D4：After -15kv air discharge,The computer can not identify the UUT,can not recover.
Root Cause:1.D2-D4 Usb Analog Switch Damaged
2.Rohm 1pF TVS request by purchase team can't meet Requirement
3.Easy to striked by ESD due to Type C Connector tongue piece protrude
Solution:1.Using Better TVS on DM/DP,Eval 10pF Pass，Verify on DVT1B，DVT1B Pass-2018-1-12 ，ALT Fail 1 unit -2018-1-16
2.Reserve Additional TVS closed to USB-C Pin on DVT2 3.Reserve 2 0R Resistor on DM/DP Done
3.TVS Closed to USB Port 
4.2 TVS （Switch+Port）</t>
  </si>
  <si>
    <t>[S2]Issue: Ps/ALS  sometimes not work after 1.2M drop .  reboot ok .
Clue:1. ME found that Position Over limit
Root Cause:pop pin connect shortly open when drop ,recover after a short time.  cause p-sensor work abnormal
Solution：Proposal 1. ME check design
                    Proposal 2. SW evaluate recover method at same time. 
Plan: 1.Follow up ALT  DVT test result 2.Push Software Insert Recovery Mechanism 3.Push ME Analysis or Improve Spring Contact Stability   
DVT1A ，1st ALT ok ，follow up DVT1A 2nd ALT</t>
  </si>
  <si>
    <t>[S3]Risk: Flash Thermal Evaluation fail  at 1.5A which exceed LED's Junction Temperature , and will damage flash led
Clue: 1.factory flash calibration set flash current  1.5A(cool)+0A(warm)/  0A(cool)+1.5A(warm)  2.Ibis use the same LED Flash,No defect in Factory,After sale
2.Thermal Evaluation result: Flash can work at 1.2A(cool)+0A(warm)/0A (cool)+1.2A(warm)/0.75A(cool)+0.75A(warm)
Root Cause:1.
Solution :1. Flash positive add vias      2.  Flash positive enlarge copper paving
Plan:1.Verify on DVT1A    Same AS Ibis（simulation data） ，monitor</t>
  </si>
  <si>
    <t>Issue:Unable to power on
   Clue:A3(1),A5(1),B1(1),B5(2)
Root Cause:battery plug incorrectly
Action： Factory correct it in coming build   monitor  2nd ALT test result
ME own</t>
  </si>
  <si>
    <t>Product Design:Charging solution 20W？27W  ？ charing IC solution is？(Impact thermal and placement)
Conclusion: 27W Adpater +20W charging rate (not big switch solution) .  Thermal risk is   high.  Any chance change to 20W Big switch solution？
Charging Solution back to 15W because of cost - 2017-8-1</t>
  </si>
  <si>
    <t>3.Quattro</t>
  </si>
  <si>
    <t xml:space="preserve">[S2]Issue: Quattro No turn on issue after ALT drop-Link
Clue1： U2400 Pin solder Crack in DVT1B &amp; DVT2A
Clue2： U1600 Pin solder Crack in DVT2B
Clue3 : all no turn on issues happened after display crack.
Clue4:No issue in Tumbling Test.
Root Cause：
1.U2400/U1600 issue
Exp 1.1: current observation. Result: Conclusion: U2400 abnormal
2.U2400/U1600 solder crack
Exp 2.1: red dye test. Result:U2400 solder Crack found by red dye test.Conclusion: U2400 solder crack.
3.U2400/U1600 weak solder joint. Drop
Exp 3.1 Cross section failed one .Result: by 6/18
Exp3.2 Cross section normal one. Result:Solder Joint Normal .Conclusion: No Issue.
4.Proposal: ME change lead to high PCB Strain 
Exp 4.1: Harder Thermal Pad . Result: Failed too . Conclusion:Harder Thermal Pad also failed.
Exp4.2: .TBD
5. No Sealess Assembly display in position lead to high PCB Strain after display crack and removed for analysis.
Exp 5.1: keep original display until ALT drop finish(loop 5) result:Function and Red-dye no Issue . Conclusion:Drop test without Sealed Display  lead to Extreme High PCB Strain that cause Memory and Pmic Solder Crack.
Solution：
1.add underfill in U2400 &amp; u1600,optimizing underfill cost .
2.Remove underfill
</t>
  </si>
  <si>
    <t>[S3]Issue:DVT1A Quattro tele camera OIS_VDD and GRO_VDD are swapped
Root cause:   OIS_VDD and GRO_VDD are swapped in camera module 2D drawing. 
Impact: All units before DVT1B Tele camera OIS cannot work（Not including DVT2A）.
Solution:  change the OIS_VDD and GRO_VDD in DVT2A sch
  Action : 1.Notice PI &amp; HPM DVT1a&amp;DVT1B units Tele camera OIS cannot work 
                2. rework units for china team bringup OIS
                3. mail how to rework the units for chicago team .
                4.optimize  2D drawing
Lesson learn : optimize  2D drawing  requirement  with Camera Module Vendor .  Such as add power voltage requirement in 2D mapping ,Add current requirement for each power in 2D Drawing . etc</t>
  </si>
  <si>
    <t xml:space="preserve">[S3]Issue:DVT1B Display go black when calling with DVT1B ，7 pcs
Root cause:1.P-sensor Rubber change in DVT1B
Exp:Temp parameter  check ok by 4/4 ,Done
Solution:  
1.Provide BAT to update new Parameter.
2.SW ready by 4/8   PPH29.9
Lesson learn : need to follow up Change impact   .P-sensor Rubber change impact Factory build and TCC test ，when the change was confirmed need to change SW in time for them .（for User too） </t>
  </si>
  <si>
    <t xml:space="preserve">[S3]Issue: DVTA ALT WH114449  A1 ，Auto power off 1time in loop3(1 in 12)
 clue:         1.after Loop4 ，it always power off after drop
                  2.Press Top  PM6150 Shielding case ，Reproduce case
                  3.remove rear housing ，reproduce （so it is PCBA issue）
                 4. remove  PM6150A Shielding case  ，Reproduce  
                 5.remove PM6150  Shielding case ，can not power on  
                 6. this ALT units were built with temp shielding case ，which can not protect PCBA well.
                7.Measure power (primary power Vreg_BOB=0V ,So  PM6150A do not work completely )
Root Cause:       
            1.U2400 PM6150A Solder Crack Found , Confirmed by MDU44 
            2.Temp shielding case have weak protection
Solution：  1. Update New shielding Case , 2nd ALT Test good ,   Mdu44 for double check pass too
            2.   Backup solution:underfill for DVT1B 2nd ALT&amp;tumbler  ---linfenga   </t>
  </si>
  <si>
    <t>[S3]Issue:
DVT1A Not turn on after tumbler test WH114467,D1&amp;D2 （2 in 5）
Clue:
1.D1 &amp;D2 Power on current 110~130mA ,can go into 9008 mode with V+ key,but can not download. (should be memory issue)
2.found  Shield case is too weak ,and more than 25% unsolder 
3. D 1 press U1600 then can turn on
Root Cause:
           1.U1600 Memory Solder Crack due to Tumbling, Confirmed by Mdu44
            2.Temp shielding case have weak protection
Solution:
1. Update New shielding Case ,  2nd tumbler test(With correct shielding case) pass  
           2.   Backup solution:underfill for DVT1B 2nd ALT&amp;tumbler  ---linfenga</t>
  </si>
  <si>
    <t>Simulation</t>
  </si>
  <si>
    <t xml:space="preserve">[S3]Issue:Display  blink some time ，Worse with Adaptor FPC
Clue: change mipi 1.09 G from 1.14G  ,improved   . but fail too with Adaptor FPC
Root Cause:  Pw8368 insertion loss 
1.EMI filter impact?  Exp1:Replace EMI with 0R Resistor 2/28  No improvement
2. Pixelworks Insertion Loss?
     Exp2-1:works under normal mode  is ok with Adaptor FPC, but the hardware bypass mode fail. 2/28 
     Exp2-2: Compare the mipi signal Waveforms，hardware bypass mode is much worse than normal mode 3/1
     Exp2-3:  mipi Impedance in the px8368wm =100 ± 20%Ohm, but the mainboard PCB and display panel mipi = 85 ± 20%Ohm  
     Exp2-4: Pixelworks Vendor can't putout the Insertion loss data
     Exp2-5: Compare the MIPI waveforms before and after Pw8368, the loss makes the MIPI quality bad
3.SW Configuration on MIPI Signal Integraty, 
     Exp3-1:.MIPI Drive Strength Increase to 0xFF(default 0x88) ，no improvement 3/1   
Product Team Reject this feature due to MEMC not remarkable
 </t>
  </si>
  <si>
    <t>0.Andy NA</t>
  </si>
  <si>
    <t>[NA] OK2Pilot ESD Fail,SPK Noise
Issue:ESD Fail on Zone1 -15KV on Alt ,1/2.
Root Cause:Find that Conduct Foam Grounding not good ,100Ω，out of spec 3Ω
Solution:Press Conduct Foam on FPC to ensure the grounding，and then Assembly on back Housing.
Verificaion: Verify ESD 4 pcs on 4/27：WH100063-Pass
Research 1:Further Diving on Bead Effect -yangwla
Research 2:ESD TVS Part Near by Contact Pin Research - yangwla</t>
  </si>
  <si>
    <t>0.George NA</t>
  </si>
  <si>
    <t>行</t>
  </si>
  <si>
    <t>值</t>
  </si>
  <si>
    <t>列</t>
  </si>
  <si>
    <t>Issue Count @Change=SCH/PCB/BOM/Parameter</t>
  </si>
  <si>
    <t>[s3]Issue:
    DFer Report 2 units black screen for 1s observed and recovered , 1 or 2 times each day when use whats app browser. 
        Clue:1.No relative black screen issue found in edu04 during 3T test.
        Clue:2.ESD Test on failed unit, 12kV 500 times and 15kV 500 times
        Clue:3.Check all DFers to see if any other same issue.  Result:no extra found
        Clue:4. Increase issue reproduce rate.                         
Root Cause:
     1.ESD Recovery Triggered duo to read operation error when Check Display Reg each 8s.
        Exp 1.1 Check Log , Result: DSI Error Notified .
        Exp 1.2:Check Host Status. Result:read operation the status is 0x13(0001 0011), BTA_BUSY, DSI host side didn’t receive the BTA from the panel side , Conclusion:Display may in suspend mode.
     2.Read operation error duo to Display driver mipi in Suspend mode
        Exp 2.1: Remove ESD Recovery Code and reproduced. Result:Display Freezed, no dsi error found, no black screen observed.
        Exp 2.1.1: Only Reset Display and check if recovery .   Result: Drop duo to feasibility
        Exp 2.1.2:Only Reset Host MIPI to check if not recovery.   Result: Display Freeze not recover.  Conclusion: Display Suspend
        Exp 2.2: When Display Freezed, Set brightness of Display through Write operation. Result:No response.  
        Exp 2.3:After 2.2, perform read operation, Result: Dsi error occur,same with exp1.1 Conclusion:Display Suspend
        Exp 2.4: Press Power Key and Press again to awake.   Result: Display Frozen Recovered.
        Exp 2.5: ESD recovery just reset AP DSI, not reset panel， Result: can’t recovery panel   8/24  conclusion: which shows panel error
        Exp 2.6: ESD recovery just reset panel, not reset AP            Result : wait SW version   8/30
Why Display Driver in suspend mode?
     3.1 Display Driver have decode issue with MIPI @220mV  .  MIPI Compliance Spec:140mV-270mV.
        Exp:3.4 Fly wire on MIPI Dn/Dp，Result:Not reproducable.
        Exp:3.5 Set MIPI HS Voltage to 0X88. 220mV -&gt; 180mV . Result:Not reproduce in Brazil .  
        Exp 3.1: Check working status of display driver. Result:drop  
        Exp 3.2:Capture WaveForm in when Display Reset Triggered. Result:No reproduced for both unit
        Exp 3.3:ABA Test. Result:Send Reproducible Unit to XiaMen ,can't reproduce once.
     3.2 Proposal:Bus control Conflict lead to Display Suspend?- Drop duo to not relative.
        Exp:Extend TA get time for 5 clk to 10 clk and verify . Result: Drop duo to not relative.
     3.3 Maximum WIFI Power and check. Result: Not reproduced on fly wired  unit.
     3.4 BTB Connector Check ,Result: No connector issue observed.
     3.5 Display Driver Instruction Explanation error? 
        Exp 3.5.1: Display Driver Instruction Explanation change to LP Mode instead of CMD Mode ,Result:reproduced
        Exp 3.5.2: Display Driver Instruction Explanation change to HS Mode instead of CMD Mode ,Result:user reject test
     3.6 MIPI  compliance can’t meet mipi spec?
             Exp 3.6.1   MIPI Compliance Test. Result:Pass. 
             Exp 3.6.2  Nova FAE test MIPI AC timing include BTA timing  on NG Unit,    result ： Pass
     3.7  Set driver ic MIPI error flag to check MIPI RX/TX state+ MIPI D0P/N  fly wires     Result:can’t reproduce
            Why can’t reproduce?
            Exp3.7.1  MIPI fly wires influence fall time or raise time or other timing？
            Exp3.7.2 SW change leads the result?  Release version to DF user on 8/26, DF user not yet test 8/30
    3.8  Does the MIPI Resistance meet 90±10%
           Exp 3.8.1  Test NG unit  MB &amp; MIPI Res 
Solution: 1.low down MIPI driver strength ,0X66.</t>
  </si>
  <si>
    <t>C.Miami</t>
  </si>
  <si>
    <t>Issue: 6k contact discharge ,flash light unexpected off,recoverd after  triggering on/off button again
Root Cause:1.FA
Solution:1.Accept</t>
  </si>
  <si>
    <t>Issue: sound become lower on headset mode
clue: 1. FAS4480 (audio switch ) change to wrong path switch which connect mic to gnd, gnd to mic.
Root cause: 1. PD report typec_accessory_mode 4 when headset is working and that make FSA4480 to switch wrong path.</t>
  </si>
  <si>
    <t>LInk</t>
  </si>
  <si>
    <t xml:space="preserve">Issue: Miami Ramp 2 units CQA test wireless charge no function   （2pcs  in 15000pcs）
Clue：1. Facotry ABA analysis check the fail follow U2750（MEP：CPS4019， wireless charge IC  ， SC98D48834 ，Vendor： CPS）
        2. when test CPS4019 GP2 (  RXN ) with multimeter ，the issue gone
Root Cause:   suspect when Vbus no power supply， CPS4019 GP2 (  RXN ) detect high and disable  CPS4019  output power
（normally Vbus no power supply CPS4019   GP2 (  RXN ) should detect low and output power . when Vbus with power supply ，CPS4019   GP2 (  RXN ) should detect high and disable  output power）                        
Solution: 1.   CQA  more unit and monitor .
                2.  Change   FW：change CPS4019  GP2  (  RXN )to pull down 100K when detection and change to ADC mode but not GPIO mode .set high threshold with 0.75 V （with 100ms high debounce）， Low threshold with 0.5V .    New SW import form 8/26 
        </t>
  </si>
  <si>
    <t>CR</t>
  </si>
  <si>
    <t xml:space="preserve">[s3]Issue: NIAR220212 CQA test : wireless charge  disconnect and connect repeatedly
Clue：1. Facotry ABA analysis check the fail follow U2750 （CPS4019 wireless charge IC）
         2.after one day this unit report CQA unstable  ， wireless out coil ,it fail sometimes .
       3.after one more day change a U2750 again ,it show ok now.     will change back the 2#fail IC
       4 .Jot test pass ,can not cover this fail.
Root Cause: action  1. fail IC 1# analysis , Factory will send IC to Vendor at 6/22  SF1148791576550
  IC check pass fixture test by CPS.   send a phone to recheck IC on our phone.@ 6/28 ,SF1144696625060
                  action 2. fail unit reproduce in Xiamen ,get tx log and check tx CE timeout  ,send this fail unit to Shanghai  CPS for further analysis .    when CPS4019 Vout output V， RXN_WLC  pull to 1.8V(45ms MAX) and close CPS4019 Vout. 
Solution: 1.  action   PVT  CQA all units and monitor .
            2.  Change FW to 0xb : close Vout when RXN high over 100ms . Temp FW recheck  pass with fail unit.             </t>
  </si>
  <si>
    <t xml:space="preserve">[s3]Issue: DVT1  some Board  IF fail
Clue：SW log 手机会在开机阶段，GPIO01会拉低，检测到上键被按到，如果设置了factory mode,会进入fastboot mode的问题
Root Cause:  
Solution: 1. temp：SW config GPIO01 of PMR735A （V+） 在判断key之前，先把gpio01设置为pull up
              </t>
  </si>
  <si>
    <t>[s3]Issue:WH152361  ,EDU 14 ,D 3 200V  fail on Vbat test point
Root Cause:  2nd source main charge IC SC89890H .(refor to Rodhe 4G project analysis)
Solution: 1. SC89890H IC improve ,sample will ready 6/10 ,DVT2 . will verify in DVT2
                   2.backup 2 * 0603 10UF 2V capacity on Vbat that can improve it , DNI . Import in DVT2 gerber out.-done</t>
  </si>
  <si>
    <t xml:space="preserve">[s3]Issue:WH150848 EVT EDU03 Test, D4 Cap-sensor CH3 no function(15KV)
Root Cause: ANT C303 short circuit by ESD
Solution:
1.ANT 3 add TVS
</t>
  </si>
  <si>
    <t>[s3]Issue:TDD Noise Found in EVT
Root Cause:1.Reciever Affected by Magnetic Field of GSM-PA Ground Path to two spacing Battery Connectors.
2.1 Two spacing Battery connector duo to charging thermal request
Solution:
1.accept the result on 33dBm.
2.backup audio switch design for optimization validation</t>
  </si>
  <si>
    <t xml:space="preserve"> [s3] Issue: factory BT fail in 2nd charge IC SC89890H build
Clue：1.Factory use SDP port for BT test
2.SDP that need rerun BC1.2 by charge IC(ignore the 1st BC1.2 result） .
3.can not get rerun INT (from Log ).
4.waveform test checked there is not rerun BC1.2 waveform most time.  link
5.waveform test checked there is 1 int after 1st BC1.2 INT sometimes and it can connect to SDP.  link
Rootcause：suspect SC89890H rerun BC1.2 function need some delay after first BC1.2 INT 
 solution：Delay 100mS after first BC1.2 INT  when rerun BC1.2 （Temp SW test pass）</t>
  </si>
  <si>
    <t>[s3] Issue: power off current =8mA .vs 0.2xA target
rootcause：Audio switch current  leakage
solution：change Audio switch power from VPH_PWR to LDO （not on when power off ）</t>
  </si>
  <si>
    <t xml:space="preserve">[s3] Issue: Bringup ，SIM  detection can not work 
Clue：
Miami Sub Board is designed based on dubai+ NA Sub。
INT does not need external pull-up resistance on MTK platform, QC platform requires external pull-up resistance.
Root Cause:  SIM INThas no pull-up resistance 
Solution:   1.EVB rework sub PCBA  is OK. 2. Change MB PCB for EVT. done 3.
 </t>
  </si>
  <si>
    <t xml:space="preserve">[s3] Issue: Bringup ，charging type  detection can not work 
Root Cause:  USB connection to charging IC incorrect 
Solution: 1. change PCB for EVT. done  2.EVB rework PCBA for charging related case bringup
 </t>
  </si>
  <si>
    <t xml:space="preserve">[s3] Issue: Bringup ，Wireless charge can not work on power off mode
Root Cause:   AP GPIO49 pull down FlangN when power off ，cause RXN high to stop wireless charge
Solution: 1.  add a Nmos on GPIO49 
 </t>
  </si>
  <si>
    <t>No Highlight Issue</t>
  </si>
  <si>
    <t>用于“Status”的 COUNTA</t>
  </si>
  <si>
    <t>Issue Count@Overall</t>
  </si>
  <si>
    <t>用于“Issue”的 COUNTA</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</si>
</sst>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yyyy-M-d"/>
    <numFmt numFmtId="165" formatCode="yyyy-m-d"/>
    <numFmt numFmtId="166" formatCode="yyyy/m/d"/>
    <numFmt numFmtId="167" formatCode="m-d"/>
    <numFmt numFmtId="168" formatCode="yyyy-mm-dd"/>
  </numFmts>
  <fonts count="106">
    <font>
      <sz val="11.0"/>
      <color rgb="FF000000"/>
      <name val="SimSun"/>
    </font>
    <font>
      <b/>
      <sz val="11.0"/>
      <color rgb="FF000000"/>
      <name val="Georgia"/>
    </font>
    <font>
      <sz val="11.0"/>
      <color rgb="FF000000"/>
      <name val="Georgia"/>
    </font>
    <font>
      <sz val="12.0"/>
      <color rgb="FF000000"/>
      <name val="Georgia"/>
    </font>
    <font>
      <b/>
      <u/>
      <sz val="11.0"/>
      <color rgb="FF000000"/>
      <name val="Georgia"/>
    </font>
    <font>
      <sz val="11.0"/>
      <name val="Georgia"/>
    </font>
    <font/>
    <font>
      <u/>
      <sz val="11.0"/>
      <color rgb="FF0000FF"/>
      <name val="SimSun"/>
    </font>
    <font>
      <sz val="11.0"/>
      <name val="SimSun"/>
    </font>
    <font>
      <u/>
      <color rgb="FF0000FF"/>
      <name val="Roboto Condensed"/>
    </font>
    <font>
      <u/>
      <sz val="9.0"/>
      <color rgb="FF0000FF"/>
      <name val="Georgia"/>
    </font>
    <font>
      <sz val="9.0"/>
      <name val="Georgia"/>
    </font>
    <font>
      <sz val="11.0"/>
      <color rgb="FF172B4D"/>
      <name val="-apple-system"/>
    </font>
    <font>
      <u/>
      <sz val="11.0"/>
      <color rgb="FF0000FF"/>
      <name val="Georgia"/>
    </font>
    <font>
      <u/>
      <sz val="11.0"/>
      <color rgb="FF1155CC"/>
      <name val="SimSun"/>
    </font>
    <font>
      <u/>
      <color rgb="FF0000FF"/>
    </font>
    <font>
      <sz val="11.0"/>
      <name val="Arial"/>
    </font>
    <font>
      <u/>
      <sz val="11.0"/>
      <color rgb="FF1155CC"/>
      <name val="Arial"/>
    </font>
    <font>
      <u/>
      <color rgb="FF0000FF"/>
      <name val="Roboto Condensed"/>
    </font>
    <font>
      <u/>
      <sz val="11.0"/>
      <color rgb="FF0000FF"/>
      <name val="Arial"/>
    </font>
    <font>
      <u/>
      <sz val="11.0"/>
      <color rgb="FF172B4D"/>
      <name val="-apple-system"/>
    </font>
    <font>
      <u/>
      <sz val="11.0"/>
      <color rgb="FF0000FF"/>
      <name val="Arial"/>
    </font>
    <font>
      <b/>
      <sz val="10.0"/>
      <color rgb="FF000000"/>
      <name val="Arial"/>
    </font>
    <font>
      <sz val="10.0"/>
      <name val="Arial"/>
    </font>
    <font>
      <sz val="11.0"/>
      <color rgb="FF000000"/>
      <name val="Arial"/>
    </font>
    <font>
      <i/>
      <strike/>
      <u/>
      <sz val="11.0"/>
      <name val="Arial"/>
    </font>
    <font>
      <i/>
      <u/>
      <sz val="11.0"/>
      <color rgb="FF0000FF"/>
      <name val="Arial"/>
    </font>
    <font>
      <u/>
      <sz val="11.0"/>
      <color rgb="FF0000FF"/>
      <name val="Arial"/>
    </font>
    <font>
      <u/>
      <sz val="11.0"/>
      <color rgb="FF1155CC"/>
      <name val="Arial"/>
    </font>
    <font>
      <u/>
      <sz val="11.0"/>
      <color rgb="FF0000FF"/>
      <name val="Arial"/>
    </font>
    <font>
      <color rgb="FF000000"/>
      <name val="Arial"/>
    </font>
    <font>
      <name val="Arial"/>
    </font>
    <font>
      <u/>
      <color rgb="FF0000FF"/>
      <name val="Arial"/>
    </font>
    <font>
      <sz val="9.0"/>
      <name val="&quot;微软雅黑&quot;"/>
    </font>
    <font>
      <u/>
      <color rgb="FF0000FF"/>
      <name val="Arial"/>
    </font>
    <font>
      <u/>
      <sz val="9.0"/>
      <color rgb="FF0000FF"/>
      <name val="&quot;微软雅黑&quot;"/>
    </font>
    <font>
      <u/>
      <color rgb="FF1155CC"/>
      <name val="Arial"/>
    </font>
    <font>
      <u/>
      <sz val="11.0"/>
      <color rgb="FF172B4D"/>
      <name val="-apple-system"/>
    </font>
    <font>
      <u/>
      <sz val="11.0"/>
      <color rgb="FF172B4D"/>
      <name val="-apple-system"/>
    </font>
    <font>
      <u/>
      <color rgb="FF1155CC"/>
      <name val="Arial"/>
    </font>
    <font>
      <u/>
      <color rgb="FF1155CC"/>
      <name val="Arial"/>
    </font>
    <font>
      <u/>
      <color rgb="FF0000FF"/>
      <name val="Arial"/>
    </font>
    <font>
      <sz val="10.0"/>
      <color rgb="FF000000"/>
      <name val="Arial"/>
    </font>
    <font>
      <u/>
      <sz val="10.0"/>
      <color rgb="FF0000FF"/>
      <name val="Arial"/>
    </font>
    <font>
      <u/>
      <sz val="10.0"/>
      <color rgb="FF0000FF"/>
      <name val="Arial"/>
    </font>
    <font>
      <u/>
      <sz val="10.0"/>
      <color rgb="FF0000FF"/>
      <name val="Arial"/>
    </font>
    <font>
      <u/>
      <sz val="10.0"/>
      <color rgb="FF1155CC"/>
      <name val="Arial"/>
    </font>
    <font>
      <u/>
      <sz val="10.0"/>
      <color rgb="FF0000FF"/>
      <name val="Arial"/>
    </font>
    <font>
      <sz val="12.0"/>
      <color rgb="FF000000"/>
      <name val="&quot;PingFang SC&quot;"/>
    </font>
    <font>
      <u/>
      <sz val="11.0"/>
      <color rgb="FF0000FF"/>
      <name val="SimSun"/>
    </font>
    <font>
      <u/>
      <sz val="11.0"/>
      <color rgb="FF1155CC"/>
      <name val="SimSun"/>
    </font>
    <font>
      <u/>
      <sz val="11.0"/>
      <color rgb="FF172B4D"/>
      <name val="-apple-system"/>
    </font>
    <font>
      <u/>
      <sz val="11.0"/>
      <color rgb="FF0000FF"/>
      <name val="SimSun"/>
    </font>
    <font>
      <u/>
      <sz val="11.0"/>
      <color rgb="FF1155CC"/>
      <name val="SimSun"/>
    </font>
    <font>
      <sz val="11.0"/>
      <color rgb="FF0052CC"/>
      <name val="-apple-system"/>
    </font>
    <font>
      <sz val="18.0"/>
      <color rgb="FF172B4D"/>
      <name val="-apple-system"/>
    </font>
    <font>
      <u/>
      <color rgb="FF0000FF"/>
    </font>
    <font>
      <u/>
      <sz val="11.0"/>
      <color rgb="FF0000FF"/>
      <name val="Arial"/>
    </font>
    <font>
      <u/>
      <sz val="10.0"/>
      <color rgb="FF0000FF"/>
      <name val="Roboto Condensed"/>
    </font>
    <font>
      <sz val="10.0"/>
      <color rgb="FF0000FF"/>
      <name val="Roboto Condensed"/>
    </font>
    <font>
      <sz val="9.0"/>
      <color rgb="FF000000"/>
      <name val="Arial"/>
    </font>
    <font>
      <u/>
      <sz val="11.0"/>
      <color rgb="FF0052CC"/>
      <name val="-apple-system"/>
    </font>
    <font>
      <u/>
      <sz val="18.0"/>
      <color rgb="FF0000FF"/>
      <name val="SimSun"/>
    </font>
    <font>
      <u/>
      <sz val="11.0"/>
      <color rgb="FF0052CC"/>
      <name val="-apple-system"/>
    </font>
    <font>
      <u/>
      <sz val="11.0"/>
      <color rgb="FF1155CC"/>
      <name val="SimSun"/>
    </font>
    <font>
      <u/>
      <color rgb="FF1155CC"/>
    </font>
    <font>
      <u/>
      <sz val="11.0"/>
      <color rgb="FF0563C1"/>
      <name val="-apple-system"/>
    </font>
    <font>
      <u/>
      <sz val="11.0"/>
      <color rgb="FF1155CC"/>
      <name val="SimSun"/>
    </font>
    <font>
      <u/>
      <sz val="11.0"/>
      <color rgb="FF1155CC"/>
      <name val="SimSun"/>
    </font>
    <font>
      <name val="Georgia"/>
    </font>
    <font>
      <sz val="10.0"/>
      <color rgb="FF000000"/>
      <name val="Georgia"/>
    </font>
    <font>
      <u/>
      <sz val="10.0"/>
      <color rgb="FF000000"/>
      <name val="Georgia"/>
    </font>
    <font>
      <u/>
      <sz val="11.0"/>
      <color rgb="FF000000"/>
      <name val="Georgia"/>
    </font>
    <font>
      <u/>
      <sz val="11.0"/>
      <color rgb="FF0052CC"/>
      <name val="-apple-system"/>
    </font>
    <font>
      <u/>
      <sz val="11.0"/>
      <color rgb="FF1155CC"/>
      <name val="Georgia"/>
    </font>
    <font>
      <color rgb="FF000000"/>
      <name val="Georgia"/>
    </font>
    <font>
      <u/>
      <color rgb="FF1155CC"/>
      <name val="Georgia"/>
    </font>
    <font>
      <color rgb="FF0000FF"/>
      <name val="Georgia"/>
    </font>
    <font>
      <b/>
      <u/>
      <sz val="11.0"/>
      <color rgb="FF000000"/>
      <name val="Georgia"/>
    </font>
    <font>
      <u/>
      <sz val="9.0"/>
      <color rgb="FF434343"/>
      <name val="Arial"/>
    </font>
    <font>
      <u/>
      <sz val="9.0"/>
      <color rgb="FF434343"/>
      <name val="Arial"/>
    </font>
    <font>
      <b/>
      <u/>
      <sz val="11.0"/>
      <color rgb="FF000000"/>
      <name val="Georgia"/>
    </font>
    <font>
      <u/>
      <sz val="11.0"/>
      <color rgb="FF1155CC"/>
      <name val="SimSun"/>
    </font>
    <font>
      <b/>
      <u/>
      <sz val="11.0"/>
      <color rgb="FF000000"/>
      <name val="Georgia"/>
    </font>
    <font>
      <u/>
      <color rgb="FF0000FF"/>
    </font>
    <font>
      <u/>
      <sz val="11.0"/>
      <color rgb="FF000000"/>
      <name val="Georgia"/>
    </font>
    <font>
      <u/>
      <color rgb="FF0000FF"/>
    </font>
    <font>
      <u/>
      <color rgb="FF1155CC"/>
    </font>
    <font>
      <color rgb="FF000000"/>
    </font>
    <font>
      <u/>
      <sz val="11.0"/>
      <color rgb="FF000000"/>
      <name val="Georgia"/>
    </font>
    <font>
      <u/>
      <sz val="11.0"/>
      <color rgb="FF1155CC"/>
      <name val="SimSun"/>
    </font>
    <font>
      <u/>
      <sz val="11.0"/>
      <color rgb="FF1155CC"/>
      <name val="SimSun"/>
    </font>
    <font>
      <u/>
      <sz val="11.0"/>
      <color rgb="FF0000FF"/>
      <name val="SimSun"/>
    </font>
    <font>
      <u/>
      <sz val="11.0"/>
      <color rgb="FF0000FF"/>
      <name val="SimSun"/>
    </font>
    <font>
      <u/>
      <sz val="12.0"/>
      <color rgb="FF000000"/>
      <name val="Georgia"/>
    </font>
    <font>
      <u/>
      <sz val="11.0"/>
      <color rgb="FF3B73AF"/>
      <name val="Arial"/>
    </font>
    <font>
      <u/>
      <sz val="11.0"/>
      <color rgb="FF000000"/>
      <name val="Georgia"/>
    </font>
    <font>
      <b/>
      <u/>
      <sz val="11.0"/>
      <color rgb="FF000000"/>
      <name val="Georgia"/>
    </font>
    <font>
      <b/>
      <u/>
      <sz val="11.0"/>
      <color rgb="FF000000"/>
      <name val="Georgia"/>
    </font>
    <font>
      <b/>
      <u/>
      <color rgb="FF0000FF"/>
    </font>
    <font>
      <u/>
      <sz val="11.0"/>
      <color rgb="FF000000"/>
      <name val="Georgia"/>
    </font>
    <font>
      <u/>
      <sz val="12.0"/>
      <color rgb="FF000000"/>
      <name val="Georgia"/>
    </font>
    <font>
      <u/>
      <color rgb="FF0000FF"/>
    </font>
    <font>
      <b/>
      <name val="Georgia"/>
    </font>
    <font>
      <b/>
      <color rgb="FF000000"/>
      <name val="Georgia"/>
    </font>
    <font>
      <color rgb="FFFF0000"/>
      <name val="Georgia"/>
    </font>
  </fonts>
  <fills count="16">
    <fill>
      <patternFill patternType="none"/>
    </fill>
    <fill>
      <patternFill patternType="lightGray"/>
    </fill>
    <fill>
      <patternFill patternType="solid">
        <fgColor rgb="FF93C47D"/>
        <bgColor rgb="FF93C47D"/>
      </patternFill>
    </fill>
    <fill>
      <patternFill patternType="solid">
        <fgColor rgb="FFFFFFFF"/>
        <bgColor rgb="FFFFFFFF"/>
      </patternFill>
    </fill>
    <fill>
      <patternFill patternType="solid">
        <fgColor rgb="FFB6D7A8"/>
        <bgColor rgb="FFB6D7A8"/>
      </patternFill>
    </fill>
    <fill>
      <patternFill patternType="solid">
        <fgColor rgb="FFCCCCCC"/>
        <bgColor rgb="FFCCCCCC"/>
      </patternFill>
    </fill>
    <fill>
      <patternFill patternType="solid">
        <fgColor rgb="FFFFE599"/>
        <bgColor rgb="FFFFE599"/>
      </patternFill>
    </fill>
    <fill>
      <patternFill patternType="solid">
        <fgColor rgb="FFFF0000"/>
        <bgColor rgb="FFFF0000"/>
      </patternFill>
    </fill>
    <fill>
      <patternFill patternType="solid">
        <fgColor rgb="FFFCFCFC"/>
        <bgColor rgb="FFFCFCFC"/>
      </patternFill>
    </fill>
    <fill>
      <patternFill patternType="solid">
        <fgColor rgb="FFB7B7B7"/>
        <bgColor rgb="FFB7B7B7"/>
      </patternFill>
    </fill>
    <fill>
      <patternFill patternType="solid">
        <fgColor rgb="FFF5F5F5"/>
        <bgColor rgb="FFF5F5F5"/>
      </patternFill>
    </fill>
    <fill>
      <patternFill patternType="solid">
        <fgColor rgb="FF00FF00"/>
        <bgColor rgb="FF00FF00"/>
      </patternFill>
    </fill>
    <fill>
      <patternFill patternType="solid">
        <fgColor rgb="FFFF9900"/>
        <bgColor rgb="FFFF9900"/>
      </patternFill>
    </fill>
    <fill>
      <patternFill patternType="solid">
        <fgColor rgb="FF999999"/>
        <bgColor rgb="FF999999"/>
      </patternFill>
    </fill>
    <fill>
      <patternFill patternType="solid">
        <fgColor rgb="FFFFFF00"/>
        <bgColor rgb="FFFFFF00"/>
      </patternFill>
    </fill>
    <fill>
      <patternFill patternType="solid">
        <fgColor rgb="FF6AA84F"/>
        <bgColor rgb="FF6AA84F"/>
      </patternFill>
    </fill>
  </fills>
  <borders count="7">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top style="thin">
        <color rgb="FF000000"/>
      </top>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346">
    <xf borderId="0" fillId="0" fontId="0" numFmtId="0" xfId="0" applyAlignment="1" applyFont="1">
      <alignment readingOrder="0" shrinkToFit="0" vertical="center" wrapText="0"/>
    </xf>
    <xf borderId="1" fillId="2" fontId="1" numFmtId="0" xfId="0" applyAlignment="1" applyBorder="1" applyFill="1" applyFont="1">
      <alignment horizontal="center" readingOrder="0" shrinkToFit="0" vertical="center" wrapText="1"/>
    </xf>
    <xf borderId="1" fillId="2" fontId="1" numFmtId="0" xfId="0" applyAlignment="1" applyBorder="1" applyFont="1">
      <alignment horizontal="center" shrinkToFit="0" vertical="center" wrapText="1"/>
    </xf>
    <xf borderId="1" fillId="2" fontId="1" numFmtId="0" xfId="0" applyAlignment="1" applyBorder="1" applyFont="1">
      <alignment horizontal="left" shrinkToFit="0" vertical="center" wrapText="1"/>
    </xf>
    <xf borderId="1" fillId="2" fontId="1" numFmtId="0" xfId="0" applyAlignment="1" applyBorder="1" applyFont="1">
      <alignment horizontal="left" readingOrder="0" shrinkToFit="0" vertical="center" wrapText="1"/>
    </xf>
    <xf borderId="0" fillId="0" fontId="2" numFmtId="0" xfId="0" applyAlignment="1" applyFont="1">
      <alignment shrinkToFit="0" vertical="center" wrapText="1"/>
    </xf>
    <xf borderId="1" fillId="0" fontId="2" numFmtId="164" xfId="0" applyAlignment="1" applyBorder="1" applyFont="1" applyNumberFormat="1">
      <alignment horizontal="left" readingOrder="0" shrinkToFit="0" vertical="center" wrapText="1"/>
    </xf>
    <xf borderId="1" fillId="0" fontId="2" numFmtId="0" xfId="0" applyAlignment="1" applyBorder="1" applyFont="1">
      <alignment horizontal="left" readingOrder="0" shrinkToFit="0" vertical="center" wrapText="1"/>
    </xf>
    <xf borderId="2" fillId="3" fontId="2" numFmtId="0" xfId="0" applyAlignment="1" applyBorder="1" applyFill="1" applyFont="1">
      <alignment readingOrder="0" shrinkToFit="0" vertical="center" wrapText="1"/>
    </xf>
    <xf borderId="1" fillId="0" fontId="3" numFmtId="0" xfId="0" applyAlignment="1" applyBorder="1" applyFont="1">
      <alignment horizontal="left" readingOrder="0" shrinkToFit="0" vertical="center" wrapText="1"/>
    </xf>
    <xf borderId="1" fillId="0" fontId="4" numFmtId="0" xfId="0" applyAlignment="1" applyBorder="1" applyFont="1">
      <alignment horizontal="left" readingOrder="0" shrinkToFit="0" vertical="center" wrapText="1"/>
    </xf>
    <xf borderId="1" fillId="0" fontId="5" numFmtId="0" xfId="0" applyAlignment="1" applyBorder="1" applyFont="1">
      <alignment shrinkToFit="0" vertical="center" wrapText="1"/>
    </xf>
    <xf borderId="0" fillId="0" fontId="5" numFmtId="0" xfId="0" applyAlignment="1" applyFont="1">
      <alignment shrinkToFit="0" vertical="center" wrapText="1"/>
    </xf>
    <xf borderId="1" fillId="0" fontId="1" numFmtId="0" xfId="0" applyAlignment="1" applyBorder="1" applyFont="1">
      <alignment horizontal="left" readingOrder="0" shrinkToFit="0" vertical="center" wrapText="1"/>
    </xf>
    <xf borderId="0" fillId="0" fontId="5" numFmtId="0" xfId="0" applyAlignment="1" applyFont="1">
      <alignment readingOrder="0" shrinkToFit="0" vertical="center" wrapText="1"/>
    </xf>
    <xf borderId="1" fillId="0" fontId="2" numFmtId="165" xfId="0" applyAlignment="1" applyBorder="1" applyFont="1" applyNumberFormat="1">
      <alignment horizontal="left" readingOrder="0" shrinkToFit="0" vertical="center" wrapText="1"/>
    </xf>
    <xf borderId="0" fillId="0" fontId="2" numFmtId="0" xfId="0" applyAlignment="1" applyFont="1">
      <alignment horizontal="center" shrinkToFit="0" vertical="center" wrapText="1"/>
    </xf>
    <xf borderId="0" fillId="0" fontId="2" numFmtId="0" xfId="0" applyAlignment="1" applyFont="1">
      <alignment shrinkToFit="0" vertical="center" wrapText="1"/>
    </xf>
    <xf borderId="1" fillId="3" fontId="2" numFmtId="0" xfId="0" applyAlignment="1" applyBorder="1" applyFont="1">
      <alignment horizontal="left" readingOrder="0" vertical="center"/>
    </xf>
    <xf borderId="0" fillId="0" fontId="6" numFmtId="0" xfId="0" applyAlignment="1" applyFont="1">
      <alignment readingOrder="0" vertical="center"/>
    </xf>
    <xf borderId="1" fillId="3" fontId="2" numFmtId="166" xfId="0" applyAlignment="1" applyBorder="1" applyFont="1" applyNumberFormat="1">
      <alignment horizontal="right" readingOrder="0" vertical="center"/>
    </xf>
    <xf borderId="1" fillId="0" fontId="2" numFmtId="0" xfId="0" applyAlignment="1" applyBorder="1" applyFont="1">
      <alignment readingOrder="0" shrinkToFit="0" vertical="center" wrapText="1"/>
    </xf>
    <xf borderId="1" fillId="3" fontId="2" numFmtId="0" xfId="0" applyAlignment="1" applyBorder="1" applyFont="1">
      <alignment readingOrder="0" shrinkToFit="0" vertical="center" wrapText="1"/>
    </xf>
    <xf borderId="1" fillId="0" fontId="3" numFmtId="0" xfId="0" applyAlignment="1" applyBorder="1" applyFont="1">
      <alignment readingOrder="0" shrinkToFit="0" vertical="center" wrapText="1"/>
    </xf>
    <xf borderId="1" fillId="4" fontId="2" numFmtId="0" xfId="0" applyAlignment="1" applyBorder="1" applyFill="1" applyFont="1">
      <alignment readingOrder="0" shrinkToFit="0" vertical="center" wrapText="1"/>
    </xf>
    <xf borderId="1" fillId="3" fontId="5" numFmtId="0" xfId="0" applyAlignment="1" applyBorder="1" applyFont="1">
      <alignment readingOrder="0" shrinkToFit="0" vertical="center" wrapText="1"/>
    </xf>
    <xf borderId="1" fillId="0" fontId="7" numFmtId="0" xfId="0" applyAlignment="1" applyBorder="1" applyFont="1">
      <alignment readingOrder="0" vertical="center"/>
    </xf>
    <xf borderId="1" fillId="0" fontId="8" numFmtId="0" xfId="0" applyAlignment="1" applyBorder="1" applyFont="1">
      <alignment readingOrder="0" vertical="center"/>
    </xf>
    <xf borderId="0" fillId="0" fontId="8" numFmtId="0" xfId="0" applyAlignment="1" applyFont="1">
      <alignment vertical="center"/>
    </xf>
    <xf borderId="0" fillId="0" fontId="8" numFmtId="0" xfId="0" applyAlignment="1" applyFont="1">
      <alignment vertical="center"/>
    </xf>
    <xf borderId="1" fillId="0" fontId="8" numFmtId="0" xfId="0" applyAlignment="1" applyBorder="1" applyFont="1">
      <alignment vertical="center"/>
    </xf>
    <xf borderId="1" fillId="3" fontId="2" numFmtId="166" xfId="0" applyAlignment="1" applyBorder="1" applyFont="1" applyNumberFormat="1">
      <alignment horizontal="right" vertical="center"/>
    </xf>
    <xf borderId="1" fillId="0" fontId="2" numFmtId="0" xfId="0" applyAlignment="1" applyBorder="1" applyFont="1">
      <alignment shrinkToFit="0" vertical="center" wrapText="1"/>
    </xf>
    <xf borderId="1" fillId="0" fontId="3" numFmtId="0" xfId="0" applyAlignment="1" applyBorder="1" applyFont="1">
      <alignment shrinkToFit="0" vertical="center" wrapText="1"/>
    </xf>
    <xf borderId="1" fillId="0" fontId="8" numFmtId="0" xfId="0" applyAlignment="1" applyBorder="1" applyFont="1">
      <alignment readingOrder="0" vertical="center"/>
    </xf>
    <xf borderId="0" fillId="0" fontId="6" numFmtId="0" xfId="0" applyAlignment="1" applyFont="1">
      <alignment readingOrder="0" vertical="center"/>
    </xf>
    <xf borderId="0" fillId="0" fontId="9" numFmtId="0" xfId="0" applyAlignment="1" applyFont="1">
      <alignment horizontal="center" vertical="center"/>
    </xf>
    <xf borderId="0" fillId="0" fontId="8" numFmtId="0" xfId="0" applyAlignment="1" applyFont="1">
      <alignment readingOrder="0" vertical="center"/>
    </xf>
    <xf borderId="1" fillId="3" fontId="5" numFmtId="0" xfId="0" applyAlignment="1" applyBorder="1" applyFont="1">
      <alignment readingOrder="0" shrinkToFit="0" vertical="top" wrapText="1"/>
    </xf>
    <xf borderId="1" fillId="3" fontId="10" numFmtId="0" xfId="0" applyAlignment="1" applyBorder="1" applyFont="1">
      <alignment readingOrder="0" shrinkToFit="0" vertical="top" wrapText="1"/>
    </xf>
    <xf borderId="1" fillId="3" fontId="11" numFmtId="0" xfId="0" applyAlignment="1" applyBorder="1" applyFont="1">
      <alignment readingOrder="0" shrinkToFit="0" vertical="top" wrapText="1"/>
    </xf>
    <xf borderId="1" fillId="3" fontId="2" numFmtId="167" xfId="0" applyAlignment="1" applyBorder="1" applyFont="1" applyNumberFormat="1">
      <alignment horizontal="right" readingOrder="0" vertical="center"/>
    </xf>
    <xf borderId="1" fillId="3" fontId="2" numFmtId="0" xfId="0" applyAlignment="1" applyBorder="1" applyFont="1">
      <alignment horizontal="right" readingOrder="0" vertical="center"/>
    </xf>
    <xf borderId="1" fillId="3" fontId="2" numFmtId="0" xfId="0" applyAlignment="1" applyBorder="1" applyFont="1">
      <alignment shrinkToFit="0" vertical="center" wrapText="1"/>
    </xf>
    <xf borderId="1" fillId="5" fontId="2" numFmtId="0" xfId="0" applyAlignment="1" applyBorder="1" applyFill="1" applyFont="1">
      <alignment readingOrder="0" shrinkToFit="0" vertical="center" wrapText="1"/>
    </xf>
    <xf borderId="1" fillId="0" fontId="6" numFmtId="0" xfId="0" applyAlignment="1" applyBorder="1" applyFont="1">
      <alignment readingOrder="0" vertical="center"/>
    </xf>
    <xf borderId="0" fillId="3" fontId="12" numFmtId="0" xfId="0" applyAlignment="1" applyFont="1">
      <alignment horizontal="left" readingOrder="0" vertical="center"/>
    </xf>
    <xf borderId="0" fillId="0" fontId="6" numFmtId="0" xfId="0" applyAlignment="1" applyFont="1">
      <alignment readingOrder="0" vertical="center"/>
    </xf>
    <xf borderId="1" fillId="3" fontId="13" numFmtId="0" xfId="0" applyAlignment="1" applyBorder="1" applyFont="1">
      <alignment readingOrder="0" shrinkToFit="0" vertical="center" wrapText="1"/>
    </xf>
    <xf borderId="1" fillId="6" fontId="2" numFmtId="0" xfId="0" applyAlignment="1" applyBorder="1" applyFill="1" applyFont="1">
      <alignment readingOrder="0" shrinkToFit="0" vertical="center" wrapText="1"/>
    </xf>
    <xf borderId="0" fillId="0" fontId="14" numFmtId="0" xfId="0" applyAlignment="1" applyFont="1">
      <alignment vertical="center"/>
    </xf>
    <xf borderId="0" fillId="0" fontId="15" numFmtId="0" xfId="0" applyAlignment="1" applyFont="1">
      <alignment readingOrder="0" vertical="center"/>
    </xf>
    <xf borderId="1" fillId="3" fontId="16" numFmtId="0" xfId="0" applyAlignment="1" applyBorder="1" applyFont="1">
      <alignment readingOrder="0" vertical="center"/>
    </xf>
    <xf borderId="1" fillId="3" fontId="17" numFmtId="0" xfId="0" applyAlignment="1" applyBorder="1" applyFont="1">
      <alignment vertical="center"/>
    </xf>
    <xf borderId="1" fillId="0" fontId="6" numFmtId="0" xfId="0" applyAlignment="1" applyBorder="1" applyFont="1">
      <alignment readingOrder="0" shrinkToFit="0" vertical="center" wrapText="1"/>
    </xf>
    <xf borderId="1" fillId="0" fontId="6" numFmtId="0" xfId="0" applyAlignment="1" applyBorder="1" applyFont="1">
      <alignment vertical="center"/>
    </xf>
    <xf borderId="1" fillId="0" fontId="2" numFmtId="0" xfId="0" applyAlignment="1" applyBorder="1" applyFont="1">
      <alignment readingOrder="0" vertical="center"/>
    </xf>
    <xf borderId="1" fillId="0" fontId="18" numFmtId="0" xfId="0" applyAlignment="1" applyBorder="1" applyFont="1">
      <alignment horizontal="center" vertical="center"/>
    </xf>
    <xf borderId="0" fillId="3" fontId="19" numFmtId="0" xfId="0" applyAlignment="1" applyFont="1">
      <alignment horizontal="left" readingOrder="0" vertical="center"/>
    </xf>
    <xf borderId="0" fillId="3" fontId="20" numFmtId="0" xfId="0" applyAlignment="1" applyFont="1">
      <alignment horizontal="left" readingOrder="0" vertical="center"/>
    </xf>
    <xf borderId="1" fillId="3" fontId="21" numFmtId="0" xfId="0" applyAlignment="1" applyBorder="1" applyFont="1">
      <alignment readingOrder="0" vertical="center"/>
    </xf>
    <xf borderId="1" fillId="2" fontId="22" numFmtId="0" xfId="0" applyAlignment="1" applyBorder="1" applyFont="1">
      <alignment horizontal="left" readingOrder="0" shrinkToFit="0" vertical="center" wrapText="1"/>
    </xf>
    <xf borderId="1" fillId="2" fontId="22" numFmtId="0" xfId="0" applyAlignment="1" applyBorder="1" applyFont="1">
      <alignment horizontal="left" shrinkToFit="0" vertical="center" wrapText="1"/>
    </xf>
    <xf borderId="0" fillId="0" fontId="23" numFmtId="0" xfId="0" applyAlignment="1" applyFont="1">
      <alignment readingOrder="0" vertical="center"/>
    </xf>
    <xf borderId="0" fillId="0" fontId="23" numFmtId="0" xfId="0" applyAlignment="1" applyFont="1">
      <alignment vertical="center"/>
    </xf>
    <xf borderId="1" fillId="3" fontId="24" numFmtId="166" xfId="0" applyAlignment="1" applyBorder="1" applyFont="1" applyNumberFormat="1">
      <alignment horizontal="right" readingOrder="0" vertical="center"/>
    </xf>
    <xf borderId="1" fillId="0" fontId="24" numFmtId="0" xfId="0" applyAlignment="1" applyBorder="1" applyFont="1">
      <alignment readingOrder="0" shrinkToFit="0" vertical="center" wrapText="1"/>
    </xf>
    <xf borderId="1" fillId="3" fontId="24" numFmtId="0" xfId="0" applyAlignment="1" applyBorder="1" applyFont="1">
      <alignment readingOrder="0" shrinkToFit="0" vertical="center" wrapText="1"/>
    </xf>
    <xf borderId="1" fillId="6" fontId="24" numFmtId="0" xfId="0" applyAlignment="1" applyBorder="1" applyFont="1">
      <alignment readingOrder="0" shrinkToFit="0" vertical="center" wrapText="1"/>
    </xf>
    <xf borderId="1" fillId="3" fontId="16" numFmtId="0" xfId="0" applyAlignment="1" applyBorder="1" applyFont="1">
      <alignment readingOrder="0" shrinkToFit="0" vertical="center" wrapText="1"/>
    </xf>
    <xf borderId="1" fillId="0" fontId="25" numFmtId="0" xfId="0" applyAlignment="1" applyBorder="1" applyFont="1">
      <alignment readingOrder="0" vertical="center"/>
    </xf>
    <xf borderId="1" fillId="0" fontId="16" numFmtId="0" xfId="0" applyAlignment="1" applyBorder="1" applyFont="1">
      <alignment readingOrder="0" vertical="center"/>
    </xf>
    <xf borderId="0" fillId="3" fontId="16" numFmtId="0" xfId="0" applyAlignment="1" applyFont="1">
      <alignment horizontal="left" readingOrder="0" vertical="center"/>
    </xf>
    <xf borderId="1" fillId="3" fontId="8" numFmtId="0" xfId="0" applyAlignment="1" applyBorder="1" applyFont="1">
      <alignment vertical="center"/>
    </xf>
    <xf borderId="1" fillId="0" fontId="26" numFmtId="0" xfId="0" applyAlignment="1" applyBorder="1" applyFont="1">
      <alignment readingOrder="0" vertical="center"/>
    </xf>
    <xf borderId="1" fillId="0" fontId="27" numFmtId="0" xfId="0" applyAlignment="1" applyBorder="1" applyFont="1">
      <alignment readingOrder="0" vertical="center"/>
    </xf>
    <xf borderId="1" fillId="0" fontId="28" numFmtId="0" xfId="0" applyAlignment="1" applyBorder="1" applyFont="1">
      <alignment vertical="center"/>
    </xf>
    <xf borderId="1" fillId="3" fontId="8" numFmtId="0" xfId="0" applyAlignment="1" applyBorder="1" applyFont="1">
      <alignment readingOrder="0" vertical="center"/>
    </xf>
    <xf borderId="1" fillId="0" fontId="24" numFmtId="0" xfId="0" applyAlignment="1" applyBorder="1" applyFont="1">
      <alignment shrinkToFit="0" vertical="center" wrapText="1"/>
    </xf>
    <xf borderId="1" fillId="6" fontId="24" numFmtId="0" xfId="0" applyAlignment="1" applyBorder="1" applyFont="1">
      <alignment shrinkToFit="0" vertical="center" wrapText="1"/>
    </xf>
    <xf borderId="1" fillId="3" fontId="29" numFmtId="0" xfId="0" applyAlignment="1" applyBorder="1" applyFont="1">
      <alignment readingOrder="0" shrinkToFit="0" vertical="center" wrapText="1"/>
    </xf>
    <xf borderId="1" fillId="3" fontId="30" numFmtId="166" xfId="0" applyAlignment="1" applyBorder="1" applyFont="1" applyNumberFormat="1">
      <alignment horizontal="right" readingOrder="0" vertical="center"/>
    </xf>
    <xf borderId="1" fillId="0" fontId="30" numFmtId="0" xfId="0" applyAlignment="1" applyBorder="1" applyFont="1">
      <alignment readingOrder="0" shrinkToFit="0" vertical="center" wrapText="1"/>
    </xf>
    <xf borderId="1" fillId="3" fontId="30" numFmtId="0" xfId="0" applyAlignment="1" applyBorder="1" applyFont="1">
      <alignment readingOrder="0" shrinkToFit="0" vertical="center" wrapText="1"/>
    </xf>
    <xf borderId="1" fillId="6" fontId="30" numFmtId="0" xfId="0" applyAlignment="1" applyBorder="1" applyFont="1">
      <alignment readingOrder="0" shrinkToFit="0" vertical="center" wrapText="1"/>
    </xf>
    <xf borderId="1" fillId="3" fontId="31" numFmtId="0" xfId="0" applyAlignment="1" applyBorder="1" applyFont="1">
      <alignment readingOrder="0" shrinkToFit="0" vertical="center" wrapText="1"/>
    </xf>
    <xf borderId="1" fillId="0" fontId="32" numFmtId="0" xfId="0" applyAlignment="1" applyBorder="1" applyFont="1">
      <alignment readingOrder="0" vertical="center"/>
    </xf>
    <xf borderId="1" fillId="0" fontId="31" numFmtId="0" xfId="0" applyAlignment="1" applyBorder="1" applyFont="1">
      <alignment readingOrder="0" vertical="center"/>
    </xf>
    <xf borderId="1" fillId="0" fontId="31" numFmtId="0" xfId="0" applyAlignment="1" applyBorder="1" applyFont="1">
      <alignment readingOrder="0" vertical="center"/>
    </xf>
    <xf borderId="0" fillId="0" fontId="33" numFmtId="0" xfId="0" applyAlignment="1" applyFont="1">
      <alignment readingOrder="0" vertical="center"/>
    </xf>
    <xf borderId="1" fillId="0" fontId="33" numFmtId="0" xfId="0" applyAlignment="1" applyBorder="1" applyFont="1">
      <alignment readingOrder="0" vertical="center"/>
    </xf>
    <xf borderId="1" fillId="3" fontId="34" numFmtId="0" xfId="0" applyAlignment="1" applyBorder="1" applyFont="1">
      <alignment readingOrder="0" shrinkToFit="0" vertical="center" wrapText="1"/>
    </xf>
    <xf borderId="1" fillId="0" fontId="35" numFmtId="0" xfId="0" applyAlignment="1" applyBorder="1" applyFont="1">
      <alignment readingOrder="0" vertical="center"/>
    </xf>
    <xf borderId="1" fillId="3" fontId="36" numFmtId="0" xfId="0" applyAlignment="1" applyBorder="1" applyFont="1">
      <alignment vertical="center"/>
    </xf>
    <xf borderId="1" fillId="3" fontId="16" numFmtId="0" xfId="0" applyAlignment="1" applyBorder="1" applyFont="1">
      <alignment readingOrder="0" shrinkToFit="0" vertical="center" wrapText="1"/>
    </xf>
    <xf borderId="1" fillId="0" fontId="16" numFmtId="0" xfId="0" applyAlignment="1" applyBorder="1" applyFont="1">
      <alignment vertical="center"/>
    </xf>
    <xf borderId="1" fillId="3" fontId="37" numFmtId="0" xfId="0" applyAlignment="1" applyBorder="1" applyFont="1">
      <alignment vertical="center"/>
    </xf>
    <xf borderId="1" fillId="3" fontId="24" numFmtId="0" xfId="0" applyAlignment="1" applyBorder="1" applyFont="1">
      <alignment shrinkToFit="0" vertical="center" wrapText="1"/>
    </xf>
    <xf borderId="0" fillId="0" fontId="8" numFmtId="0" xfId="0" applyAlignment="1" applyFont="1">
      <alignment readingOrder="0" vertical="center"/>
    </xf>
    <xf borderId="1" fillId="3" fontId="38" numFmtId="0" xfId="0" applyAlignment="1" applyBorder="1" applyFont="1">
      <alignment horizontal="left" readingOrder="0" vertical="center"/>
    </xf>
    <xf borderId="1" fillId="3" fontId="39" numFmtId="0" xfId="0" applyAlignment="1" applyBorder="1" applyFont="1">
      <alignment readingOrder="0" vertical="center"/>
    </xf>
    <xf borderId="1" fillId="7" fontId="30" numFmtId="0" xfId="0" applyAlignment="1" applyBorder="1" applyFill="1" applyFont="1">
      <alignment readingOrder="0" shrinkToFit="0" vertical="center" wrapText="1"/>
    </xf>
    <xf borderId="1" fillId="0" fontId="40" numFmtId="0" xfId="0" applyAlignment="1" applyBorder="1" applyFont="1">
      <alignment vertical="center"/>
    </xf>
    <xf borderId="1" fillId="3" fontId="41" numFmtId="0" xfId="0" applyAlignment="1" applyBorder="1" applyFont="1">
      <alignment readingOrder="0" vertical="center"/>
    </xf>
    <xf borderId="1" fillId="0" fontId="30" numFmtId="0" xfId="0" applyAlignment="1" applyBorder="1" applyFont="1">
      <alignment shrinkToFit="0" vertical="center" wrapText="1"/>
    </xf>
    <xf borderId="1" fillId="3" fontId="30" numFmtId="0" xfId="0" applyAlignment="1" applyBorder="1" applyFont="1">
      <alignment shrinkToFit="0" vertical="center" wrapText="1"/>
    </xf>
    <xf borderId="1" fillId="0" fontId="31" numFmtId="0" xfId="0" applyAlignment="1" applyBorder="1" applyFont="1">
      <alignment vertical="center"/>
    </xf>
    <xf borderId="1" fillId="3" fontId="42" numFmtId="166" xfId="0" applyAlignment="1" applyBorder="1" applyFont="1" applyNumberFormat="1">
      <alignment horizontal="right" readingOrder="0" vertical="center"/>
    </xf>
    <xf borderId="1" fillId="0" fontId="42" numFmtId="0" xfId="0" applyAlignment="1" applyBorder="1" applyFont="1">
      <alignment readingOrder="0" shrinkToFit="0" vertical="center" wrapText="1"/>
    </xf>
    <xf borderId="1" fillId="3" fontId="42" numFmtId="0" xfId="0" applyAlignment="1" applyBorder="1" applyFont="1">
      <alignment readingOrder="0" shrinkToFit="0" vertical="center" wrapText="1"/>
    </xf>
    <xf borderId="1" fillId="5" fontId="42" numFmtId="0" xfId="0" applyAlignment="1" applyBorder="1" applyFont="1">
      <alignment readingOrder="0" shrinkToFit="0" vertical="center" wrapText="1"/>
    </xf>
    <xf borderId="1" fillId="3" fontId="23" numFmtId="0" xfId="0" applyAlignment="1" applyBorder="1" applyFont="1">
      <alignment readingOrder="0" shrinkToFit="0" vertical="center" wrapText="1"/>
    </xf>
    <xf borderId="1" fillId="0" fontId="43" numFmtId="0" xfId="0" applyAlignment="1" applyBorder="1" applyFont="1">
      <alignment readingOrder="0" vertical="center"/>
    </xf>
    <xf borderId="1" fillId="0" fontId="42" numFmtId="0" xfId="0" applyAlignment="1" applyBorder="1" applyFont="1">
      <alignment readingOrder="0" vertical="center"/>
    </xf>
    <xf borderId="1" fillId="3" fontId="44" numFmtId="0" xfId="0" applyAlignment="1" applyBorder="1" applyFont="1">
      <alignment readingOrder="0" vertical="center"/>
    </xf>
    <xf borderId="1" fillId="0" fontId="23" numFmtId="0" xfId="0" applyAlignment="1" applyBorder="1" applyFont="1">
      <alignment readingOrder="0" vertical="center"/>
    </xf>
    <xf borderId="0" fillId="0" fontId="23" numFmtId="0" xfId="0" applyAlignment="1" applyFont="1">
      <alignment readingOrder="0" vertical="center"/>
    </xf>
    <xf borderId="0" fillId="0" fontId="45" numFmtId="0" xfId="0" applyAlignment="1" applyFont="1">
      <alignment horizontal="center" vertical="center"/>
    </xf>
    <xf borderId="1" fillId="3" fontId="23" numFmtId="0" xfId="0" applyAlignment="1" applyBorder="1" applyFont="1">
      <alignment readingOrder="0" vertical="center"/>
    </xf>
    <xf borderId="0" fillId="0" fontId="23" numFmtId="0" xfId="0" applyAlignment="1" applyFont="1">
      <alignment vertical="center"/>
    </xf>
    <xf borderId="1" fillId="0" fontId="23" numFmtId="0" xfId="0" applyAlignment="1" applyBorder="1" applyFont="1">
      <alignment readingOrder="0" vertical="center"/>
    </xf>
    <xf borderId="1" fillId="0" fontId="23" numFmtId="0" xfId="0" applyAlignment="1" applyBorder="1" applyFont="1">
      <alignment vertical="center"/>
    </xf>
    <xf borderId="1" fillId="3" fontId="46" numFmtId="0" xfId="0" applyAlignment="1" applyBorder="1" applyFont="1">
      <alignment vertical="center"/>
    </xf>
    <xf borderId="1" fillId="3" fontId="30" numFmtId="166" xfId="0" applyAlignment="1" applyBorder="1" applyFont="1" applyNumberFormat="1">
      <alignment horizontal="right" vertical="center"/>
    </xf>
    <xf borderId="1" fillId="4" fontId="30" numFmtId="0" xfId="0" applyAlignment="1" applyBorder="1" applyFont="1">
      <alignment readingOrder="0" shrinkToFit="0" vertical="center" wrapText="1"/>
    </xf>
    <xf borderId="1" fillId="0" fontId="30" numFmtId="0" xfId="0" applyAlignment="1" applyBorder="1" applyFont="1">
      <alignment vertical="center"/>
    </xf>
    <xf borderId="1" fillId="0" fontId="47" numFmtId="0" xfId="0" applyAlignment="1" applyBorder="1" applyFont="1">
      <alignment horizontal="center" vertical="center"/>
    </xf>
    <xf borderId="1" fillId="0" fontId="23" numFmtId="0" xfId="0" applyAlignment="1" applyBorder="1" applyFont="1">
      <alignment vertical="center"/>
    </xf>
    <xf borderId="0" fillId="8" fontId="48" numFmtId="0" xfId="0" applyAlignment="1" applyFill="1" applyFont="1">
      <alignment horizontal="left" readingOrder="0" vertical="center"/>
    </xf>
    <xf borderId="1" fillId="3" fontId="30" numFmtId="0" xfId="0" applyAlignment="1" applyBorder="1" applyFont="1">
      <alignment horizontal="left" readingOrder="0" vertical="center"/>
    </xf>
    <xf borderId="2" fillId="0" fontId="2" numFmtId="0" xfId="0" applyAlignment="1" applyBorder="1" applyFont="1">
      <alignment readingOrder="0" shrinkToFit="0" vertical="center" wrapText="1"/>
    </xf>
    <xf borderId="2" fillId="3" fontId="2" numFmtId="0" xfId="0" applyAlignment="1" applyBorder="1" applyFont="1">
      <alignment shrinkToFit="0" vertical="center" wrapText="1"/>
    </xf>
    <xf borderId="2" fillId="0" fontId="3" numFmtId="0" xfId="0" applyAlignment="1" applyBorder="1" applyFont="1">
      <alignment readingOrder="0" shrinkToFit="0" vertical="center" wrapText="1"/>
    </xf>
    <xf borderId="2" fillId="3" fontId="3" numFmtId="0" xfId="0" applyAlignment="1" applyBorder="1" applyFont="1">
      <alignment readingOrder="0" shrinkToFit="0" vertical="center" wrapText="1"/>
    </xf>
    <xf borderId="2" fillId="4" fontId="2" numFmtId="0" xfId="0" applyAlignment="1" applyBorder="1" applyFont="1">
      <alignment readingOrder="0" shrinkToFit="0" vertical="center" wrapText="1"/>
    </xf>
    <xf borderId="0" fillId="0" fontId="49" numFmtId="0" xfId="0" applyAlignment="1" applyFont="1">
      <alignment readingOrder="0" vertical="center"/>
    </xf>
    <xf borderId="1" fillId="0" fontId="2" numFmtId="0" xfId="0" applyAlignment="1" applyBorder="1" applyFont="1">
      <alignment vertical="center"/>
    </xf>
    <xf borderId="1" fillId="0" fontId="50" numFmtId="0" xfId="0" applyAlignment="1" applyBorder="1" applyFont="1">
      <alignment vertical="center"/>
    </xf>
    <xf borderId="2" fillId="0" fontId="8" numFmtId="0" xfId="0" applyAlignment="1" applyBorder="1" applyFont="1">
      <alignment vertical="center"/>
    </xf>
    <xf borderId="1" fillId="3" fontId="51" numFmtId="0" xfId="0" applyAlignment="1" applyBorder="1" applyFont="1">
      <alignment readingOrder="0" vertical="center"/>
    </xf>
    <xf borderId="2" fillId="0" fontId="3" numFmtId="0" xfId="0" applyAlignment="1" applyBorder="1" applyFont="1">
      <alignment shrinkToFit="0" vertical="center" wrapText="1"/>
    </xf>
    <xf borderId="2" fillId="3" fontId="3" numFmtId="0" xfId="0" applyAlignment="1" applyBorder="1" applyFont="1">
      <alignment shrinkToFit="0" vertical="center" wrapText="1"/>
    </xf>
    <xf borderId="2" fillId="6" fontId="2" numFmtId="0" xfId="0" applyAlignment="1" applyBorder="1" applyFont="1">
      <alignment readingOrder="0" shrinkToFit="0" vertical="center" wrapText="1"/>
    </xf>
    <xf borderId="2" fillId="0" fontId="8" numFmtId="0" xfId="0" applyAlignment="1" applyBorder="1" applyFont="1">
      <alignment readingOrder="0" vertical="center"/>
    </xf>
    <xf borderId="2" fillId="0" fontId="8" numFmtId="0" xfId="0" applyAlignment="1" applyBorder="1" applyFont="1">
      <alignment readingOrder="0" vertical="center"/>
    </xf>
    <xf borderId="1" fillId="3" fontId="30" numFmtId="166" xfId="0" applyAlignment="1" applyBorder="1" applyFont="1" applyNumberFormat="1">
      <alignment horizontal="left" readingOrder="0" vertical="center"/>
    </xf>
    <xf borderId="2" fillId="0" fontId="52" numFmtId="0" xfId="0" applyAlignment="1" applyBorder="1" applyFont="1">
      <alignment readingOrder="0" vertical="center"/>
    </xf>
    <xf borderId="1" fillId="0" fontId="2" numFmtId="0" xfId="0" applyAlignment="1" applyBorder="1" applyFont="1">
      <alignment readingOrder="0" shrinkToFit="0" vertical="center" wrapText="1"/>
    </xf>
    <xf borderId="2" fillId="0" fontId="2" numFmtId="0" xfId="0" applyAlignment="1" applyBorder="1" applyFont="1">
      <alignment vertical="center"/>
    </xf>
    <xf borderId="2" fillId="0" fontId="53" numFmtId="0" xfId="0" applyAlignment="1" applyBorder="1" applyFont="1">
      <alignment vertical="center"/>
    </xf>
    <xf borderId="1" fillId="3" fontId="54" numFmtId="0" xfId="0" applyAlignment="1" applyBorder="1" applyFont="1">
      <alignment horizontal="left" readingOrder="0" vertical="center"/>
    </xf>
    <xf borderId="1" fillId="3" fontId="55" numFmtId="0" xfId="0" applyAlignment="1" applyBorder="1" applyFont="1">
      <alignment horizontal="left" readingOrder="0" vertical="center"/>
    </xf>
    <xf borderId="1" fillId="0" fontId="6" numFmtId="0" xfId="0" applyAlignment="1" applyBorder="1" applyFont="1">
      <alignment readingOrder="0" vertical="center"/>
    </xf>
    <xf borderId="2" fillId="0" fontId="2" numFmtId="0" xfId="0" applyAlignment="1" applyBorder="1" applyFont="1">
      <alignment readingOrder="0" shrinkToFit="0" vertical="center" wrapText="1"/>
    </xf>
    <xf borderId="0" fillId="3" fontId="54" numFmtId="0" xfId="0" applyAlignment="1" applyFont="1">
      <alignment horizontal="left" readingOrder="0" vertical="center"/>
    </xf>
    <xf borderId="2" fillId="0" fontId="2" numFmtId="0" xfId="0" applyAlignment="1" applyBorder="1" applyFont="1">
      <alignment readingOrder="0" shrinkToFit="0" vertical="center" wrapText="1"/>
    </xf>
    <xf borderId="2" fillId="0" fontId="2" numFmtId="0" xfId="0" applyAlignment="1" applyBorder="1" applyFont="1">
      <alignment horizontal="left" readingOrder="0" shrinkToFit="0" vertical="center" wrapText="1"/>
    </xf>
    <xf borderId="1" fillId="0" fontId="6" numFmtId="0" xfId="0" applyAlignment="1" applyBorder="1" applyFont="1">
      <alignment readingOrder="0" vertical="center"/>
    </xf>
    <xf borderId="1" fillId="0" fontId="56" numFmtId="0" xfId="0" applyAlignment="1" applyBorder="1" applyFont="1">
      <alignment readingOrder="0" vertical="center"/>
    </xf>
    <xf borderId="1" fillId="3" fontId="57" numFmtId="0" xfId="0" applyAlignment="1" applyBorder="1" applyFont="1">
      <alignment horizontal="left" readingOrder="0" vertical="center"/>
    </xf>
    <xf borderId="1" fillId="0" fontId="58" numFmtId="0" xfId="0" applyAlignment="1" applyBorder="1" applyFont="1">
      <alignment horizontal="center" readingOrder="0" vertical="center"/>
    </xf>
    <xf borderId="1" fillId="0" fontId="59" numFmtId="0" xfId="0" applyAlignment="1" applyBorder="1" applyFont="1">
      <alignment horizontal="center" readingOrder="0" vertical="center"/>
    </xf>
    <xf borderId="1" fillId="3" fontId="16" numFmtId="0" xfId="0" applyAlignment="1" applyBorder="1" applyFont="1">
      <alignment horizontal="left" readingOrder="0" vertical="center"/>
    </xf>
    <xf borderId="1" fillId="3" fontId="5" numFmtId="0" xfId="0" applyAlignment="1" applyBorder="1" applyFont="1">
      <alignment horizontal="left" readingOrder="0" shrinkToFit="0" vertical="center" wrapText="1"/>
    </xf>
    <xf borderId="0" fillId="0" fontId="2" numFmtId="0" xfId="0" applyAlignment="1" applyFont="1">
      <alignment readingOrder="0" vertical="center"/>
    </xf>
    <xf borderId="0" fillId="3" fontId="30" numFmtId="0" xfId="0" applyAlignment="1" applyFont="1">
      <alignment horizontal="left" readingOrder="0" vertical="center"/>
    </xf>
    <xf borderId="1" fillId="3" fontId="2" numFmtId="0" xfId="0" applyAlignment="1" applyBorder="1" applyFont="1">
      <alignment horizontal="left" readingOrder="0" shrinkToFit="0" vertical="center" wrapText="1"/>
    </xf>
    <xf borderId="1" fillId="3" fontId="60" numFmtId="0" xfId="0" applyAlignment="1" applyBorder="1" applyFont="1">
      <alignment horizontal="left" readingOrder="0" shrinkToFit="0" vertical="center" wrapText="1"/>
    </xf>
    <xf borderId="1" fillId="0" fontId="2" numFmtId="0" xfId="0" applyAlignment="1" applyBorder="1" applyFont="1">
      <alignment readingOrder="0" shrinkToFit="0" vertical="center" wrapText="1"/>
    </xf>
    <xf borderId="2" fillId="0" fontId="2" numFmtId="0" xfId="0" applyAlignment="1" applyBorder="1" applyFont="1">
      <alignment shrinkToFit="0" vertical="center" wrapText="1"/>
    </xf>
    <xf borderId="3" fillId="3" fontId="8" numFmtId="0" xfId="0" applyAlignment="1" applyBorder="1" applyFont="1">
      <alignment vertical="center"/>
    </xf>
    <xf borderId="0" fillId="3" fontId="61" numFmtId="0" xfId="0" applyAlignment="1" applyFont="1">
      <alignment horizontal="left" readingOrder="0" vertical="center"/>
    </xf>
    <xf borderId="2" fillId="9" fontId="2" numFmtId="0" xfId="0" applyAlignment="1" applyBorder="1" applyFill="1" applyFont="1">
      <alignment readingOrder="0" shrinkToFit="0" vertical="center" wrapText="1"/>
    </xf>
    <xf borderId="1" fillId="0" fontId="8" numFmtId="0" xfId="0" applyAlignment="1" applyBorder="1" applyFont="1">
      <alignment vertical="center"/>
    </xf>
    <xf borderId="1" fillId="0" fontId="8" numFmtId="0" xfId="0" applyAlignment="1" applyBorder="1" applyFont="1">
      <alignment horizontal="center" vertical="center"/>
    </xf>
    <xf borderId="2" fillId="0" fontId="2" numFmtId="0" xfId="0" applyAlignment="1" applyBorder="1" applyFont="1">
      <alignment readingOrder="0" vertical="center"/>
    </xf>
    <xf borderId="2" fillId="9" fontId="3" numFmtId="0" xfId="0" applyAlignment="1" applyBorder="1" applyFont="1">
      <alignment readingOrder="0" shrinkToFit="0" vertical="center" wrapText="1"/>
    </xf>
    <xf borderId="2" fillId="0" fontId="62" numFmtId="0" xfId="0" applyAlignment="1" applyBorder="1" applyFont="1">
      <alignment readingOrder="0" vertical="center"/>
    </xf>
    <xf borderId="1" fillId="3" fontId="63" numFmtId="0" xfId="0" applyAlignment="1" applyBorder="1" applyFont="1">
      <alignment horizontal="left" readingOrder="0" vertical="center"/>
    </xf>
    <xf borderId="2" fillId="0" fontId="2" numFmtId="0" xfId="0" applyAlignment="1" applyBorder="1" applyFont="1">
      <alignment horizontal="left" readingOrder="0" shrinkToFit="0" vertical="center" wrapText="1"/>
    </xf>
    <xf borderId="1" fillId="0" fontId="64" numFmtId="0" xfId="0" applyAlignment="1" applyBorder="1" applyFont="1">
      <alignment readingOrder="0" vertical="center"/>
    </xf>
    <xf borderId="0" fillId="0" fontId="65" numFmtId="0" xfId="0" applyAlignment="1" applyFont="1">
      <alignment readingOrder="0" vertical="center"/>
    </xf>
    <xf borderId="0" fillId="3" fontId="66" numFmtId="0" xfId="0" applyAlignment="1" applyFont="1">
      <alignment readingOrder="0" vertical="center"/>
    </xf>
    <xf borderId="2" fillId="0" fontId="0" numFmtId="0" xfId="0" applyAlignment="1" applyBorder="1" applyFont="1">
      <alignment readingOrder="0" vertical="center"/>
    </xf>
    <xf borderId="2" fillId="0" fontId="67" numFmtId="0" xfId="0" applyAlignment="1" applyBorder="1" applyFont="1">
      <alignment readingOrder="0" vertical="center"/>
    </xf>
    <xf borderId="0" fillId="0" fontId="68" numFmtId="0" xfId="0" applyAlignment="1" applyFont="1">
      <alignment readingOrder="0" vertical="center"/>
    </xf>
    <xf borderId="0" fillId="0" fontId="69" numFmtId="0" xfId="0" applyAlignment="1" applyFont="1">
      <alignment readingOrder="0" vertical="center"/>
    </xf>
    <xf borderId="0" fillId="0" fontId="69" numFmtId="0" xfId="0" applyAlignment="1" applyFont="1">
      <alignment vertical="center"/>
    </xf>
    <xf borderId="2" fillId="0" fontId="70" numFmtId="0" xfId="0" applyAlignment="1" applyBorder="1" applyFont="1">
      <alignment readingOrder="0" shrinkToFit="0" vertical="center" wrapText="1"/>
    </xf>
    <xf borderId="2" fillId="0" fontId="71" numFmtId="0" xfId="0" applyAlignment="1" applyBorder="1" applyFont="1">
      <alignment readingOrder="0" shrinkToFit="0" vertical="center" wrapText="1"/>
    </xf>
    <xf borderId="0" fillId="0" fontId="69" numFmtId="0" xfId="0" applyAlignment="1" applyFont="1">
      <alignment shrinkToFit="0" vertical="center" wrapText="1"/>
    </xf>
    <xf borderId="4" fillId="0" fontId="2" numFmtId="0" xfId="0" applyAlignment="1" applyBorder="1" applyFont="1">
      <alignment readingOrder="0" vertical="center"/>
    </xf>
    <xf borderId="2" fillId="0" fontId="72" numFmtId="0" xfId="0" applyAlignment="1" applyBorder="1" applyFont="1">
      <alignment readingOrder="0" shrinkToFit="0" vertical="center" wrapText="1"/>
    </xf>
    <xf borderId="4" fillId="0" fontId="8" numFmtId="0" xfId="0" applyAlignment="1" applyBorder="1" applyFont="1">
      <alignment readingOrder="0" vertical="center"/>
    </xf>
    <xf borderId="4" fillId="0" fontId="8" numFmtId="0" xfId="0" applyAlignment="1" applyBorder="1" applyFont="1">
      <alignment vertical="center"/>
    </xf>
    <xf borderId="2" fillId="7" fontId="2" numFmtId="0" xfId="0" applyAlignment="1" applyBorder="1" applyFont="1">
      <alignment readingOrder="0" shrinkToFit="0" vertical="center" wrapText="1"/>
    </xf>
    <xf borderId="0" fillId="10" fontId="73" numFmtId="0" xfId="0" applyAlignment="1" applyFill="1" applyFont="1">
      <alignment horizontal="left" readingOrder="0" vertical="center"/>
    </xf>
    <xf borderId="2" fillId="5" fontId="2" numFmtId="0" xfId="0" applyAlignment="1" applyBorder="1" applyFont="1">
      <alignment readingOrder="0" shrinkToFit="0" vertical="center" wrapText="1"/>
    </xf>
    <xf borderId="2" fillId="11" fontId="2" numFmtId="0" xfId="0" applyAlignment="1" applyBorder="1" applyFill="1" applyFont="1">
      <alignment readingOrder="0" shrinkToFit="0" vertical="center" wrapText="1"/>
    </xf>
    <xf borderId="2" fillId="12" fontId="2" numFmtId="0" xfId="0" applyAlignment="1" applyBorder="1" applyFill="1" applyFont="1">
      <alignment readingOrder="0" shrinkToFit="0" vertical="center" wrapText="1"/>
    </xf>
    <xf borderId="1" fillId="3" fontId="2" numFmtId="166" xfId="0" applyAlignment="1" applyBorder="1" applyFont="1" applyNumberFormat="1">
      <alignment readingOrder="0" vertical="center"/>
    </xf>
    <xf borderId="2" fillId="0" fontId="70" numFmtId="0" xfId="0" applyAlignment="1" applyBorder="1" applyFont="1">
      <alignment readingOrder="0" shrinkToFit="0" vertical="center" wrapText="1"/>
    </xf>
    <xf borderId="1" fillId="0" fontId="8" numFmtId="0" xfId="0" applyAlignment="1" applyBorder="1" applyFont="1">
      <alignment vertical="center"/>
    </xf>
    <xf borderId="2" fillId="0" fontId="74" numFmtId="0" xfId="0" applyAlignment="1" applyBorder="1" applyFont="1">
      <alignment readingOrder="0" shrinkToFit="0" vertical="center" wrapText="1"/>
    </xf>
    <xf borderId="0" fillId="0" fontId="6" numFmtId="0" xfId="0" applyAlignment="1" applyFont="1">
      <alignment readingOrder="0" shrinkToFit="0" vertical="center" wrapText="1"/>
    </xf>
    <xf borderId="1" fillId="0" fontId="69" numFmtId="0" xfId="0" applyAlignment="1" applyBorder="1" applyFont="1">
      <alignment readingOrder="0" shrinkToFit="0" vertical="center" wrapText="1"/>
    </xf>
    <xf borderId="2" fillId="0" fontId="5" numFmtId="0" xfId="0" applyAlignment="1" applyBorder="1" applyFont="1">
      <alignment readingOrder="0" shrinkToFit="0" vertical="center" wrapText="1"/>
    </xf>
    <xf borderId="1" fillId="0" fontId="69" numFmtId="0" xfId="0" applyAlignment="1" applyBorder="1" applyFont="1">
      <alignment readingOrder="0" shrinkToFit="0" vertical="center" wrapText="1"/>
    </xf>
    <xf borderId="1" fillId="0" fontId="69" numFmtId="0" xfId="0" applyAlignment="1" applyBorder="1" applyFont="1">
      <alignment readingOrder="0" shrinkToFit="0" vertical="center" wrapText="1"/>
    </xf>
    <xf borderId="1" fillId="0" fontId="75" numFmtId="0" xfId="0" applyAlignment="1" applyBorder="1" applyFont="1">
      <alignment readingOrder="0" shrinkToFit="0" vertical="center" wrapText="1"/>
    </xf>
    <xf borderId="1" fillId="0" fontId="75" numFmtId="0" xfId="0" applyAlignment="1" applyBorder="1" applyFont="1">
      <alignment readingOrder="0" shrinkToFit="0" vertical="center" wrapText="1"/>
    </xf>
    <xf borderId="1" fillId="0" fontId="76" numFmtId="0" xfId="0" applyAlignment="1" applyBorder="1" applyFont="1">
      <alignment readingOrder="0" shrinkToFit="0" vertical="center" wrapText="1"/>
    </xf>
    <xf borderId="2" fillId="0" fontId="75" numFmtId="0" xfId="0" applyAlignment="1" applyBorder="1" applyFont="1">
      <alignment readingOrder="0" shrinkToFit="0" vertical="center" wrapText="1"/>
    </xf>
    <xf borderId="0" fillId="2" fontId="1" numFmtId="0" xfId="0" applyAlignment="1" applyFont="1">
      <alignment horizontal="left" readingOrder="0" shrinkToFit="0" vertical="center" wrapText="1"/>
    </xf>
    <xf borderId="1" fillId="0" fontId="77" numFmtId="0" xfId="0" applyAlignment="1" applyBorder="1" applyFont="1">
      <alignment readingOrder="0" shrinkToFit="0" vertical="center" wrapText="1"/>
    </xf>
    <xf borderId="0" fillId="2" fontId="1" numFmtId="0" xfId="0" applyAlignment="1" applyFont="1">
      <alignment horizontal="center" readingOrder="0" shrinkToFit="0" vertical="center" wrapText="1"/>
    </xf>
    <xf borderId="1" fillId="3" fontId="2" numFmtId="165" xfId="0" applyAlignment="1" applyBorder="1" applyFont="1" applyNumberFormat="1">
      <alignment horizontal="right" readingOrder="0" shrinkToFit="0" vertical="center" wrapText="1"/>
    </xf>
    <xf borderId="2" fillId="3" fontId="2" numFmtId="0" xfId="0" applyAlignment="1" applyBorder="1" applyFont="1">
      <alignment readingOrder="0" vertical="center"/>
    </xf>
    <xf borderId="1" fillId="0" fontId="78" numFmtId="0" xfId="0" applyAlignment="1" applyBorder="1" applyFont="1">
      <alignment readingOrder="0" shrinkToFit="0" vertical="center" wrapText="1"/>
    </xf>
    <xf borderId="0" fillId="3" fontId="8" numFmtId="0" xfId="0" applyAlignment="1" applyFont="1">
      <alignment vertical="center"/>
    </xf>
    <xf borderId="1" fillId="3" fontId="79" numFmtId="0" xfId="0" applyAlignment="1" applyBorder="1" applyFont="1">
      <alignment horizontal="center" vertical="center"/>
    </xf>
    <xf borderId="4" fillId="3" fontId="80" numFmtId="0" xfId="0" applyAlignment="1" applyBorder="1" applyFont="1">
      <alignment horizontal="center" vertical="center"/>
    </xf>
    <xf borderId="2" fillId="0" fontId="81" numFmtId="0" xfId="0" applyAlignment="1" applyBorder="1" applyFont="1">
      <alignment readingOrder="0" shrinkToFit="0" vertical="center" wrapText="1"/>
    </xf>
    <xf borderId="1" fillId="0" fontId="6" numFmtId="0" xfId="0" applyAlignment="1" applyBorder="1" applyFont="1">
      <alignment vertical="center"/>
    </xf>
    <xf borderId="1" fillId="3" fontId="2" numFmtId="0" xfId="0" applyAlignment="1" applyBorder="1" applyFont="1">
      <alignment readingOrder="0" vertical="center"/>
    </xf>
    <xf borderId="0" fillId="3" fontId="2" numFmtId="0" xfId="0" applyAlignment="1" applyFont="1">
      <alignment horizontal="left" readingOrder="0" vertical="center"/>
    </xf>
    <xf borderId="2" fillId="0" fontId="82" numFmtId="0" xfId="0" applyAlignment="1" applyBorder="1" applyFont="1">
      <alignment vertical="center"/>
    </xf>
    <xf borderId="2" fillId="0" fontId="83" numFmtId="0" xfId="0" applyAlignment="1" applyBorder="1" applyFont="1">
      <alignment shrinkToFit="0" vertical="center" wrapText="1"/>
    </xf>
    <xf borderId="1" fillId="3" fontId="2" numFmtId="165" xfId="0" applyAlignment="1" applyBorder="1" applyFont="1" applyNumberFormat="1">
      <alignment horizontal="right" shrinkToFit="0" vertical="center" wrapText="1"/>
    </xf>
    <xf borderId="2" fillId="3" fontId="2" numFmtId="0" xfId="0" applyAlignment="1" applyBorder="1" applyFont="1">
      <alignment vertical="center"/>
    </xf>
    <xf borderId="1" fillId="0" fontId="84" numFmtId="0" xfId="0" applyAlignment="1" applyBorder="1" applyFont="1">
      <alignment vertical="center"/>
    </xf>
    <xf borderId="1" fillId="3" fontId="2" numFmtId="165" xfId="0" applyAlignment="1" applyBorder="1" applyFont="1" applyNumberFormat="1">
      <alignment readingOrder="0" shrinkToFit="0" vertical="center" wrapText="1"/>
    </xf>
    <xf borderId="1" fillId="0" fontId="1" numFmtId="0" xfId="0" applyAlignment="1" applyBorder="1" applyFont="1">
      <alignment horizontal="left" readingOrder="0" shrinkToFit="0" vertical="center" wrapText="1"/>
    </xf>
    <xf borderId="0" fillId="3" fontId="85" numFmtId="0" xfId="0" applyAlignment="1" applyFont="1">
      <alignment horizontal="left" readingOrder="0" vertical="center"/>
    </xf>
    <xf borderId="1" fillId="3" fontId="2" numFmtId="166" xfId="0" applyAlignment="1" applyBorder="1" applyFont="1" applyNumberFormat="1">
      <alignment horizontal="left" readingOrder="0" vertical="center"/>
    </xf>
    <xf borderId="1" fillId="0" fontId="2" numFmtId="0" xfId="0" applyAlignment="1" applyBorder="1" applyFont="1">
      <alignment horizontal="left" readingOrder="0" shrinkToFit="0" vertical="center" wrapText="1"/>
    </xf>
    <xf borderId="2" fillId="3" fontId="2" numFmtId="0" xfId="0" applyAlignment="1" applyBorder="1" applyFont="1">
      <alignment horizontal="left" readingOrder="0" shrinkToFit="0" vertical="center" wrapText="1"/>
    </xf>
    <xf borderId="2" fillId="0" fontId="3" numFmtId="0" xfId="0" applyAlignment="1" applyBorder="1" applyFont="1">
      <alignment horizontal="left" readingOrder="0" shrinkToFit="0" vertical="center" wrapText="1"/>
    </xf>
    <xf borderId="2" fillId="0" fontId="2" numFmtId="0" xfId="0" applyAlignment="1" applyBorder="1" applyFont="1">
      <alignment horizontal="left" readingOrder="0" shrinkToFit="0" vertical="center" wrapText="1"/>
    </xf>
    <xf borderId="1" fillId="0" fontId="86" numFmtId="0" xfId="0" applyAlignment="1" applyBorder="1" applyFont="1">
      <alignment horizontal="left" readingOrder="0" vertical="center"/>
    </xf>
    <xf borderId="0" fillId="0" fontId="1" numFmtId="0" xfId="0" applyAlignment="1" applyFont="1">
      <alignment horizontal="left" readingOrder="0" shrinkToFit="0" vertical="center" wrapText="1"/>
    </xf>
    <xf borderId="1" fillId="0" fontId="6" numFmtId="0" xfId="0" applyAlignment="1" applyBorder="1" applyFont="1">
      <alignment horizontal="left" readingOrder="0" vertical="center"/>
    </xf>
    <xf borderId="2" fillId="3" fontId="3" numFmtId="0" xfId="0" applyAlignment="1" applyBorder="1" applyFont="1">
      <alignment horizontal="left" readingOrder="0" shrinkToFit="0" vertical="center" wrapText="1"/>
    </xf>
    <xf borderId="1" fillId="3" fontId="2" numFmtId="166" xfId="0" applyAlignment="1" applyBorder="1" applyFont="1" applyNumberFormat="1">
      <alignment vertical="center"/>
    </xf>
    <xf borderId="2" fillId="0" fontId="2" numFmtId="0" xfId="0" applyAlignment="1" applyBorder="1" applyFont="1">
      <alignment horizontal="left" readingOrder="0" shrinkToFit="0" vertical="top" wrapText="1"/>
    </xf>
    <xf borderId="1" fillId="3" fontId="2" numFmtId="168" xfId="0" applyAlignment="1" applyBorder="1" applyFont="1" applyNumberFormat="1">
      <alignment horizontal="left" readingOrder="0" vertical="center"/>
    </xf>
    <xf borderId="1" fillId="0" fontId="87" numFmtId="0" xfId="0" applyAlignment="1" applyBorder="1" applyFont="1">
      <alignment horizontal="left" readingOrder="0" vertical="center"/>
    </xf>
    <xf borderId="1" fillId="0" fontId="2" numFmtId="0" xfId="0" applyAlignment="1" applyBorder="1" applyFont="1">
      <alignment horizontal="left" readingOrder="0" vertical="center"/>
    </xf>
    <xf borderId="1" fillId="12" fontId="2" numFmtId="0" xfId="0" applyAlignment="1" applyBorder="1" applyFont="1">
      <alignment horizontal="left" readingOrder="0" vertical="center"/>
    </xf>
    <xf borderId="1" fillId="3" fontId="2" numFmtId="168" xfId="0" applyAlignment="1" applyBorder="1" applyFont="1" applyNumberFormat="1">
      <alignment vertical="center"/>
    </xf>
    <xf borderId="1" fillId="3" fontId="2" numFmtId="165" xfId="0" applyAlignment="1" applyBorder="1" applyFont="1" applyNumberFormat="1">
      <alignment horizontal="left" readingOrder="0" vertical="center"/>
    </xf>
    <xf borderId="1" fillId="0" fontId="88" numFmtId="0" xfId="0" applyAlignment="1" applyBorder="1" applyFont="1">
      <alignment horizontal="left" readingOrder="0" vertical="center"/>
    </xf>
    <xf borderId="2" fillId="0" fontId="89" numFmtId="0" xfId="0" applyAlignment="1" applyBorder="1" applyFont="1">
      <alignment horizontal="left" readingOrder="0" shrinkToFit="0" vertical="center" wrapText="1"/>
    </xf>
    <xf borderId="1" fillId="3" fontId="2" numFmtId="165" xfId="0" applyAlignment="1" applyBorder="1" applyFont="1" applyNumberFormat="1">
      <alignment horizontal="left" readingOrder="0" shrinkToFit="0" vertical="center" wrapText="1"/>
    </xf>
    <xf borderId="0" fillId="0" fontId="6" numFmtId="0" xfId="0" applyAlignment="1" applyFont="1">
      <alignment horizontal="left" readingOrder="0" vertical="center"/>
    </xf>
    <xf borderId="1" fillId="0" fontId="3" numFmtId="0" xfId="0" applyAlignment="1" applyBorder="1" applyFont="1">
      <alignment horizontal="left" readingOrder="0" shrinkToFit="0" vertical="center" wrapText="1"/>
    </xf>
    <xf borderId="0" fillId="0" fontId="6" numFmtId="0" xfId="0" applyAlignment="1" applyFont="1">
      <alignment horizontal="left" vertical="center"/>
    </xf>
    <xf borderId="1" fillId="0" fontId="6" numFmtId="0" xfId="0" applyAlignment="1" applyBorder="1" applyFont="1">
      <alignment horizontal="left" vertical="center"/>
    </xf>
    <xf borderId="2" fillId="3" fontId="2" numFmtId="0" xfId="0" applyAlignment="1" applyBorder="1" applyFont="1">
      <alignment horizontal="left" readingOrder="0" vertical="center"/>
    </xf>
    <xf borderId="0" fillId="3" fontId="2" numFmtId="0" xfId="0" applyAlignment="1" applyFont="1">
      <alignment horizontal="left" readingOrder="0" vertical="center"/>
    </xf>
    <xf borderId="1" fillId="3" fontId="2" numFmtId="0" xfId="0" applyAlignment="1" applyBorder="1" applyFont="1">
      <alignment horizontal="left" readingOrder="0" vertical="center"/>
    </xf>
    <xf borderId="0" fillId="3" fontId="2" numFmtId="165" xfId="0" applyAlignment="1" applyFont="1" applyNumberFormat="1">
      <alignment horizontal="left" readingOrder="0" shrinkToFit="0" vertical="center" wrapText="1"/>
    </xf>
    <xf borderId="0" fillId="0" fontId="2" numFmtId="0" xfId="0" applyAlignment="1" applyFont="1">
      <alignment horizontal="left" readingOrder="0" shrinkToFit="0" vertical="center" wrapText="1"/>
    </xf>
    <xf borderId="0" fillId="3" fontId="2" numFmtId="0" xfId="0" applyAlignment="1" applyFont="1">
      <alignment horizontal="left" readingOrder="0" shrinkToFit="0" vertical="center" wrapText="1"/>
    </xf>
    <xf borderId="0" fillId="0" fontId="3" numFmtId="0" xfId="0" applyAlignment="1" applyFont="1">
      <alignment horizontal="left" readingOrder="0" shrinkToFit="0" vertical="center" wrapText="1"/>
    </xf>
    <xf borderId="2" fillId="0" fontId="90" numFmtId="0" xfId="0" applyAlignment="1" applyBorder="1" applyFont="1">
      <alignment horizontal="center" readingOrder="0" vertical="center"/>
    </xf>
    <xf borderId="2" fillId="0" fontId="8" numFmtId="0" xfId="0" applyAlignment="1" applyBorder="1" applyFont="1">
      <alignment vertical="center"/>
    </xf>
    <xf borderId="2" fillId="0" fontId="70" numFmtId="0" xfId="0" applyAlignment="1" applyBorder="1" applyFont="1">
      <alignment readingOrder="0" shrinkToFit="0" vertical="center" wrapText="0"/>
    </xf>
    <xf borderId="2" fillId="0" fontId="91" numFmtId="0" xfId="0" applyAlignment="1" applyBorder="1" applyFont="1">
      <alignment readingOrder="0" shrinkToFit="0" vertical="center" wrapText="1"/>
    </xf>
    <xf borderId="2" fillId="0" fontId="92" numFmtId="0" xfId="0" applyAlignment="1" applyBorder="1" applyFont="1">
      <alignment readingOrder="0" shrinkToFit="0" vertical="center" wrapText="1"/>
    </xf>
    <xf borderId="2" fillId="0" fontId="93" numFmtId="0" xfId="0" applyAlignment="1" applyBorder="1" applyFont="1">
      <alignment vertical="center"/>
    </xf>
    <xf borderId="1" fillId="0" fontId="94" numFmtId="0" xfId="0" applyAlignment="1" applyBorder="1" applyFont="1">
      <alignment horizontal="left" readingOrder="0" shrinkToFit="0" vertical="center" wrapText="1"/>
    </xf>
    <xf borderId="2" fillId="3" fontId="8" numFmtId="0" xfId="0" applyAlignment="1" applyBorder="1" applyFont="1">
      <alignment readingOrder="0" vertical="center"/>
    </xf>
    <xf borderId="2" fillId="3" fontId="8" numFmtId="0" xfId="0" applyAlignment="1" applyBorder="1" applyFont="1">
      <alignment vertical="center"/>
    </xf>
    <xf borderId="2" fillId="13" fontId="2" numFmtId="0" xfId="0" applyAlignment="1" applyBorder="1" applyFill="1" applyFont="1">
      <alignment horizontal="left" readingOrder="0" shrinkToFit="0" vertical="center" wrapText="1"/>
    </xf>
    <xf borderId="1" fillId="0" fontId="6" numFmtId="0" xfId="0" applyAlignment="1" applyBorder="1" applyFont="1">
      <alignment horizontal="left" readingOrder="0" shrinkToFit="0" vertical="center" wrapText="1"/>
    </xf>
    <xf borderId="0" fillId="0" fontId="6" numFmtId="0" xfId="0" applyAlignment="1" applyFont="1">
      <alignment horizontal="left" readingOrder="0" shrinkToFit="0" vertical="center" wrapText="1"/>
    </xf>
    <xf borderId="0" fillId="0" fontId="6" numFmtId="0" xfId="0" applyAlignment="1" applyFont="1">
      <alignment horizontal="left" shrinkToFit="0" vertical="center" wrapText="1"/>
    </xf>
    <xf borderId="1" fillId="0" fontId="6" numFmtId="0" xfId="0" applyAlignment="1" applyBorder="1" applyFont="1">
      <alignment horizontal="left" shrinkToFit="0" vertical="center" wrapText="1"/>
    </xf>
    <xf borderId="0" fillId="3" fontId="2" numFmtId="0" xfId="0" applyAlignment="1" applyFont="1">
      <alignment horizontal="left" readingOrder="0" shrinkToFit="0" vertical="center" wrapText="1"/>
    </xf>
    <xf borderId="1" fillId="3" fontId="2" numFmtId="0" xfId="0" applyAlignment="1" applyBorder="1" applyFont="1">
      <alignment horizontal="left" readingOrder="0" shrinkToFit="0" vertical="center" wrapText="1"/>
    </xf>
    <xf borderId="2" fillId="0" fontId="8" numFmtId="0" xfId="0" applyAlignment="1" applyBorder="1" applyFont="1">
      <alignment vertical="center"/>
    </xf>
    <xf borderId="2" fillId="0" fontId="70" numFmtId="0" xfId="0" applyAlignment="1" applyBorder="1" applyFont="1">
      <alignment readingOrder="0" shrinkToFit="0" vertical="center" wrapText="1"/>
    </xf>
    <xf borderId="1" fillId="10" fontId="95" numFmtId="0" xfId="0" applyAlignment="1" applyBorder="1" applyFont="1">
      <alignment horizontal="left" readingOrder="0" vertical="center"/>
    </xf>
    <xf borderId="2" fillId="14" fontId="2" numFmtId="0" xfId="0" applyAlignment="1" applyBorder="1" applyFill="1" applyFont="1">
      <alignment horizontal="left" readingOrder="0" shrinkToFit="0" vertical="center" wrapText="1"/>
    </xf>
    <xf borderId="2" fillId="0" fontId="70" numFmtId="0" xfId="0" applyAlignment="1" applyBorder="1" applyFont="1">
      <alignment readingOrder="0" shrinkToFit="0" vertical="center" wrapText="0"/>
    </xf>
    <xf borderId="2" fillId="14" fontId="2" numFmtId="0" xfId="0" applyAlignment="1" applyBorder="1" applyFont="1">
      <alignment readingOrder="0" shrinkToFit="0" vertical="center" wrapText="1"/>
    </xf>
    <xf borderId="1" fillId="3" fontId="2" numFmtId="0" xfId="0" applyAlignment="1" applyBorder="1" applyFont="1">
      <alignment horizontal="left" readingOrder="0" shrinkToFit="0" vertical="center" wrapText="1"/>
    </xf>
    <xf borderId="1" fillId="3" fontId="2" numFmtId="165" xfId="0" applyAlignment="1" applyBorder="1" applyFont="1" applyNumberFormat="1">
      <alignment horizontal="left" readingOrder="0" shrinkToFit="0" vertical="center" wrapText="1"/>
    </xf>
    <xf borderId="1" fillId="3" fontId="96" numFmtId="0" xfId="0" applyAlignment="1" applyBorder="1" applyFont="1">
      <alignment horizontal="left" readingOrder="0" vertical="center"/>
    </xf>
    <xf borderId="1" fillId="0" fontId="2" numFmtId="0" xfId="0" applyAlignment="1" applyBorder="1" applyFont="1">
      <alignment horizontal="left" readingOrder="0" shrinkToFit="0" vertical="top" wrapText="1"/>
    </xf>
    <xf borderId="1" fillId="0" fontId="2" numFmtId="0" xfId="0" applyAlignment="1" applyBorder="1" applyFont="1">
      <alignment horizontal="left" readingOrder="0" shrinkToFit="0" vertical="center" wrapText="1"/>
    </xf>
    <xf borderId="1" fillId="3" fontId="97" numFmtId="0" xfId="0" applyAlignment="1" applyBorder="1" applyFont="1">
      <alignment horizontal="left" readingOrder="0" shrinkToFit="0" vertical="center" wrapText="1"/>
    </xf>
    <xf borderId="1" fillId="3" fontId="1" numFmtId="0" xfId="0" applyAlignment="1" applyBorder="1" applyFont="1">
      <alignment horizontal="left" readingOrder="0" shrinkToFit="0" vertical="center" wrapText="1"/>
    </xf>
    <xf borderId="0" fillId="0" fontId="98" numFmtId="0" xfId="0" applyAlignment="1" applyFont="1">
      <alignment horizontal="left" readingOrder="0" shrinkToFit="0" vertical="center" wrapText="1"/>
    </xf>
    <xf borderId="1" fillId="0" fontId="5" numFmtId="0" xfId="0" applyAlignment="1" applyBorder="1" applyFont="1">
      <alignment readingOrder="0" shrinkToFit="0" vertical="center" wrapText="1"/>
    </xf>
    <xf borderId="1" fillId="0" fontId="3" numFmtId="0" xfId="0" applyAlignment="1" applyBorder="1" applyFont="1">
      <alignment horizontal="left" readingOrder="0" shrinkToFit="0" vertical="center" wrapText="1"/>
    </xf>
    <xf borderId="0" fillId="0" fontId="99" numFmtId="0" xfId="0" applyAlignment="1" applyFont="1">
      <alignment readingOrder="0" vertical="center"/>
    </xf>
    <xf borderId="1" fillId="0" fontId="100" numFmtId="0" xfId="0" applyAlignment="1" applyBorder="1" applyFont="1">
      <alignment horizontal="left" readingOrder="0" shrinkToFit="0" vertical="center" wrapText="1"/>
    </xf>
    <xf borderId="1" fillId="0" fontId="101" numFmtId="0" xfId="0" applyAlignment="1" applyBorder="1" applyFont="1">
      <alignment horizontal="left" readingOrder="0" shrinkToFit="0" vertical="center" wrapText="1"/>
    </xf>
    <xf borderId="0" fillId="0" fontId="2" numFmtId="0" xfId="0" applyAlignment="1" applyFont="1">
      <alignment horizontal="left" readingOrder="0" shrinkToFit="0" vertical="center" wrapText="1"/>
    </xf>
    <xf borderId="1" fillId="0" fontId="1" numFmtId="0" xfId="0" applyAlignment="1" applyBorder="1" applyFont="1">
      <alignment horizontal="left" readingOrder="0" shrinkToFit="0" vertical="center" wrapText="1"/>
    </xf>
    <xf borderId="0" fillId="0" fontId="2" numFmtId="0" xfId="0" applyAlignment="1" applyFont="1">
      <alignment horizontal="left" shrinkToFit="0" vertical="center" wrapText="1"/>
    </xf>
    <xf borderId="0" fillId="0" fontId="24" numFmtId="0" xfId="0" applyAlignment="1" applyFont="1">
      <alignment horizontal="left" shrinkToFit="0" vertical="center" wrapText="0"/>
    </xf>
    <xf borderId="1" fillId="0" fontId="2" numFmtId="0" xfId="0" applyAlignment="1" applyBorder="1" applyFont="1">
      <alignment horizontal="left" readingOrder="0" shrinkToFit="0" vertical="center" wrapText="1"/>
    </xf>
    <xf borderId="0" fillId="0" fontId="5" numFmtId="0" xfId="0" applyAlignment="1" applyFont="1">
      <alignment horizontal="left" shrinkToFit="0" vertical="center" wrapText="1"/>
    </xf>
    <xf borderId="1" fillId="0" fontId="69" numFmtId="0" xfId="0" applyAlignment="1" applyBorder="1" applyFont="1">
      <alignment readingOrder="0" vertical="bottom"/>
    </xf>
    <xf borderId="0" fillId="0" fontId="16" numFmtId="0" xfId="0" applyAlignment="1" applyFont="1">
      <alignment horizontal="left" vertical="center"/>
    </xf>
    <xf borderId="1" fillId="0" fontId="5" numFmtId="0" xfId="0" applyAlignment="1" applyBorder="1" applyFont="1">
      <alignment horizontal="left" readingOrder="0" shrinkToFit="0" vertical="center" wrapText="1"/>
    </xf>
    <xf borderId="1" fillId="0" fontId="69" numFmtId="0" xfId="0" applyAlignment="1" applyBorder="1" applyFont="1">
      <alignment readingOrder="0" vertical="bottom"/>
    </xf>
    <xf borderId="1" fillId="0" fontId="69" numFmtId="0" xfId="0" applyAlignment="1" applyBorder="1" applyFont="1">
      <alignment vertical="bottom"/>
    </xf>
    <xf borderId="1" fillId="0" fontId="31" numFmtId="0" xfId="0" applyAlignment="1" applyBorder="1" applyFont="1">
      <alignment vertical="bottom"/>
    </xf>
    <xf borderId="0" fillId="0" fontId="1" numFmtId="0" xfId="0" applyAlignment="1" applyFont="1">
      <alignment horizontal="left" readingOrder="0" shrinkToFit="0" vertical="center" wrapText="1"/>
    </xf>
    <xf borderId="0" fillId="0" fontId="31" numFmtId="165" xfId="0" applyAlignment="1" applyFont="1" applyNumberFormat="1">
      <alignment shrinkToFit="0" vertical="bottom" wrapText="1"/>
    </xf>
    <xf borderId="1" fillId="0" fontId="31" numFmtId="0" xfId="0" applyAlignment="1" applyBorder="1" applyFont="1">
      <alignment readingOrder="0" vertical="bottom"/>
    </xf>
    <xf borderId="1" fillId="0" fontId="31" numFmtId="0" xfId="0" applyAlignment="1" applyBorder="1" applyFont="1">
      <alignment vertical="bottom"/>
    </xf>
    <xf borderId="1" fillId="0" fontId="31" numFmtId="0" xfId="0" applyAlignment="1" applyBorder="1" applyFont="1">
      <alignment shrinkToFit="0" vertical="bottom" wrapText="1"/>
    </xf>
    <xf borderId="1" fillId="0" fontId="31" numFmtId="165" xfId="0" applyAlignment="1" applyBorder="1" applyFont="1" applyNumberFormat="1">
      <alignment shrinkToFit="0" vertical="bottom" wrapText="1"/>
    </xf>
    <xf borderId="0" fillId="0" fontId="31" numFmtId="0" xfId="0" applyAlignment="1" applyFont="1">
      <alignment shrinkToFit="0" vertical="bottom" wrapText="1"/>
    </xf>
    <xf borderId="1" fillId="0" fontId="2" numFmtId="0" xfId="0" applyAlignment="1" applyBorder="1" applyFont="1">
      <alignment horizontal="left" readingOrder="0" shrinkToFit="0" vertical="center" wrapText="0"/>
    </xf>
    <xf borderId="1" fillId="0" fontId="3" numFmtId="0" xfId="0" applyAlignment="1" applyBorder="1" applyFont="1">
      <alignment horizontal="left" readingOrder="0" shrinkToFit="0" vertical="center" wrapText="0"/>
    </xf>
    <xf borderId="1" fillId="0" fontId="1" numFmtId="0" xfId="0" applyAlignment="1" applyBorder="1" applyFont="1">
      <alignment horizontal="left" readingOrder="0" shrinkToFit="0" vertical="center" wrapText="0"/>
    </xf>
    <xf borderId="0" fillId="0" fontId="6" numFmtId="0" xfId="0" applyAlignment="1" applyFont="1">
      <alignment readingOrder="0" shrinkToFit="0" vertical="center" wrapText="0"/>
    </xf>
    <xf borderId="1" fillId="0" fontId="5" numFmtId="0" xfId="0" applyAlignment="1" applyBorder="1" applyFont="1">
      <alignment horizontal="left" readingOrder="0" shrinkToFit="0" vertical="center" wrapText="0"/>
    </xf>
    <xf borderId="0" fillId="0" fontId="5" numFmtId="0" xfId="0" applyAlignment="1" applyFont="1">
      <alignment horizontal="left" shrinkToFit="0" vertical="center" wrapText="0"/>
    </xf>
    <xf borderId="0" fillId="0" fontId="16" numFmtId="0" xfId="0" applyAlignment="1" applyFont="1">
      <alignment horizontal="left" shrinkToFit="0" vertical="center" wrapText="0"/>
    </xf>
    <xf borderId="0" fillId="0" fontId="2" numFmtId="165" xfId="0" applyAlignment="1" applyFont="1" applyNumberFormat="1">
      <alignment horizontal="left" readingOrder="0" shrinkToFit="0" vertical="center" wrapText="1"/>
    </xf>
    <xf borderId="0" fillId="0" fontId="6" numFmtId="0" xfId="0" applyAlignment="1" applyFont="1">
      <alignment vertical="center"/>
    </xf>
    <xf borderId="0" fillId="0" fontId="6" numFmtId="14" xfId="0" applyAlignment="1" applyFont="1" applyNumberFormat="1">
      <alignment readingOrder="0" vertical="center"/>
    </xf>
    <xf borderId="0" fillId="0" fontId="6" numFmtId="14" xfId="0" applyAlignment="1" applyFont="1" applyNumberFormat="1">
      <alignment vertical="center"/>
    </xf>
    <xf borderId="0" fillId="0" fontId="102" numFmtId="0" xfId="0" applyAlignment="1" applyFont="1">
      <alignment readingOrder="0" vertical="center"/>
    </xf>
    <xf borderId="1" fillId="2" fontId="6" numFmtId="0" xfId="0" applyAlignment="1" applyBorder="1" applyFont="1">
      <alignment vertical="center"/>
    </xf>
    <xf borderId="1" fillId="3" fontId="6" numFmtId="0" xfId="0" applyAlignment="1" applyBorder="1" applyFont="1">
      <alignment vertical="center"/>
    </xf>
    <xf borderId="1" fillId="3" fontId="6" numFmtId="0" xfId="0" applyAlignment="1" applyBorder="1" applyFont="1">
      <alignment horizontal="center" vertical="center"/>
    </xf>
    <xf borderId="5" fillId="15" fontId="103" numFmtId="0" xfId="0" applyAlignment="1" applyBorder="1" applyFill="1" applyFont="1">
      <alignment horizontal="center" readingOrder="0" vertical="center"/>
    </xf>
    <xf borderId="6" fillId="0" fontId="6" numFmtId="0" xfId="0" applyAlignment="1" applyBorder="1" applyFont="1">
      <alignment vertical="center"/>
    </xf>
    <xf borderId="2" fillId="0" fontId="6" numFmtId="0" xfId="0" applyAlignment="1" applyBorder="1" applyFont="1">
      <alignment vertical="center"/>
    </xf>
    <xf borderId="1" fillId="0" fontId="69" numFmtId="0" xfId="0" applyAlignment="1" applyBorder="1" applyFont="1">
      <alignment horizontal="center" vertical="center"/>
    </xf>
    <xf borderId="1" fillId="2" fontId="104" numFmtId="0" xfId="0" applyAlignment="1" applyBorder="1" applyFont="1">
      <alignment horizontal="center" vertical="center"/>
    </xf>
    <xf borderId="1" fillId="4" fontId="103" numFmtId="0" xfId="0" applyAlignment="1" applyBorder="1" applyFont="1">
      <alignment horizontal="center" vertical="center"/>
    </xf>
    <xf borderId="0" fillId="15" fontId="103" numFmtId="0" xfId="0" applyAlignment="1" applyFont="1">
      <alignment horizontal="center" readingOrder="0" vertical="center"/>
    </xf>
    <xf borderId="1" fillId="0" fontId="105" numFmtId="0" xfId="0" applyAlignment="1" applyBorder="1" applyFont="1">
      <alignment horizontal="center" vertical="center"/>
    </xf>
    <xf borderId="0" fillId="0" fontId="69" numFmtId="0" xfId="0" applyAlignment="1" applyFont="1">
      <alignment readingOrder="0" shrinkToFit="0" vertical="center" wrapText="1"/>
    </xf>
    <xf borderId="0" fillId="0" fontId="6" numFmtId="0" xfId="0" applyAlignment="1" applyFont="1">
      <alignment shrinkToFit="0" vertical="center" wrapText="1"/>
    </xf>
    <xf borderId="1" fillId="0" fontId="6" numFmtId="0" xfId="0" applyAlignment="1" applyBorder="1" applyFont="1">
      <alignment shrinkToFit="0" vertical="center" wrapText="1"/>
    </xf>
    <xf borderId="1" fillId="0" fontId="69" numFmtId="0" xfId="0" applyAlignment="1" applyBorder="1" applyFont="1">
      <alignment shrinkToFit="0" vertical="center" wrapText="1"/>
    </xf>
  </cellXfs>
  <cellStyles count="1">
    <cellStyle xfId="0" name="Normal" builtinId="0"/>
  </cellStyles>
  <dxfs count="9">
    <dxf>
      <font/>
      <fill>
        <patternFill patternType="solid">
          <fgColor rgb="FFCCCCCC"/>
          <bgColor rgb="FFCCCCCC"/>
        </patternFill>
      </fill>
      <border/>
    </dxf>
    <dxf>
      <font/>
      <fill>
        <patternFill patternType="solid">
          <fgColor rgb="FFFFFF00"/>
          <bgColor rgb="FFFFFF00"/>
        </patternFill>
      </fill>
      <border/>
    </dxf>
    <dxf>
      <font/>
      <fill>
        <patternFill patternType="solid">
          <fgColor rgb="FF434343"/>
          <bgColor rgb="FF434343"/>
        </patternFill>
      </fill>
      <border/>
    </dxf>
    <dxf>
      <font/>
      <fill>
        <patternFill patternType="solid">
          <fgColor rgb="FFB6D7A8"/>
          <bgColor rgb="FFB6D7A8"/>
        </patternFill>
      </fill>
      <border/>
    </dxf>
    <dxf>
      <font/>
      <fill>
        <patternFill patternType="solid">
          <fgColor rgb="FFFFE599"/>
          <bgColor rgb="FFFFE599"/>
        </patternFill>
      </fill>
      <border/>
    </dxf>
    <dxf>
      <font/>
      <fill>
        <patternFill patternType="solid">
          <fgColor rgb="FFFFFFFF"/>
          <bgColor rgb="FFFFFFFF"/>
        </patternFill>
      </fill>
      <border/>
    </dxf>
    <dxf>
      <font/>
      <fill>
        <patternFill patternType="solid">
          <fgColor rgb="FFFF0000"/>
          <bgColor rgb="FFFF0000"/>
        </patternFill>
      </fill>
      <border/>
    </dxf>
    <dxf>
      <font>
        <color rgb="FFEFEFEF"/>
      </font>
      <fill>
        <patternFill patternType="solid">
          <fgColor rgb="FFB7E1CD"/>
          <bgColor rgb="FFB7E1CD"/>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35" Type="http://schemas.openxmlformats.org/officeDocument/2006/relationships/worksheet" Target="worksheets/sheet32.xml"/><Relationship Id="rId34" Type="http://schemas.openxmlformats.org/officeDocument/2006/relationships/worksheet" Target="worksheets/sheet31.xml"/><Relationship Id="rId37" Type="http://schemas.openxmlformats.org/officeDocument/2006/relationships/worksheet" Target="worksheets/sheet34.xml"/><Relationship Id="rId36" Type="http://schemas.openxmlformats.org/officeDocument/2006/relationships/worksheet" Target="worksheets/sheet33.xml"/><Relationship Id="rId39" Type="http://schemas.openxmlformats.org/officeDocument/2006/relationships/pivotCacheDefinition" Target="pivotCache/pivotCacheDefinition2.xml"/><Relationship Id="rId38" Type="http://schemas.openxmlformats.org/officeDocument/2006/relationships/pivotCacheDefinition" Target="pivotCache/pivotCacheDefinition1.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Georgia"/>
              </a:defRPr>
            </a:pPr>
            <a:r>
              <a:rPr b="0">
                <a:solidFill>
                  <a:srgbClr val="FFFFFF"/>
                </a:solidFill>
                <a:latin typeface="Georgia"/>
              </a:rPr>
              <a:t>bb issue</a:t>
            </a:r>
          </a:p>
        </c:rich>
      </c:tx>
      <c:overlay val="0"/>
    </c:title>
    <c:plotArea>
      <c:layout/>
      <c:barChart>
        <c:barDir val="bar"/>
        <c:grouping val="stacked"/>
        <c:ser>
          <c:idx val="0"/>
          <c:order val="0"/>
          <c:tx>
            <c:strRef>
              <c:f>'Project Status'!$B$2</c:f>
            </c:strRef>
          </c:tx>
          <c:spPr>
            <a:solidFill>
              <a:srgbClr val="6AA84F"/>
            </a:solidFill>
            <a:ln cmpd="sng">
              <a:solidFill>
                <a:srgbClr val="000000"/>
              </a:solidFill>
            </a:ln>
          </c:spPr>
          <c:cat>
            <c:strRef>
              <c:f>'Project Status'!$A$3:$A$28</c:f>
            </c:strRef>
          </c:cat>
          <c:val>
            <c:numRef>
              <c:f>'Project Status'!$B$3:$B$28</c:f>
              <c:numCache/>
            </c:numRef>
          </c:val>
        </c:ser>
        <c:ser>
          <c:idx val="1"/>
          <c:order val="1"/>
          <c:tx>
            <c:strRef>
              <c:f>'Project Status'!$C$2</c:f>
            </c:strRef>
          </c:tx>
          <c:spPr>
            <a:solidFill>
              <a:srgbClr val="B6D7A8"/>
            </a:solidFill>
            <a:ln cmpd="sng">
              <a:solidFill>
                <a:srgbClr val="000000"/>
              </a:solidFill>
            </a:ln>
          </c:spPr>
          <c:cat>
            <c:strRef>
              <c:f>'Project Status'!$A$3:$A$28</c:f>
            </c:strRef>
          </c:cat>
          <c:val>
            <c:numRef>
              <c:f>'Project Status'!$C$3:$C$28</c:f>
              <c:numCache/>
            </c:numRef>
          </c:val>
        </c:ser>
        <c:ser>
          <c:idx val="2"/>
          <c:order val="2"/>
          <c:tx>
            <c:strRef>
              <c:f>'Project Status'!$D$2</c:f>
            </c:strRef>
          </c:tx>
          <c:spPr>
            <a:solidFill>
              <a:srgbClr val="6AA84F"/>
            </a:solidFill>
            <a:ln cmpd="sng">
              <a:solidFill>
                <a:srgbClr val="000000"/>
              </a:solidFill>
            </a:ln>
          </c:spPr>
          <c:cat>
            <c:strRef>
              <c:f>'Project Status'!$A$3:$A$28</c:f>
            </c:strRef>
          </c:cat>
          <c:val>
            <c:numRef>
              <c:f>'Project Status'!$D$3:$D$28</c:f>
              <c:numCache/>
            </c:numRef>
          </c:val>
        </c:ser>
        <c:ser>
          <c:idx val="3"/>
          <c:order val="3"/>
          <c:tx>
            <c:strRef>
              <c:f>'Project Status'!$E$2</c:f>
            </c:strRef>
          </c:tx>
          <c:spPr>
            <a:solidFill>
              <a:srgbClr val="FFFF00"/>
            </a:solidFill>
            <a:ln cmpd="sng">
              <a:solidFill>
                <a:srgbClr val="000000"/>
              </a:solidFill>
            </a:ln>
          </c:spPr>
          <c:cat>
            <c:strRef>
              <c:f>'Project Status'!$A$3:$A$28</c:f>
            </c:strRef>
          </c:cat>
          <c:val>
            <c:numRef>
              <c:f>'Project Status'!$E$3:$E$28</c:f>
              <c:numCache/>
            </c:numRef>
          </c:val>
        </c:ser>
        <c:overlap val="100"/>
        <c:axId val="1461622156"/>
        <c:axId val="896877779"/>
      </c:barChart>
      <c:catAx>
        <c:axId val="1461622156"/>
        <c:scaling>
          <c:orientation val="maxMin"/>
        </c:scaling>
        <c:delete val="0"/>
        <c:axPos val="l"/>
        <c:title>
          <c:tx>
            <c:rich>
              <a:bodyPr/>
              <a:lstStyle/>
              <a:p>
                <a:pPr lvl="0">
                  <a:defRPr b="0">
                    <a:solidFill>
                      <a:srgbClr val="000000"/>
                    </a:solidFill>
                    <a:latin typeface="Georgia"/>
                  </a:defRPr>
                </a:pPr>
                <a:r>
                  <a:rPr b="0">
                    <a:solidFill>
                      <a:srgbClr val="000000"/>
                    </a:solidFill>
                    <a:latin typeface="Georgia"/>
                  </a:rPr>
                  <a:t/>
                </a:r>
              </a:p>
            </c:rich>
          </c:tx>
          <c:overlay val="0"/>
        </c:title>
        <c:numFmt formatCode="General" sourceLinked="1"/>
        <c:majorTickMark val="none"/>
        <c:minorTickMark val="none"/>
        <c:spPr/>
        <c:txPr>
          <a:bodyPr/>
          <a:lstStyle/>
          <a:p>
            <a:pPr lvl="0">
              <a:defRPr b="0">
                <a:solidFill>
                  <a:srgbClr val="FFFFFF"/>
                </a:solidFill>
                <a:latin typeface="Georgia"/>
              </a:defRPr>
            </a:pPr>
          </a:p>
        </c:txPr>
        <c:crossAx val="896877779"/>
      </c:catAx>
      <c:valAx>
        <c:axId val="89687777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Georgia"/>
                  </a:defRPr>
                </a:pPr>
                <a:r>
                  <a:rPr b="0">
                    <a:solidFill>
                      <a:srgbClr val="000000"/>
                    </a:solidFill>
                    <a:latin typeface="Georgia"/>
                  </a:rPr>
                  <a:t/>
                </a:r>
              </a:p>
            </c:rich>
          </c:tx>
          <c:overlay val="0"/>
        </c:title>
        <c:numFmt formatCode="General" sourceLinked="1"/>
        <c:majorTickMark val="none"/>
        <c:minorTickMark val="none"/>
        <c:tickLblPos val="nextTo"/>
        <c:spPr>
          <a:ln/>
        </c:spPr>
        <c:txPr>
          <a:bodyPr/>
          <a:lstStyle/>
          <a:p>
            <a:pPr lvl="0">
              <a:defRPr b="0">
                <a:solidFill>
                  <a:srgbClr val="FFFFFF"/>
                </a:solidFill>
                <a:latin typeface="Georgia"/>
              </a:defRPr>
            </a:pPr>
          </a:p>
        </c:txPr>
        <c:crossAx val="1461622156"/>
        <c:crosses val="max"/>
      </c:valAx>
    </c:plotArea>
    <c:legend>
      <c:legendPos val="r"/>
      <c:overlay val="0"/>
      <c:txPr>
        <a:bodyPr/>
        <a:lstStyle/>
        <a:p>
          <a:pPr lvl="0">
            <a:defRPr b="0">
              <a:solidFill>
                <a:srgbClr val="FFFFFF"/>
              </a:solidFill>
              <a:latin typeface="Georgia"/>
            </a:defRPr>
          </a:pPr>
        </a:p>
      </c:txPr>
    </c:legend>
    <c:plotVisOnly val="1"/>
  </c:chart>
  <c:spPr>
    <a:solidFill>
      <a:srgbClr val="000000"/>
    </a:solidFill>
  </c:spPr>
</c:chartSpace>
</file>

<file path=xl/documenttasks/documenttask1.xml><?xml version="1.0" encoding="utf-8"?>
<Tasks xmlns="http://schemas.microsoft.com/office/tasks/2019/documenttasks"/>
</file>

<file path=xl/documenttasks/documenttask2.xml><?xml version="1.0" encoding="utf-8"?>
<Tasks xmlns="http://schemas.microsoft.com/office/tasks/2019/documenttasks">
  <Task id="{c0f9786e-0fa9-4c87-af9c-b91d7b924961}">
    <Anchor>
      <Comment id="{4102213e-47f2-454b-97b2-9881ec69ae12}"/>
    </Anchor>
    <History>
      <Event time="2017-07-06T08:55:36.00" id="{81d27d28-cbfa-4617-a442-808b26ddbed9}">
        <Attribution userId="placeholder@email.com" userName="Lifeng Fan" userProvider="google-sheets"/>
        <Anchor>
          <Comment id="{4102213e-47f2-454b-97b2-9881ec69ae12}"/>
        </Anchor>
        <Create/>
      </Event>
      <Event time="2017-07-06T08:55:36.00" id="{713285ef-f5b9-436f-9325-a0e2eafa80ed}">
        <Attribution userId="placeholder@email.com" userName="Lifeng Fan" userProvider="google-sheets"/>
        <Anchor>
          <Comment id="{4102213e-47f2-454b-97b2-9881ec69ae12}"/>
        </Anchor>
        <Assign userId="dongjk@motorola.com" userName="dongjk@motorola.com" userProvider="google-sheets"/>
      </Event>
    </History>
  </Task>
</Tasks>
</file>

<file path=xl/documenttasks/documenttask3.xml><?xml version="1.0" encoding="utf-8"?>
<Tasks xmlns="http://schemas.microsoft.com/office/tasks/2019/documenttasks">
  <Task id="{70482fb6-8ffc-4b53-874f-40024141ab34}">
    <Anchor>
      <Comment id="{ed59b608-20a1-46f1-9e2e-e31324a622b5}"/>
    </Anchor>
    <History>
      <Event time="2018-11-08T03:09:39.00" id="{f0a43c0b-788c-43bc-9cd4-16456eef43bb}">
        <Attribution userId="placeholder@email.com" userName="Lifeng Fan" userProvider="google-sheets"/>
        <Anchor>
          <Comment id="{ed59b608-20a1-46f1-9e2e-e31324a622b5}"/>
        </Anchor>
        <Create/>
      </Event>
      <Event time="2018-11-08T03:09:39.00" id="{03881210-d5ff-4c5e-abce-bc8aa00b829c}">
        <Attribution userId="placeholder@email.com" userName="Lifeng Fan" userProvider="google-sheets"/>
        <Anchor>
          <Comment id="{ed59b608-20a1-46f1-9e2e-e31324a622b5}"/>
        </Anchor>
        <Assign userProvider="google-sheets"/>
      </Event>
    </History>
  </Task>
  <Task id="{75051bfd-e500-4e3e-a374-a8b9b5a0f9af}">
    <Anchor>
      <Comment id="{98d23b00-16f5-4b0c-9087-d0f1460dbc4d}"/>
    </Anchor>
    <History>
      <Event time="2023-02-16T02:55:18.00" id="{13b22484-8c36-43e3-ae2b-2b58daa880c7}">
        <Attribution userId="placeholder@email.com" userName="Lifeng Fan" userProvider="google-sheets"/>
        <Anchor>
          <Comment id="{98d23b00-16f5-4b0c-9087-d0f1460dbc4d}"/>
        </Anchor>
        <Create/>
      </Event>
      <Event time="2023-02-16T02:55:18.00" id="{6a35c530-0b1c-406b-92e8-63da333495a5}">
        <Attribution userId="placeholder@email.com" userName="Lifeng Fan" userProvider="google-sheets"/>
        <Anchor>
          <Comment id="{98d23b00-16f5-4b0c-9087-d0f1460dbc4d}"/>
        </Anchor>
        <Assign userId="linfenga@motorola.com" userName="linfenga@motorola.com" userProvider="google-sheets"/>
      </Event>
    </History>
  </Task>
  <Task id="{2e8ce6aa-6c54-468f-aba0-46c4b6424a51}">
    <Anchor>
      <Comment id="{2a631668-bf1b-4d01-97fb-2cc697842ec8}"/>
    </Anchor>
    <History>
      <Event time="2026-05-13T03:11:19.00" id="{b92c62d9-51c0-4033-b219-66b5838883ca}">
        <Attribution userId="placeholder@email.com" userName="wenting chen" userProvider="google-sheets"/>
        <Anchor>
          <Comment id="{2a631668-bf1b-4d01-97fb-2cc697842ec8}"/>
        </Anchor>
        <Create/>
      </Event>
      <Event time="2026-05-13T03:11:19.00" id="{aba05907-7d77-42fe-8547-239d6c3fb35d}">
        <Attribution userId="placeholder@email.com" userName="wenting chen" userProvider="google-sheets"/>
        <Anchor>
          <Comment id="{2a631668-bf1b-4d01-97fb-2cc697842ec8}"/>
        </Anchor>
        <Assign userId="liguoa@motorola.com" userName="liguoa@motorola.com" userProvider="google-sheets"/>
      </Event>
    </History>
  </Task>
  <Task id="{33dca564-c5b7-4a44-b52d-8bb92b72e181}">
    <Anchor>
      <Comment id="{d3145a25-19ae-45f5-aa6a-48f9558b4fc5}"/>
    </Anchor>
    <History>
      <Event time="2019-08-01T06:07:34.00" id="{43bb277b-3e7b-41e2-bd93-15020fc027ff}">
        <Attribution userId="placeholder@email.com" userName="Guo Li" userProvider="google-sheets"/>
        <Anchor>
          <Comment id="{d3145a25-19ae-45f5-aa6a-48f9558b4fc5}"/>
        </Anchor>
        <Create/>
      </Event>
      <Event time="2019-08-01T06:07:34.00" id="{ee73a8ad-5303-42f6-b74b-449eff554774}">
        <Attribution userId="placeholder@email.com" userName="Guo Li" userProvider="google-sheets"/>
        <Anchor>
          <Comment id="{d3145a25-19ae-45f5-aa6a-48f9558b4fc5}"/>
        </Anchor>
        <Assign userId="chenbang3@motorola.com" userName="chenbang3@motorola.com" userProvider="google-sheets"/>
      </Event>
    </History>
  </Task>
</Tasks>
</file>

<file path=xl/documenttasks/documenttask4.xml><?xml version="1.0" encoding="utf-8"?>
<Tasks xmlns="http://schemas.microsoft.com/office/tasks/2019/documenttasks">
  <Task id="{e3b294ff-2c67-4c6e-8b70-3feefb924013}">
    <Anchor>
      <Comment id="{ba2aefbe-6fbf-41a2-a8e6-cbd5ee563d1b}"/>
    </Anchor>
    <History>
      <Event time="2025-12-10T02:21:38.00" id="{cf399495-d82b-4908-a5ba-834939d8c85f}">
        <Attribution userId="placeholder@email.com" userName="zhihao xiao" userProvider="google-sheets"/>
        <Anchor>
          <Comment id="{ba2aefbe-6fbf-41a2-a8e6-cbd5ee563d1b}"/>
        </Anchor>
        <Create/>
      </Event>
      <Event time="2025-12-10T02:21:38.00" id="{5e7de77d-e221-4723-85ed-38de090bf7f9}">
        <Attribution userId="placeholder@email.com" userName="zhihao xiao" userProvider="google-sheets"/>
        <Anchor>
          <Comment id="{ba2aefbe-6fbf-41a2-a8e6-cbd5ee563d1b}"/>
        </Anchor>
        <Assign userId="liguoa@motorola.com" userName="liguoa@motorola.com" userProvider="google-sheets"/>
      </Event>
    </History>
  </Task>
  <Task id="{31d4ac83-8b83-4c5c-8f99-09d8a8280938}">
    <Anchor>
      <Comment id="{aeede61d-0c62-4c72-b09c-dce1fc8df717}"/>
    </Anchor>
    <History>
      <Event time="2025-11-12T10:56:43.00" id="{ab1bba8a-68a0-4d71-b196-0ec870fb7c27}">
        <Attribution userId="placeholder@email.com" userName="wenting chen" userProvider="google-sheets"/>
        <Anchor>
          <Comment id="{aeede61d-0c62-4c72-b09c-dce1fc8df717}"/>
        </Anchor>
        <Create/>
      </Event>
      <Event time="2025-11-12T10:56:43.00" id="{48ae22f3-f955-41f4-9bd3-e9f08711b1e0}">
        <Attribution userId="placeholder@email.com" userName="wenting chen" userProvider="google-sheets"/>
        <Anchor>
          <Comment id="{aeede61d-0c62-4c72-b09c-dce1fc8df717}"/>
        </Anchor>
        <Assign userId="liaozl2@motorola.com" userName="liaozl2@motorola.com" userProvider="google-sheets"/>
      </Event>
    </History>
  </Task>
</Tasks>
</file>

<file path=xl/documenttasks/documenttask5.xml><?xml version="1.0" encoding="utf-8"?>
<Tasks xmlns="http://schemas.microsoft.com/office/tasks/2019/documenttasks">
  <Task id="{4f0ac4bf-1aca-44c2-b5b4-f3b30c1fd3b1}">
    <Anchor>
      <Comment id="{f8cec7c5-cb1b-4114-aec0-ebcebf87290b}"/>
    </Anchor>
    <History>
      <Event time="2025-09-02T09:05:19.00" id="{01ef83d8-475a-431a-bac6-2c1dfcaa9cc6}">
        <Attribution userId="placeholder@email.com" userName="wenting chen" userProvider="google-sheets"/>
        <Anchor>
          <Comment id="{f8cec7c5-cb1b-4114-aec0-ebcebf87290b}"/>
        </Anchor>
        <Create/>
      </Event>
      <Event time="2025-09-02T09:05:19.00" id="{0913b511-0f1b-440a-ba75-d2f76aa80e8b}">
        <Attribution userId="placeholder@email.com" userName="wenting chen" userProvider="google-sheets"/>
        <Anchor>
          <Comment id="{f8cec7c5-cb1b-4114-aec0-ebcebf87290b}"/>
        </Anchor>
        <Assign userId="xiongsn1@motorola.com" userName="xiongsn1@motorola.com" userProvider="google-sheets"/>
      </Event>
    </History>
  </Task>
  <Task id="{1a50ba96-7747-48b4-b365-a9223000719e}">
    <Anchor>
      <Comment id="{6f001744-fb95-49b2-a8a9-41c0a0eb4ff1}"/>
    </Anchor>
    <History>
      <Event time="2025-10-21T09:14:36.00" id="{a8ba6b05-d170-4898-a722-66d7e76c05aa}">
        <Attribution userId="placeholder@email.com" userName="wenting chen" userProvider="google-sheets"/>
        <Anchor>
          <Comment id="{6f001744-fb95-49b2-a8a9-41c0a0eb4ff1}"/>
        </Anchor>
        <Create/>
      </Event>
      <Event time="2025-10-21T09:14:36.00" id="{ddd22b1b-bf9e-4662-b4dc-67781effe5d0}">
        <Attribution userId="placeholder@email.com" userName="wenting chen" userProvider="google-sheets"/>
        <Anchor>
          <Comment id="{6f001744-fb95-49b2-a8a9-41c0a0eb4ff1}"/>
        </Anchor>
        <Assign userId="liguoa@motorola.com" userName="liguoa@motorola.com" userProvider="google-sheets"/>
      </Event>
    </History>
  </Task>
  <Task id="{16a29228-359f-4e61-bc03-b051b05b705c}">
    <Anchor>
      <Comment id="{5acd384f-f5ec-4395-bca3-8323647bcfc5}"/>
    </Anchor>
    <History>
      <Event time="2026-01-05T08:50:21.00" id="{e9a50534-165e-43eb-ab1b-a042d54a189f}">
        <Attribution userId="placeholder@email.com" userName="wenting chen" userProvider="google-sheets"/>
        <Anchor>
          <Comment id="{5acd384f-f5ec-4395-bca3-8323647bcfc5}"/>
        </Anchor>
        <Create/>
      </Event>
      <Event time="2026-01-05T08:50:21.00" id="{6f0918eb-11ee-4a41-9c30-88f74c1f04fe}">
        <Attribution userId="placeholder@email.com" userName="wenting chen" userProvider="google-sheets"/>
        <Anchor>
          <Comment id="{5acd384f-f5ec-4395-bca3-8323647bcfc5}"/>
        </Anchor>
        <Assign userId="dongjk@motorola.com" userName="dongjk@motorola.com" userProvider="google-sheets"/>
      </Event>
    </History>
  </Task>
</Tasks>
</file>

<file path=xl/documenttasks/documenttask6.xml><?xml version="1.0" encoding="utf-8"?>
<Tasks xmlns="http://schemas.microsoft.com/office/tasks/2019/documenttasks">
  <Task id="{2d74b4ef-5dd6-4fec-9d66-a965fd258d2d}">
    <Anchor>
      <Comment id="{ecf9a45a-7628-42d8-b62d-def0b80ce024}"/>
    </Anchor>
    <History>
      <Event time="2024-12-05T09:04:58.00" id="{245d6e67-7c8f-4537-a9bc-7a8e64e6fd91}">
        <Attribution userId="placeholder@email.com" userName="zhihao xiao" userProvider="google-sheets"/>
        <Anchor>
          <Comment id="{ecf9a45a-7628-42d8-b62d-def0b80ce024}"/>
        </Anchor>
        <Create/>
      </Event>
      <Event time="2024-12-05T09:04:58.00" id="{7b8d7f30-cdb9-4428-b2aa-c3a1a4332ed3}">
        <Attribution userId="placeholder@email.com" userName="zhihao xiao" userProvider="google-sheets"/>
        <Anchor>
          <Comment id="{ecf9a45a-7628-42d8-b62d-def0b80ce024}"/>
        </Anchor>
        <Assign userId="liaozl2@motorola.com" userName="liaozl2@motorola.com" userProvider="google-sheets"/>
      </Event>
    </History>
  </Task>
  <Task id="{4a38d95e-1fd6-45d9-a6cd-0735e4354c57}">
    <Anchor>
      <Comment id="{dfe11912-7556-4ca0-b5ac-81e066f46eff}"/>
    </Anchor>
    <History>
      <Event time="2024-12-10T01:47:44.00" id="{cf709713-78fa-471a-83b4-219b33bd64f6}">
        <Attribution userId="placeholder@email.com" userName="zhihao xiao" userProvider="google-sheets"/>
        <Anchor>
          <Comment id="{dfe11912-7556-4ca0-b5ac-81e066f46eff}"/>
        </Anchor>
        <Create/>
      </Event>
      <Event time="2024-12-10T01:47:44.00" id="{756ed18b-a9e5-4e2d-8af0-5d94a9a46982}">
        <Attribution userId="placeholder@email.com" userName="zhihao xiao" userProvider="google-sheets"/>
        <Anchor>
          <Comment id="{dfe11912-7556-4ca0-b5ac-81e066f46eff}"/>
        </Anchor>
        <Assign userId="xiongsn1@motorola.com" userName="xiongsn1@motorola.com" userProvider="google-sheets"/>
      </Event>
    </History>
  </Task>
  <Task id="{7d5560ce-6f58-4bf1-a449-753d452a5295}">
    <Anchor>
      <Comment id="{a3edef9f-b431-4144-b543-bb26525acc07}"/>
    </Anchor>
    <History>
      <Event time="2024-11-27T06:11:22.00" id="{c364fc61-8bee-4f78-9c90-99e6a399b35b}">
        <Attribution userId="placeholder@email.com" userName="wenting chen" userProvider="google-sheets"/>
        <Anchor>
          <Comment id="{a3edef9f-b431-4144-b543-bb26525acc07}"/>
        </Anchor>
        <Create/>
      </Event>
      <Event time="2024-11-27T06:11:22.00" id="{64535e9a-f960-46cc-aa82-47f678b8a602}">
        <Attribution userId="placeholder@email.com" userName="wenting chen" userProvider="google-sheets"/>
        <Anchor>
          <Comment id="{a3edef9f-b431-4144-b543-bb26525acc07}"/>
        </Anchor>
        <Assign userId="xiongsn1@motorola.com" userName="xiongsn1@motorola.com" userProvider="google-sheets"/>
      </Event>
    </History>
  </Task>
  <Task id="{ff3be1b5-e634-4b66-b0dd-b066ba2a98b6}">
    <Anchor>
      <Comment id="{3fe16069-51b9-4c27-946e-c7d8040cf894}"/>
    </Anchor>
    <History>
      <Event time="2024-12-04T02:18:56.00" id="{2abe4350-3654-4cc2-b7eb-af160b249ca7}">
        <Attribution userId="placeholder@email.com" userName="zhihao xiao" userProvider="google-sheets"/>
        <Anchor>
          <Comment id="{3fe16069-51b9-4c27-946e-c7d8040cf894}"/>
        </Anchor>
        <Create/>
      </Event>
      <Event time="2024-12-04T02:18:56.00" id="{34e37b72-49b7-41cc-8683-2a7ce76b9d47}">
        <Attribution userId="placeholder@email.com" userName="zhihao xiao" userProvider="google-sheets"/>
        <Anchor>
          <Comment id="{3fe16069-51b9-4c27-946e-c7d8040cf894}"/>
        </Anchor>
        <Assign userId="xiongsn1@motorola.com" userName="xiongsn1@motorola.com" userProvider="google-sheets"/>
      </Event>
    </History>
  </Task>
</Tasks>
</file>

<file path=xl/documenttasks/documenttask7.xml><?xml version="1.0" encoding="utf-8"?>
<Tasks xmlns="http://schemas.microsoft.com/office/tasks/2019/documenttasks">
  <Task id="{9458be4e-5126-4dec-907e-5cd31bc0a374}">
    <Anchor>
      <Comment id="{d4b4878a-b396-42ec-9d42-b11bfb12075e}"/>
    </Anchor>
    <History>
      <Event time="2024-12-05T02:51:47.00" id="{09dce827-47f4-4f3f-8862-316585b8e843}">
        <Attribution userId="placeholder@email.com" userName="wenting chen" userProvider="google-sheets"/>
        <Anchor>
          <Comment id="{d4b4878a-b396-42ec-9d42-b11bfb12075e}"/>
        </Anchor>
        <Create/>
      </Event>
      <Event time="2024-12-05T02:51:47.00" id="{4c0e451f-e7ed-48b8-a02f-2dc92b38dcc3}">
        <Attribution userId="placeholder@email.com" userName="wenting chen" userProvider="google-sheets"/>
        <Anchor>
          <Comment id="{d4b4878a-b396-42ec-9d42-b11bfb12075e}"/>
        </Anchor>
        <Assign userId="wuxm5@motorola.com" userName="wuxm5@motorola.com" userProvider="google-sheets"/>
      </Event>
    </History>
  </Task>
  <Task id="{879be243-9d06-4d6d-957d-2db289378dda}">
    <Anchor>
      <Comment id="{e3e9efe0-3efb-4999-b163-f8fef3ac9f44}"/>
    </Anchor>
    <History>
      <Event time="2024-08-30T08:08:41.00" id="{5ea8b520-efbb-4a68-bbd3-69544bb74925}">
        <Attribution userId="placeholder@email.com" userName="wenting chen" userProvider="google-sheets"/>
        <Anchor>
          <Comment id="{e3e9efe0-3efb-4999-b163-f8fef3ac9f44}"/>
        </Anchor>
        <Create/>
      </Event>
      <Event time="2024-08-30T08:08:41.00" id="{dd8d72df-8cbe-4907-8673-3afae2d8ebd9}">
        <Attribution userId="placeholder@email.com" userName="wenting chen" userProvider="google-sheets"/>
        <Anchor>
          <Comment id="{e3e9efe0-3efb-4999-b163-f8fef3ac9f44}"/>
        </Anchor>
        <Assign userId="changfm1@motorola.com" userName="changfm1@motorola.com" userProvider="google-sheets"/>
      </Event>
    </History>
  </Task>
  <Task id="{8db0949e-db6d-4332-aa03-30ec1c5dcb4f}">
    <Anchor>
      <Comment id="{e6c60b54-e3cb-46b5-97f7-5e50b39f2d01}"/>
    </Anchor>
    <History>
      <Event time="2024-09-20T01:59:41.00" id="{4b0e25cd-21b4-4fba-9868-ed55c6a43815}">
        <Attribution userId="placeholder@email.com" userName="wenting chen" userProvider="google-sheets"/>
        <Anchor>
          <Comment id="{e6c60b54-e3cb-46b5-97f7-5e50b39f2d01}"/>
        </Anchor>
        <Create/>
      </Event>
      <Event time="2024-09-20T01:59:41.00" id="{14e7538c-5b32-49c2-b320-a915106634fc}">
        <Attribution userId="placeholder@email.com" userName="wenting chen" userProvider="google-sheets"/>
        <Anchor>
          <Comment id="{e6c60b54-e3cb-46b5-97f7-5e50b39f2d01}"/>
        </Anchor>
        <Assign userId="xiaozh1@motorola.com" userName="xiaozh1@motorola.com" userProvider="google-sheets"/>
      </Event>
    </History>
  </Task>
</Tasks>
</file>

<file path=xl/documenttasks/documenttask8.xml><?xml version="1.0" encoding="utf-8"?>
<Tasks xmlns="http://schemas.microsoft.com/office/tasks/2019/documenttasks">
  <Task id="{5bede64b-3b9c-4cae-9397-a1cb70433d15}">
    <Anchor>
      <Comment id="{15202aee-ff4c-44a0-899e-7627f6feb436}"/>
    </Anchor>
    <History>
      <Event time="2024-10-29T10:41:24.00" id="{9badddc1-f6e9-4995-95b3-c39e75bd0866}">
        <Attribution userId="placeholder@email.com" userName="wenting chen" userProvider="google-sheets"/>
        <Anchor>
          <Comment id="{15202aee-ff4c-44a0-899e-7627f6feb436}"/>
        </Anchor>
        <Create/>
      </Event>
      <Event time="2024-10-29T10:41:24.00" id="{2f65874e-4ab2-4882-a7a5-46ff95f9bf6d}">
        <Attribution userId="placeholder@email.com" userName="wenting chen" userProvider="google-sheets"/>
        <Anchor>
          <Comment id="{15202aee-ff4c-44a0-899e-7627f6feb436}"/>
        </Anchor>
        <Assign userId="liguoa@motorola.com" userName="liguoa@motorola.com" userProvider="google-sheets"/>
      </Event>
    </History>
  </Task>
</Tasks>
</file>

<file path=xl/documenttasks/documenttask9.xml><?xml version="1.0" encoding="utf-8"?>
<Tasks xmlns="http://schemas.microsoft.com/office/tasks/2019/documenttasks">
  <Task id="{45422503-b797-494f-8ccc-6fac65e85b0b}">
    <Anchor>
      <Comment id="{6244583b-5aa2-43b2-9750-4d2a419a37f9}"/>
    </Anchor>
    <History>
      <Event time="2024-04-23T09:14:53.00" id="{6992fdc4-9bb7-41d3-af68-6ea53afee0b6}">
        <Attribution userId="placeholder@email.com" userName="wenting chen" userProvider="google-sheets"/>
        <Anchor>
          <Comment id="{6244583b-5aa2-43b2-9750-4d2a419a37f9}"/>
        </Anchor>
        <Create/>
      </Event>
      <Event time="2024-04-23T09:14:53.00" id="{5cd1a25d-d4b5-4b3e-898a-c6b22d12c515}">
        <Attribution userId="placeholder@email.com" userName="wenting chen" userProvider="google-sheets"/>
        <Anchor>
          <Comment id="{6244583b-5aa2-43b2-9750-4d2a419a37f9}"/>
        </Anchor>
        <Assign userId="xiaozh1@motorola.com" userName="xiaozh1@motorola.com" userProvider="google-sheets"/>
      </Event>
    </History>
  </Task>
  <Task id="{943b4ed6-5aec-49c0-bfce-d9ec4a45b63a}">
    <Anchor>
      <Comment id="{4583aa14-fc12-4cf8-99a5-bb0457259b90}"/>
    </Anchor>
    <History>
      <Event time="2024-03-18T08:50:56.00" id="{2db110db-6636-4e0a-a379-e59ddd230536}">
        <Attribution userId="placeholder@email.com" userName="wenting chen" userProvider="google-sheets"/>
        <Anchor>
          <Comment id="{4583aa14-fc12-4cf8-99a5-bb0457259b90}"/>
        </Anchor>
        <Create/>
      </Event>
      <Event time="2024-03-18T08:50:56.00" id="{3c4030e9-953d-4d69-a66e-74416e61804c}">
        <Attribution userId="placeholder@email.com" userName="wenting chen" userProvider="google-sheets"/>
        <Anchor>
          <Comment id="{4583aa14-fc12-4cf8-99a5-bb0457259b90}"/>
        </Anchor>
        <Assign userId="wuxm5@motorola.com" userName="wuxm5@motorola.com" userProvider="google-sheets"/>
      </Event>
    </History>
  </Task>
</Tasks>
</file>

<file path=xl/documenttasks/documenttask10.xml><?xml version="1.0" encoding="utf-8"?>
<Tasks xmlns="http://schemas.microsoft.com/office/tasks/2019/documenttasks"/>
</file>

<file path=xl/documenttasks/documenttask11.xml><?xml version="1.0" encoding="utf-8"?>
<Tasks xmlns="http://schemas.microsoft.com/office/tasks/2019/documenttasks"/>
</file>

<file path=xl/documenttasks/documenttask12.xml><?xml version="1.0" encoding="utf-8"?>
<Tasks xmlns="http://schemas.microsoft.com/office/tasks/2019/documenttasks"/>
</file>

<file path=xl/documenttasks/documenttask13.xml><?xml version="1.0" encoding="utf-8"?>
<Tasks xmlns="http://schemas.microsoft.com/office/tasks/2019/documenttasks">
  <Task id="{3bec931d-10a4-4dee-8fb6-e1a7411fa136}">
    <Anchor>
      <Comment id="{46c4f988-7c12-4008-9e38-fc4001b555db}"/>
    </Anchor>
    <History>
      <Event time="2022-01-10T08:53:31.00" id="{87ff6c79-7117-4555-b792-b6604140d105}">
        <Attribution userId="placeholder@email.com" userName="wenting chen" userProvider="google-sheets"/>
        <Anchor>
          <Comment id="{46c4f988-7c12-4008-9e38-fc4001b555db}"/>
        </Anchor>
        <Create/>
      </Event>
      <Event time="2022-01-10T08:53:31.00" id="{df1ad17f-a890-4a27-a0b7-747da8c81492}">
        <Attribution userId="placeholder@email.com" userName="wenting chen" userProvider="google-sheets"/>
        <Anchor>
          <Comment id="{46c4f988-7c12-4008-9e38-fc4001b555db}"/>
        </Anchor>
        <Assign userId="linfenga@motorola.com" userName="linfenga@motorola.com" userProvider="google-sheets"/>
      </Event>
    </History>
  </Task>
</Tasks>
</file>

<file path=xl/documenttasks/documenttask14.xml><?xml version="1.0" encoding="utf-8"?>
<Tasks xmlns="http://schemas.microsoft.com/office/tasks/2019/documenttasks">
  <Task id="{f1216cce-a4b5-482b-97fd-a645c15ba38d}">
    <Anchor>
      <Comment id="{4295eb03-c0e7-4557-a744-056b47fd6c2e}"/>
    </Anchor>
    <History>
      <Event time="2021-11-01T02:14:00.00" id="{3a62b2fb-148f-4dc1-be06-17f7466615e4}">
        <Attribution userId="placeholder@email.com" userName="Lifeng Fan" userProvider="google-sheets"/>
        <Anchor>
          <Comment id="{4295eb03-c0e7-4557-a744-056b47fd6c2e}"/>
        </Anchor>
        <Create/>
      </Event>
      <Event time="2021-11-01T02:14:00.00" id="{1086aba7-b221-459a-adb5-d70f5b30613c}">
        <Attribution userId="placeholder@email.com" userName="Lifeng Fan" userProvider="google-sheets"/>
        <Anchor>
          <Comment id="{4295eb03-c0e7-4557-a744-056b47fd6c2e}"/>
        </Anchor>
        <Assign userId="wuxm5@motorola.com" userName="wuxm5@motorola.com" userProvider="google-sheets"/>
      </Event>
    </History>
  </Task>
  <Task id="{fd9897fb-f3bc-44b4-a599-ce26a5f50323}">
    <Anchor>
      <Comment id="{1fc45166-dcc1-4375-8ce8-61fe695b4c1e}"/>
    </Anchor>
    <History>
      <Event time="2021-11-04T07:16:04.00" id="{2ee0f487-82a9-42d7-9bb1-d0567e379832}">
        <Attribution userId="placeholder@email.com" userName="Guo Li" userProvider="google-sheets"/>
        <Anchor>
          <Comment id="{1fc45166-dcc1-4375-8ce8-61fe695b4c1e}"/>
        </Anchor>
        <Create/>
      </Event>
      <Event time="2021-11-04T07:16:04.00" id="{d5684910-90f6-4834-a904-c09bc9186afc}">
        <Attribution userId="placeholder@email.com" userName="Guo Li" userProvider="google-sheets"/>
        <Anchor>
          <Comment id="{1fc45166-dcc1-4375-8ce8-61fe695b4c1e}"/>
        </Anchor>
        <Assign userId="xiongsn1@motorola.com" userName="xiongsn1@motorola.com" userProvider="google-sheets"/>
      </Event>
    </History>
  </Task>
  <Task id="{deddc357-9d63-407b-9e12-0bd403bac215}">
    <Anchor>
      <Comment id="{556e8fd1-f5d5-43df-aa8c-6a13db46d0d7}"/>
    </Anchor>
    <History>
      <Event time="2021-12-08T01:53:57.00" id="{581317ac-eeeb-4770-b444-74df0fee8afe}">
        <Attribution userId="placeholder@email.com" userName="Guo Li" userProvider="google-sheets"/>
        <Anchor>
          <Comment id="{556e8fd1-f5d5-43df-aa8c-6a13db46d0d7}"/>
        </Anchor>
        <Create/>
      </Event>
      <Event time="2021-12-08T01:53:57.00" id="{2d3e0bcc-c285-449b-830e-71b1be107364}">
        <Attribution userId="placeholder@email.com" userName="Guo Li" userProvider="google-sheets"/>
        <Anchor>
          <Comment id="{556e8fd1-f5d5-43df-aa8c-6a13db46d0d7}"/>
        </Anchor>
        <Assign userId="wuxm5@motorola.com" userName="wuxm5@motorola.com" userProvider="google-sheets"/>
      </Event>
    </History>
  </Task>
  <Task id="{37483c9c-e708-44ae-9531-7c39b66c5cfd}">
    <Anchor>
      <Comment id="{58c1d8cd-ad4e-4325-a805-139de3e2db9f}"/>
    </Anchor>
    <History>
      <Event time="2021-11-04T06:44:13.00" id="{7cf0c2c3-9272-4d59-8062-7424edc465bb}">
        <Attribution userId="placeholder@email.com" userName="Guo Li" userProvider="google-sheets"/>
        <Anchor>
          <Comment id="{58c1d8cd-ad4e-4325-a805-139de3e2db9f}"/>
        </Anchor>
        <Create/>
      </Event>
      <Event time="2021-11-04T06:44:13.00" id="{88cfd320-0c91-41f4-a209-cc456193bdda}">
        <Attribution userId="placeholder@email.com" userName="Guo Li" userProvider="google-sheets"/>
        <Anchor>
          <Comment id="{58c1d8cd-ad4e-4325-a805-139de3e2db9f}"/>
        </Anchor>
        <Assign userId="dongjk@motorola.com" userName="dongjk@motorola.com" userProvider="google-sheets"/>
      </Event>
    </History>
  </Task>
</Tasks>
</file>

<file path=xl/documenttasks/documenttask15.xml><?xml version="1.0" encoding="utf-8"?>
<Tasks xmlns="http://schemas.microsoft.com/office/tasks/2019/documenttasks"/>
</file>

<file path=xl/documenttasks/documenttask16.xml><?xml version="1.0" encoding="utf-8"?>
<Tasks xmlns="http://schemas.microsoft.com/office/tasks/2019/documenttasks">
  <Task id="{3afc6dc9-4034-4177-a508-fcfbeb56d8da}">
    <Anchor>
      <Comment id="{131ba642-aa18-42dc-b54c-7945087ec023}"/>
    </Anchor>
    <History>
      <Event time="2021-05-27T06:03:09.00" id="{b3178957-a73d-488a-ac52-6f7af6fb57b8}">
        <Attribution userId="placeholder@email.com" userName="Lifeng Fan" userProvider="google-sheets"/>
        <Anchor>
          <Comment id="{131ba642-aa18-42dc-b54c-7945087ec023}"/>
        </Anchor>
        <Create/>
      </Event>
      <Event time="2021-05-27T06:03:09.00" id="{0474bd37-a4b2-4905-8c6c-a6125fc3baba}">
        <Attribution userId="placeholder@email.com" userName="Lifeng Fan" userProvider="google-sheets"/>
        <Anchor>
          <Comment id="{131ba642-aa18-42dc-b54c-7945087ec023}"/>
        </Anchor>
        <Assign userProvider="google-sheets"/>
      </Event>
    </History>
  </Task>
  <Task id="{772327a4-4ef2-49b5-8ed0-27ebd65caf2c}">
    <Anchor>
      <Comment id="{c941cfce-d1fc-4406-9ba5-ffdd7a9c82ab}"/>
    </Anchor>
    <History>
      <Event time="2021-05-18T07:07:34.00" id="{af0b0118-437a-43ca-a232-44b8e5e45ea6}">
        <Attribution userId="placeholder@email.com" userName="wenting chen" userProvider="google-sheets"/>
        <Anchor>
          <Comment id="{c941cfce-d1fc-4406-9ba5-ffdd7a9c82ab}"/>
        </Anchor>
        <Create/>
      </Event>
      <Event time="2021-05-18T07:07:34.00" id="{8259ef6b-20d1-4701-8f66-d22411215e63}">
        <Attribution userId="placeholder@email.com" userName="wenting chen" userProvider="google-sheets"/>
        <Anchor>
          <Comment id="{c941cfce-d1fc-4406-9ba5-ffdd7a9c82ab}"/>
        </Anchor>
        <Assign userId="liguoa@motorola.com" userName="liguoa@motorola.com" userProvider="google-sheets"/>
      </Event>
    </History>
  </Task>
  <Task id="{59af576a-203b-458a-a62c-c0b237af40be}">
    <Anchor>
      <Comment id="{ef5d4f03-70b9-4a6e-8ea4-da5c10d2c960}"/>
    </Anchor>
    <History>
      <Event time="2021-03-29T08:46:34.00" id="{32f66db1-45c2-42ae-8801-daac1f5c0186}">
        <Attribution userId="placeholder@email.com" userName="Lifeng Fan" userProvider="google-sheets"/>
        <Anchor>
          <Comment id="{ef5d4f03-70b9-4a6e-8ea4-da5c10d2c960}"/>
        </Anchor>
        <Create/>
      </Event>
      <Event time="2021-03-29T08:46:34.00" id="{0b3eee00-39ea-40a8-acc5-77b2966247fd}">
        <Attribution userId="placeholder@email.com" userName="Lifeng Fan" userProvider="google-sheets"/>
        <Anchor>
          <Comment id="{ef5d4f03-70b9-4a6e-8ea4-da5c10d2c960}"/>
        </Anchor>
        <Assign userProvider="google-sheets"/>
      </Event>
    </History>
  </Task>
</Tasks>
</file>

<file path=xl/documenttasks/documenttask17.xml><?xml version="1.0" encoding="utf-8"?>
<Tasks xmlns="http://schemas.microsoft.com/office/tasks/2019/documenttasks">
  <Task id="{b783105f-9a19-46ec-baa6-aa5328bcd116}">
    <Anchor>
      <Comment id="{a2a55b17-0b5e-410f-9e2f-bc3d8d7ab498}"/>
    </Anchor>
    <History>
      <Event time="2021-04-06T06:05:24.00" id="{fb2f3045-7472-4d46-93fc-c288bc2306c2}">
        <Attribution userId="placeholder@email.com" userName="Lifeng Fan" userProvider="google-sheets"/>
        <Anchor>
          <Comment id="{a2a55b17-0b5e-410f-9e2f-bc3d8d7ab498}"/>
        </Anchor>
        <Create/>
      </Event>
      <Event time="2021-04-06T06:05:24.00" id="{ee69f887-f77e-44bd-9791-30513ecbd86e}">
        <Attribution userId="placeholder@email.com" userName="Lifeng Fan" userProvider="google-sheets"/>
        <Anchor>
          <Comment id="{a2a55b17-0b5e-410f-9e2f-bc3d8d7ab498}"/>
        </Anchor>
        <Assign userId="xiaozh1@motorola.com" userName="xiaozh1@motorola.com" userProvider="google-sheets"/>
      </Event>
    </History>
  </Task>
</Tasks>
</file>

<file path=xl/documenttasks/documenttask18.xml><?xml version="1.0" encoding="utf-8"?>
<Tasks xmlns="http://schemas.microsoft.com/office/tasks/2019/documenttasks">
  <Task id="{f4f90605-770d-47c8-aef5-c0ce11b20030}">
    <Anchor>
      <Comment id="{cf539255-6474-4602-8d55-367bc5a9a38e}"/>
    </Anchor>
    <History>
      <Event time="2019-07-25T02:16:16.00" id="{e83f8784-b229-4112-8c19-dfb83ed88368}">
        <Attribution userId="placeholder@email.com" userName="Lifeng Fan" userProvider="google-sheets"/>
        <Anchor>
          <Comment id="{cf539255-6474-4602-8d55-367bc5a9a38e}"/>
        </Anchor>
        <Create/>
      </Event>
      <Event time="2019-07-25T02:16:16.00" id="{f112634b-a136-4f2c-8b6c-aec06f7b9ba9}">
        <Attribution userId="placeholder@email.com" userName="Lifeng Fan" userProvider="google-sheets"/>
        <Anchor>
          <Comment id="{cf539255-6474-4602-8d55-367bc5a9a38e}"/>
        </Anchor>
        <Assign userId="xiaozh1@motorola.com" userName="xiaozh1@motorola.com" userProvider="google-sheets"/>
      </Event>
    </History>
  </Task>
  <Task id="{c6e030d3-9f32-4f07-8fd7-b59445017e4b}">
    <Anchor>
      <Comment id="{9c72d94c-606e-4fa1-bbd0-c7b8f690ebed}"/>
    </Anchor>
    <History>
      <Event time="2018-07-23T10:24:54.00" id="{d1443e10-9292-4041-92f3-37d5e4d7b380}">
        <Attribution userId="placeholder@email.com" userName="Lifeng Fan" userProvider="google-sheets"/>
        <Anchor>
          <Comment id="{9c72d94c-606e-4fa1-bbd0-c7b8f690ebed}"/>
        </Anchor>
        <Create/>
      </Event>
      <Event time="2018-07-23T10:24:54.00" id="{44b42aa6-a1a5-4019-b334-deab27e64d69}">
        <Attribution userId="placeholder@email.com" userName="Lifeng Fan" userProvider="google-sheets"/>
        <Anchor>
          <Comment id="{9c72d94c-606e-4fa1-bbd0-c7b8f690ebed}"/>
        </Anchor>
        <Assign userId="chenwt@motorola.com" userName="chenwt@motorola.com" userProvider="google-sheets"/>
      </Event>
    </History>
  </Task>
  <Task id="{8be54285-e641-41d3-aed2-75b5d1bcc477}">
    <Anchor>
      <Comment id="{b3008a2c-39eb-4092-9632-5e2d0a996951}"/>
    </Anchor>
    <History>
      <Event time="2018-11-14T11:13:42.00" id="{f61e6b38-8713-427d-8d3c-09080d1b78ff}">
        <Attribution userId="placeholder@email.com" userName="Lifeng Fan" userProvider="google-sheets"/>
        <Anchor>
          <Comment id="{b3008a2c-39eb-4092-9632-5e2d0a996951}"/>
        </Anchor>
        <Create/>
      </Event>
      <Event time="2018-11-14T11:13:42.00" id="{b0bc6b20-9844-49e2-a644-91d91d5194ae}">
        <Attribution userId="placeholder@email.com" userName="Lifeng Fan" userProvider="google-sheets"/>
        <Anchor>
          <Comment id="{b3008a2c-39eb-4092-9632-5e2d0a996951}"/>
        </Anchor>
        <Assign userId="liguoa@motorola.com" userName="liguoa@motorola.com" userProvider="google-sheets"/>
      </Event>
    </History>
  </Task>
  <Task id="{89f2e777-a8b7-40da-a50e-a88913778748}">
    <Anchor>
      <Comment id="{3d12b3fb-7746-4acb-938f-459f02370090}"/>
    </Anchor>
    <History>
      <Event time="2018-08-06T01:50:51.00" id="{46a30d43-2c45-45b5-ab4b-b4fc07ca5bc0}">
        <Attribution userId="placeholder@email.com" userName="Lifeng Fan" userProvider="google-sheets"/>
        <Anchor>
          <Comment id="{3d12b3fb-7746-4acb-938f-459f02370090}"/>
        </Anchor>
        <Create/>
      </Event>
      <Event time="2018-08-06T01:50:51.00" id="{7b117f95-da35-4aac-9b1d-4490681138f9}">
        <Attribution userId="placeholder@email.com" userName="Lifeng Fan" userProvider="google-sheets"/>
        <Anchor>
          <Comment id="{3d12b3fb-7746-4acb-938f-459f02370090}"/>
        </Anchor>
        <Assign userId="chenbang3@lenovo.com" userName="chenbang3@lenovo.com" userProvider="google-sheets"/>
      </Event>
    </History>
  </Task>
  <Task id="{a12b1f04-74bb-4b0d-819c-261130682832}">
    <Anchor>
      <Comment id="{8ade518c-00fb-4ad8-8d17-20a0cc33afd6}"/>
    </Anchor>
    <History>
      <Event time="2018-10-18T07:49:23.00" id="{24a65a7f-0d45-417c-9fe5-d2a11950c843}">
        <Attribution userId="placeholder@email.com" userName="Lifeng Fan" userProvider="google-sheets"/>
        <Anchor>
          <Comment id="{fb68afdc-f20b-4b17-b3c2-d7a127ab2e27}"/>
        </Anchor>
        <Create/>
      </Event>
      <Event time="2018-10-18T07:49:23.00" id="{dbfb5033-936c-4792-bce8-1659999f5545}">
        <Attribution userId="placeholder@email.com" userName="Lifeng Fan" userProvider="google-sheets"/>
        <Anchor>
          <Comment id="{fb68afdc-f20b-4b17-b3c2-d7a127ab2e27}"/>
        </Anchor>
        <Assign userId="changfm1@motorola.com" userName="changfm1@motorola.com" userProvider="google-sheets"/>
      </Event>
    </History>
  </Task>
  <Task id="{e3fb6033-4600-4e7e-856a-de3a8df132ca}">
    <Anchor>
      <Comment id="{38df3d5e-7a53-434e-9b05-765e1035b50f}"/>
    </Anchor>
    <History>
      <Event time="2018-10-15T05:32:06.00" id="{9e5e3f39-9c69-467b-839a-f70885449403}">
        <Attribution userId="placeholder@email.com" userName="Lifeng Fan" userProvider="google-sheets"/>
        <Anchor>
          <Comment id="{38df3d5e-7a53-434e-9b05-765e1035b50f}"/>
        </Anchor>
        <Create/>
      </Event>
      <Event time="2018-10-15T05:32:06.00" id="{17bdb47c-f627-423a-ae1a-57a124c6817a}">
        <Attribution userId="placeholder@email.com" userName="Lifeng Fan" userProvider="google-sheets"/>
        <Anchor>
          <Comment id="{38df3d5e-7a53-434e-9b05-765e1035b50f}"/>
        </Anchor>
        <Assign userId="linfenga@motorola.com" userName="linfenga@motorola.com" userProvider="google-sheets"/>
      </Event>
    </History>
  </Task>
  <Task id="{f7c2580f-181d-4834-b48d-e03ae40608aa}">
    <Anchor>
      <Comment id="{056794f0-aa97-4b12-bb22-fe46157f70f3}"/>
    </Anchor>
    <History>
      <Event time="2018-07-02T03:06:35.00" id="{1414e011-19df-4666-8f6d-cafe759cc5f3}">
        <Attribution userId="placeholder@email.com" userName="Lifeng Fan" userProvider="google-sheets"/>
        <Anchor>
          <Comment id="{056794f0-aa97-4b12-bb22-fe46157f70f3}"/>
        </Anchor>
        <Create/>
      </Event>
      <Event time="2018-07-02T03:06:35.00" id="{99d468a7-df2c-4c41-b7c5-8d139eb49e13}">
        <Attribution userId="placeholder@email.com" userName="Lifeng Fan" userProvider="google-sheets"/>
        <Anchor>
          <Comment id="{056794f0-aa97-4b12-bb22-fe46157f70f3}"/>
        </Anchor>
        <Assign userId="liguoa@motorola.com" userName="liguoa@motorola.com" userProvider="google-sheets"/>
      </Event>
    </History>
  </Task>
  <Task id="{5e3ff822-66d8-4003-8e75-9eb9a6a882ad}">
    <Anchor>
      <Comment id="{02119348-c48f-418a-a90c-85a777beaf41}"/>
    </Anchor>
    <History>
      <Event time="2019-04-28T09:32:16.00" id="{a69bb364-6963-47b0-b3d8-fd8e33ac9646}">
        <Attribution userId="placeholder@email.com" userName="Lifeng Fan" userProvider="google-sheets"/>
        <Anchor>
          <Comment id="{02119348-c48f-418a-a90c-85a777beaf41}"/>
        </Anchor>
        <Create/>
      </Event>
      <Event time="2019-04-28T09:32:16.00" id="{32d54acf-ecf9-4dbf-84ab-5ba15b9f6fb5}">
        <Attribution userId="placeholder@email.com" userName="Lifeng Fan" userProvider="google-sheets"/>
        <Anchor>
          <Comment id="{02119348-c48f-418a-a90c-85a777beaf41}"/>
        </Anchor>
        <Assign userId="chenwt@motorola.com" userName="chenwt@motorola.com" userProvider="google-sheets"/>
      </Event>
    </History>
  </Task>
  <Task id="{d2b346ad-dffb-47ae-a983-41a1b5529569}">
    <Anchor>
      <Comment id="{1f4d8949-f5af-4864-b291-83a24cff3bdb}"/>
    </Anchor>
    <History>
      <Event time="2018-11-16T10:33:36.00" id="{a546fbfa-9826-47fb-9e1e-cabfdc056bea}">
        <Attribution userId="placeholder@email.com" userName="Lifeng Fan" userProvider="google-sheets"/>
        <Anchor>
          <Comment id="{1f4d8949-f5af-4864-b291-83a24cff3bdb}"/>
        </Anchor>
        <Create/>
      </Event>
      <Event time="2018-11-16T10:33:36.00" id="{fbd2003f-d280-4b74-9cb2-d59f521e0073}">
        <Attribution userId="placeholder@email.com" userName="Lifeng Fan" userProvider="google-sheets"/>
        <Anchor>
          <Comment id="{1f4d8949-f5af-4864-b291-83a24cff3bdb}"/>
        </Anchor>
        <Assign userId="linfenga@motorola.com" userName="linfenga@motorola.com" userProvider="google-sheets"/>
      </Event>
    </History>
  </Task>
  <Task id="{608e38d2-c7f6-4134-80ae-7e89f209e551}">
    <Anchor>
      <Comment id="{f0234955-9df9-4240-9ac7-fb34547de8b2}"/>
    </Anchor>
    <History>
      <Event time="2018-08-06T02:17:45.00" id="{d4b3a8f0-63dd-4429-8a86-897a4536b2a4}">
        <Attribution userId="placeholder@email.com" userName="Lifeng Fan" userProvider="google-sheets"/>
        <Anchor>
          <Comment id="{f0234955-9df9-4240-9ac7-fb34547de8b2}"/>
        </Anchor>
        <Create/>
      </Event>
      <Event time="2018-08-06T02:17:45.00" id="{ad2b5190-3405-4a4f-81ae-a1b952a9f2a6}">
        <Attribution userId="placeholder@email.com" userName="Lifeng Fan" userProvider="google-sheets"/>
        <Anchor>
          <Comment id="{f0234955-9df9-4240-9ac7-fb34547de8b2}"/>
        </Anchor>
        <Assign userProvider="google-sheets"/>
      </Event>
    </History>
  </Task>
  <Task id="{419080c9-9d69-400b-bd70-82907a383c69}">
    <Anchor>
      <Comment id="{b0a44752-59de-44cb-86bb-2a5772150aa6}"/>
    </Anchor>
    <History>
      <Event time="2018-10-17T03:08:48.00" id="{59766257-ca0d-47cd-8458-8adaf96af955}">
        <Attribution userId="placeholder@email.com" userName="Lifeng Fan" userProvider="google-sheets"/>
        <Anchor>
          <Comment id="{b0a44752-59de-44cb-86bb-2a5772150aa6}"/>
        </Anchor>
        <Create/>
      </Event>
      <Event time="2018-10-17T03:08:48.00" id="{ca1ff65a-d2e9-42d8-b872-76cbc252687e}">
        <Attribution userId="placeholder@email.com" userName="Lifeng Fan" userProvider="google-sheets"/>
        <Anchor>
          <Comment id="{b0a44752-59de-44cb-86bb-2a5772150aa6}"/>
        </Anchor>
        <Assign userProvider="google-sheets"/>
      </Event>
    </History>
  </Task>
  <Task id="{50953e67-857d-4941-bb83-54c02899305b}">
    <Anchor>
      <Comment id="{3610b865-5716-4872-9719-912d4ceed2cb}"/>
    </Anchor>
    <History>
      <Event time="2018-08-06T02:19:18.00" id="{6eea6e61-6149-4356-9b61-b26133127385}">
        <Attribution userId="placeholder@email.com" userName="Lifeng Fan" userProvider="google-sheets"/>
        <Anchor>
          <Comment id="{3610b865-5716-4872-9719-912d4ceed2cb}"/>
        </Anchor>
        <Create/>
      </Event>
      <Event time="2018-08-06T02:19:18.00" id="{b2af10db-9870-49b2-8038-627c0f9b57a6}">
        <Attribution userId="placeholder@email.com" userName="Lifeng Fan" userProvider="google-sheets"/>
        <Anchor>
          <Comment id="{3610b865-5716-4872-9719-912d4ceed2cb}"/>
        </Anchor>
        <Assign userProvider="google-sheets"/>
      </Event>
    </History>
  </Task>
  <Task id="{405a9749-3fd8-4f72-8939-a441ebaca117}">
    <Anchor>
      <Comment id="{d574cab0-2053-4d1f-aa33-af33edc3ffe7}"/>
    </Anchor>
    <History>
      <Event time="2018-08-06T02:18:11.00" id="{89f7e942-6f23-4df9-bce7-597e9f01a112}">
        <Attribution userId="placeholder@email.com" userName="Lifeng Fan" userProvider="google-sheets"/>
        <Anchor>
          <Comment id="{d574cab0-2053-4d1f-aa33-af33edc3ffe7}"/>
        </Anchor>
        <Create/>
      </Event>
      <Event time="2018-08-06T02:18:11.00" id="{b11694a8-1469-4316-8078-a427222fcef0}">
        <Attribution userId="placeholder@email.com" userName="Lifeng Fan" userProvider="google-sheets"/>
        <Anchor>
          <Comment id="{d574cab0-2053-4d1f-aa33-af33edc3ffe7}"/>
        </Anchor>
        <Assign userProvider="google-sheets"/>
      </Event>
    </History>
  </Task>
  <Task id="{21d171f4-1ef9-446b-b257-099bc59f3e85}">
    <Anchor>
      <Comment id="{44da93f0-443e-4e3a-892d-459527fdf948}"/>
    </Anchor>
    <History>
      <Event time="2018-08-06T01:54:18.00" id="{4d464d47-7f84-4308-b182-b3b3d34af1f4}">
        <Attribution userId="placeholder@email.com" userName="Lifeng Fan" userProvider="google-sheets"/>
        <Anchor>
          <Comment id="{44da93f0-443e-4e3a-892d-459527fdf948}"/>
        </Anchor>
        <Create/>
      </Event>
      <Event time="2018-08-06T01:54:18.00" id="{a58d29d2-685c-4068-8bad-f5de44380c32}">
        <Attribution userId="placeholder@email.com" userName="Lifeng Fan" userProvider="google-sheets"/>
        <Anchor>
          <Comment id="{44da93f0-443e-4e3a-892d-459527fdf948}"/>
        </Anchor>
        <Assign userId="xiaozh1@motorola.com" userName="xiaozh1@motorola.com" userProvider="google-sheets"/>
      </Event>
    </History>
  </Task>
  <Task id="{bf85edae-a438-4680-b89c-58f11bd32a62}">
    <Anchor>
      <Comment id="{d02ae095-3225-4f1c-83c3-1f93499fa180}"/>
    </Anchor>
    <History>
      <Event time="2018-11-08T02:47:43.00" id="{3c747e89-9b45-47ae-9ea3-ff5cb727645f}">
        <Attribution userId="placeholder@email.com" userName="Lifeng Fan" userProvider="google-sheets"/>
        <Anchor>
          <Comment id="{d02ae095-3225-4f1c-83c3-1f93499fa180}"/>
        </Anchor>
        <Create/>
      </Event>
      <Event time="2018-11-08T02:47:43.00" id="{56e7e6f4-d445-4a51-b7ec-64db63aef589}">
        <Attribution userId="placeholder@email.com" userName="Lifeng Fan" userProvider="google-sheets"/>
        <Anchor>
          <Comment id="{d02ae095-3225-4f1c-83c3-1f93499fa180}"/>
        </Anchor>
        <Assign userId="wuxm5@motorola.com" userName="wuxm5@motorola.com" userProvider="google-sheets"/>
      </Event>
    </History>
  </Task>
  <Task id="{0b4d74c5-f93a-43f1-b603-da5941d1b1b3}">
    <Anchor>
      <Comment id="{3d7597bc-ad0f-4834-ad65-e1b662461147}"/>
    </Anchor>
    <History>
      <Event time="2019-05-05T09:56:31.00" id="{5379d108-b479-412d-8af0-d2736db9ea4a}">
        <Attribution userId="placeholder@email.com" userName="wenting chen" userProvider="google-sheets"/>
        <Anchor>
          <Comment id="{3d7597bc-ad0f-4834-ad65-e1b662461147}"/>
        </Anchor>
        <Create/>
      </Event>
      <Event time="2019-05-05T09:56:31.00" id="{a7620cb2-b62f-4fa6-956d-22e5d842f17b}">
        <Attribution userId="placeholder@email.com" userName="wenting chen" userProvider="google-sheets"/>
        <Anchor>
          <Comment id="{3d7597bc-ad0f-4834-ad65-e1b662461147}"/>
        </Anchor>
        <Assign userId="wuxm5@motorola.com" userName="wuxm5@motorola.com" userProvider="google-sheets"/>
      </Event>
    </History>
  </Task>
  <Task id="{aba4aa26-27a1-4506-8b65-33c50a869f75}">
    <Anchor>
      <Comment id="{5a42411a-9137-482c-ad59-984a941cb16b}"/>
    </Anchor>
    <History>
      <Event time="2018-10-23T06:37:16.00" id="{a317d67c-9abf-4ebc-934f-743ebf2d2f70}">
        <Attribution userId="placeholder@email.com" userName="Lifeng Fan" userProvider="google-sheets"/>
        <Anchor>
          <Comment id="{5a42411a-9137-482c-ad59-984a941cb16b}"/>
        </Anchor>
        <Create/>
      </Event>
      <Event time="2018-10-23T06:37:16.00" id="{919f46e9-69e1-450e-bfd4-ea65f51c7f54}">
        <Attribution userId="placeholder@email.com" userName="Lifeng Fan" userProvider="google-sheets"/>
        <Anchor>
          <Comment id="{5a42411a-9137-482c-ad59-984a941cb16b}"/>
        </Anchor>
        <Assign userProvider="google-sheets"/>
      </Event>
    </History>
  </Task>
  <Task id="{5b358320-8bcb-4793-9bcf-71f22d51b4b8}">
    <Anchor>
      <Comment id="{c27f7c94-364b-4abf-854e-e5aaea8ad98a}"/>
    </Anchor>
    <History>
      <Event time="2018-11-16T02:54:30.00" id="{909a7adc-ef25-4e51-a5b7-5368255deb7d}">
        <Attribution userId="placeholder@email.com" userName="Lifeng Fan" userProvider="google-sheets"/>
        <Anchor>
          <Comment id="{c27f7c94-364b-4abf-854e-e5aaea8ad98a}"/>
        </Anchor>
        <Create/>
      </Event>
      <Event time="2018-11-16T02:54:30.00" id="{d0234fd7-732f-4ead-bf94-62e287072ea4}">
        <Attribution userId="placeholder@email.com" userName="Lifeng Fan" userProvider="google-sheets"/>
        <Anchor>
          <Comment id="{c27f7c94-364b-4abf-854e-e5aaea8ad98a}"/>
        </Anchor>
        <Assign userId="liguoa@motorola.com" userName="liguoa@motorola.com" userProvider="google-sheets"/>
      </Event>
    </History>
  </Task>
  <Task id="{1dfa5563-b427-4f7c-9d30-78804cc7cbea}">
    <Anchor>
      <Comment id="{343a7907-f041-4127-86d4-a7ccf7c7ae45}"/>
    </Anchor>
    <History>
      <Event time="2018-08-27T06:05:00.00" id="{af8e0f7e-b53d-4583-8c7c-5bdf0cb2eacc}">
        <Attribution userId="placeholder@email.com" userName="Lifeng Fan" userProvider="google-sheets"/>
        <Anchor>
          <Comment id="{343a7907-f041-4127-86d4-a7ccf7c7ae45}"/>
        </Anchor>
        <Create/>
      </Event>
      <Event time="2018-08-27T06:05:00.00" id="{7f143044-4772-4408-8be9-711466c6d0f2}">
        <Attribution userId="placeholder@email.com" userName="Lifeng Fan" userProvider="google-sheets"/>
        <Anchor>
          <Comment id="{343a7907-f041-4127-86d4-a7ccf7c7ae45}"/>
        </Anchor>
        <Assign userId="xiongsn1@motorola.com" userName="xiongsn1@motorola.com" userProvider="google-sheets"/>
      </Event>
    </History>
  </Task>
  <Task id="{c2613be0-4faa-4662-91c8-c5404fe201c8}">
    <Anchor>
      <Comment id="{ad0ccc3d-17fc-41a3-aa73-0b772aba27ab}"/>
    </Anchor>
    <History>
      <Event time="2018-11-16T02:53:53.00" id="{97bd0c40-b878-4c42-acc8-407dc5e55b60}">
        <Attribution userId="placeholder@email.com" userName="Lifeng Fan" userProvider="google-sheets"/>
        <Anchor>
          <Comment id="{ad0ccc3d-17fc-41a3-aa73-0b772aba27ab}"/>
        </Anchor>
        <Create/>
      </Event>
      <Event time="2018-11-16T02:53:53.00" id="{0d329edb-0673-49be-88b3-8c9da6e4c106}">
        <Attribution userId="placeholder@email.com" userName="Lifeng Fan" userProvider="google-sheets"/>
        <Anchor>
          <Comment id="{ad0ccc3d-17fc-41a3-aa73-0b772aba27ab}"/>
        </Anchor>
        <Assign userId="chenbang3@lenovo.com" userName="chenbang3@lenovo.com" userProvider="google-sheets"/>
      </Event>
    </History>
  </Task>
</Tasks>
</file>

<file path=xl/documenttasks/documenttask19.xml><?xml version="1.0" encoding="utf-8"?>
<Tasks xmlns="http://schemas.microsoft.com/office/tasks/2019/documenttasks">
  <Task id="{cd79dd2b-d064-4604-86bd-6873dd9b0f9b}">
    <Anchor>
      <Comment id="{af2c98aa-d4bf-4782-89e3-f5fed357c2a9}"/>
    </Anchor>
    <History>
      <Event time="2019-11-04T01:56:38.00" id="{2f728fc7-8ac9-4b10-875e-ee1b0c5090b3}">
        <Attribution userId="placeholder@email.com" userName="Lifeng Fan" userProvider="google-sheets"/>
        <Anchor>
          <Comment id="{af2c98aa-d4bf-4782-89e3-f5fed357c2a9}"/>
        </Anchor>
        <Create/>
      </Event>
      <Event time="2019-11-04T01:56:38.00" id="{15e8fb7c-5e96-4cae-88cd-5e24e2b908d7}">
        <Attribution userId="placeholder@email.com" userName="Lifeng Fan" userProvider="google-sheets"/>
        <Anchor>
          <Comment id="{af2c98aa-d4bf-4782-89e3-f5fed357c2a9}"/>
        </Anchor>
        <Assign userProvider="google-sheets"/>
      </Event>
    </History>
  </Task>
  <Task id="{d4caa868-4f9d-409d-b908-4f35221c1d1e}">
    <Anchor>
      <Comment id="{58d9c4cc-1e56-46d8-80e4-ac884fe213d4}"/>
    </Anchor>
    <History>
      <Event time="2019-11-18T02:26:46.00" id="{45f960ba-ffd3-4faa-8cf5-cb749058497c}">
        <Attribution userId="placeholder@email.com" userName="Lifeng Fan" userProvider="google-sheets"/>
        <Anchor>
          <Comment id="{58d9c4cc-1e56-46d8-80e4-ac884fe213d4}"/>
        </Anchor>
        <Create/>
      </Event>
      <Event time="2019-11-18T02:26:46.00" id="{eb3c1428-ee59-46cd-9eda-4d1be7ef9eb5}">
        <Attribution userId="placeholder@email.com" userName="Lifeng Fan" userProvider="google-sheets"/>
        <Anchor>
          <Comment id="{58d9c4cc-1e56-46d8-80e4-ac884fe213d4}"/>
        </Anchor>
        <Assign userId="liguoa@motorola.com" userName="liguoa@motorola.com" userProvider="google-sheets"/>
      </Event>
    </History>
  </Task>
</Tasks>
</file>

<file path=xl/documenttasks/documenttask20.xml><?xml version="1.0" encoding="utf-8"?>
<Tasks xmlns="http://schemas.microsoft.com/office/tasks/2019/documenttasks">
  <Task id="{7fc772d2-ecd9-4d35-b48b-d76e2d0a04b5}">
    <Anchor>
      <Comment id="{c367abf5-127d-47c3-9953-88e3ebe129d3}"/>
    </Anchor>
    <History>
      <Event time="2020-04-27T02:28:13.00" id="{4fc308cc-6c15-4c39-82d2-af410ad4f1a1}">
        <Attribution userId="placeholder@email.com" userName="Lifeng Fan" userProvider="google-sheets"/>
        <Anchor>
          <Comment id="{c367abf5-127d-47c3-9953-88e3ebe129d3}"/>
        </Anchor>
        <Create/>
      </Event>
      <Event time="2020-04-27T02:28:13.00" id="{0298c2a7-2f8d-4d4e-a65f-d600e0db816b}">
        <Attribution userId="placeholder@email.com" userName="Lifeng Fan" userProvider="google-sheets"/>
        <Anchor>
          <Comment id="{c367abf5-127d-47c3-9953-88e3ebe129d3}"/>
        </Anchor>
        <Assign userId="linfenga@motorola.com" userName="linfenga@motorola.com" userProvider="google-sheets"/>
      </Event>
    </History>
  </Task>
</Tasks>
</file>

<file path=xl/documenttasks/documenttask21.xml><?xml version="1.0" encoding="utf-8"?>
<Tasks xmlns="http://schemas.microsoft.com/office/tasks/2019/documenttasks">
  <Task id="{aa1bcdcb-0620-4340-9c84-95764a2153dd}">
    <Anchor>
      <Comment id="{4c5a7d97-c0fa-44c4-ae92-b20697fc8f10}"/>
    </Anchor>
    <History>
      <Event time="2020-12-17T05:11:11.00" id="{0ad8e821-1f26-4220-b127-12125478b4f6}">
        <Attribution userId="placeholder@email.com" userName="Lifeng Fan" userProvider="google-sheets"/>
        <Anchor>
          <Comment id="{4c5a7d97-c0fa-44c4-ae92-b20697fc8f10}"/>
        </Anchor>
        <Create/>
      </Event>
      <Event time="2020-12-17T05:11:11.00" id="{86192027-f2cf-45b6-8751-08e0f167539f}">
        <Attribution userId="placeholder@email.com" userName="Lifeng Fan" userProvider="google-sheets"/>
        <Anchor>
          <Comment id="{4c5a7d97-c0fa-44c4-ae92-b20697fc8f10}"/>
        </Anchor>
        <Assign userId="chenbang3@lenovo.com" userName="chenbang3@lenovo.com" userProvider="google-sheets"/>
      </Event>
    </History>
  </Task>
  <Task id="{687370b3-e040-4ceb-bb30-dfaf3d6a961e}">
    <Anchor>
      <Comment id="{6032a5f1-700f-40f0-9848-0bd5a9559ec7}"/>
    </Anchor>
    <History>
      <Event time="2020-09-28T02:48:29.00" id="{3999aed5-dc91-4509-accd-0a0c7c17595b}">
        <Attribution userId="placeholder@email.com" userName="Lifeng Fan" userProvider="google-sheets"/>
        <Anchor>
          <Comment id="{6032a5f1-700f-40f0-9848-0bd5a9559ec7}"/>
        </Anchor>
        <Create/>
      </Event>
      <Event time="2020-09-28T02:48:29.00" id="{2d481612-a086-4ec2-a8b5-2bc33ae86798}">
        <Attribution userId="placeholder@email.com" userName="Lifeng Fan" userProvider="google-sheets"/>
        <Anchor>
          <Comment id="{6032a5f1-700f-40f0-9848-0bd5a9559ec7}"/>
        </Anchor>
        <Assign userId="xiaozh1@motorola.com" userName="xiaozh1@motorola.com" userProvider="google-sheets"/>
      </Event>
    </History>
  </Task>
</Tasks>
</file>

<file path=xl/documenttasks/documenttask22.xml><?xml version="1.0" encoding="utf-8"?>
<Tasks xmlns="http://schemas.microsoft.com/office/tasks/2019/documenttasks">
  <Task id="{7462493b-d5ec-451b-a60d-676c0cb358a4}">
    <Anchor>
      <Comment id="{d705723f-1b43-42c3-b359-fa48b120f206}"/>
    </Anchor>
    <History>
      <Event time="2018-01-18T07:59:52.00" id="{1479dd46-4a53-4bc5-9a5c-6cba80b3c485}">
        <Attribution userId="placeholder@email.com" userName="Lifeng Fan" userProvider="google-sheets"/>
        <Anchor>
          <Comment id="{d705723f-1b43-42c3-b359-fa48b120f206}"/>
        </Anchor>
        <Create/>
      </Event>
      <Event time="2018-01-18T07:59:52.00" id="{6a8152b6-17eb-48d1-a6fa-6057696e2d42}">
        <Attribution userId="placeholder@email.com" userName="Lifeng Fan" userProvider="google-sheets"/>
        <Anchor>
          <Comment id="{d705723f-1b43-42c3-b359-fa48b120f206}"/>
        </Anchor>
        <Assign userId="liguoa@motorola.com" userName="liguoa@motorola.com" userProvider="google-sheets"/>
      </Event>
    </History>
  </Task>
  <Task id="{5ba143dc-dad5-4304-b67f-6c8bc313f7e6}">
    <Anchor>
      <Comment id="{8068c0ad-5b46-4f7f-be40-cca5f1f9cac5}"/>
    </Anchor>
    <History>
      <Event time="2017-07-03T10:07:53.00" id="{123d3581-de12-42ae-9891-ad745418f854}">
        <Attribution userId="placeholder@email.com" userName="wenting chen" userProvider="google-sheets"/>
        <Anchor>
          <Comment id="{8068c0ad-5b46-4f7f-be40-cca5f1f9cac5}"/>
        </Anchor>
        <Create/>
      </Event>
      <Event time="2017-07-03T10:07:53.00" id="{66d64953-5370-4599-9763-ab891a871160}">
        <Attribution userId="placeholder@email.com" userName="wenting chen" userProvider="google-sheets"/>
        <Anchor>
          <Comment id="{8068c0ad-5b46-4f7f-be40-cca5f1f9cac5}"/>
        </Anchor>
        <Assign userProvider="google-sheets"/>
      </Event>
    </History>
  </Task>
  <Task id="{7841b099-8a91-45b3-b3b0-0ae7c3bf0358}">
    <Anchor>
      <Comment id="{cbdf52b1-5896-4ddc-ba14-ed16775770b0}"/>
    </Anchor>
    <History>
      <Event time="2017-06-20T10:26:26.00" id="{0a8adaff-5ccb-4a80-b405-f5dba278cc92}">
        <Attribution userId="placeholder@email.com" userName="wenting chen" userProvider="google-sheets"/>
        <Anchor>
          <Comment id="{cbdf52b1-5896-4ddc-ba14-ed16775770b0}"/>
        </Anchor>
        <Create/>
      </Event>
      <Event time="2017-06-20T10:26:26.00" id="{e4ac6784-ad03-4e67-ae86-b7732ecc0091}">
        <Attribution userId="placeholder@email.com" userName="wenting chen" userProvider="google-sheets"/>
        <Anchor>
          <Comment id="{cbdf52b1-5896-4ddc-ba14-ed16775770b0}"/>
        </Anchor>
        <Assign userId="xiaozh1@motorola.com" userName="xiaozh1@motorola.com" userProvider="google-sheets"/>
      </Event>
    </History>
  </Task>
  <Task id="{5a0a4aab-ca66-43e9-adee-d8f37819c504}">
    <Anchor>
      <Comment id="{f2199fd9-cb16-417c-9280-c1a9df3e10df}"/>
    </Anchor>
    <History>
      <Event time="2017-12-12T02:56:03.00" id="{8fcec00d-61b2-486a-a8bd-f17921f68b0c}">
        <Attribution userId="placeholder@email.com" userName="Lifeng Fan" userProvider="google-sheets"/>
        <Anchor>
          <Comment id="{f2199fd9-cb16-417c-9280-c1a9df3e10df}"/>
        </Anchor>
        <Create/>
      </Event>
      <Event time="2017-12-12T02:56:03.00" id="{1fc20560-b138-4cba-a5e8-4d274fcdda27}">
        <Attribution userId="placeholder@email.com" userName="Lifeng Fan" userProvider="google-sheets"/>
        <Anchor>
          <Comment id="{f2199fd9-cb16-417c-9280-c1a9df3e10df}"/>
        </Anchor>
        <Assign userId="linfenga@motorola.com" userName="linfenga@motorola.com" userProvider="google-sheets"/>
      </Event>
    </History>
  </Task>
  <Task id="{9b8904b8-1ed5-4ef8-b45c-69362db4b76b}">
    <Anchor>
      <Comment id="{e676f6f9-f949-47ec-a1bc-7289ecb02879}"/>
    </Anchor>
    <History>
      <Event time="2019-04-28T09:33:01.00" id="{a047fefc-7c1a-4bd8-bfb5-ec7331d1d7cc}">
        <Attribution userId="placeholder@email.com" userName="Lifeng Fan" userProvider="google-sheets"/>
        <Anchor>
          <Comment id="{e676f6f9-f949-47ec-a1bc-7289ecb02879}"/>
        </Anchor>
        <Create/>
      </Event>
      <Event time="2019-04-28T09:33:01.00" id="{c9fca0de-8039-458d-97d4-0d351dcd2422}">
        <Attribution userId="placeholder@email.com" userName="Lifeng Fan" userProvider="google-sheets"/>
        <Anchor>
          <Comment id="{e676f6f9-f949-47ec-a1bc-7289ecb02879}"/>
        </Anchor>
        <Assign userId="chenwt@motorola.com" userName="chenwt@motorola.com" userProvider="google-sheets"/>
      </Event>
    </History>
  </Task>
  <Task id="{b115a847-87fc-4431-bfd9-3d613a73a1ae}">
    <Anchor>
      <Comment id="{f1b848e6-1eac-405f-9434-636c65cfcf91}"/>
    </Anchor>
    <History>
      <Event time="2017-06-16T07:41:53.00" id="{1c81abdf-a63e-4aa1-ad58-2a7207f8864a}">
        <Attribution userId="placeholder@email.com" userName="wenting chen" userProvider="google-sheets"/>
        <Anchor>
          <Comment id="{f1b848e6-1eac-405f-9434-636c65cfcf91}"/>
        </Anchor>
        <Create/>
      </Event>
      <Event time="2017-06-16T07:41:53.00" id="{d8ffb83a-0860-4acb-b495-54a4f74cc40b}">
        <Attribution userId="placeholder@email.com" userName="wenting chen" userProvider="google-sheets"/>
        <Anchor>
          <Comment id="{f1b848e6-1eac-405f-9434-636c65cfcf91}"/>
        </Anchor>
        <Assign userId="xiongsn1@motorola.com" userName="xiongsn1@motorola.com" userProvider="google-sheets"/>
      </Event>
    </History>
  </Task>
  <Task id="{c5484fdd-e0b2-4b18-805f-1014763815e4}">
    <Anchor>
      <Comment id="{48305f72-36ad-49e8-8824-d361f54eadca}"/>
    </Anchor>
    <History>
      <Event time="2017-06-21T09:40:12.00" id="{4d9e84eb-af6a-43f6-a7c1-c73861f495b7}">
        <Attribution userId="placeholder@email.com" userName="wenting chen" userProvider="google-sheets"/>
        <Anchor>
          <Comment id="{48305f72-36ad-49e8-8824-d361f54eadca}"/>
        </Anchor>
        <Create/>
      </Event>
      <Event time="2017-06-21T09:40:12.00" id="{26c75b20-7753-4594-b5d5-7c1fc1a18af0}">
        <Attribution userId="placeholder@email.com" userName="wenting chen" userProvider="google-sheets"/>
        <Anchor>
          <Comment id="{48305f72-36ad-49e8-8824-d361f54eadca}"/>
        </Anchor>
        <Assign userProvider="google-sheets"/>
      </Event>
    </History>
  </Task>
  <Task id="{1ead7094-b636-4d24-8a9e-040f929ea0ca}">
    <Anchor>
      <Comment id="{2b47dedd-64f4-4ec6-93d7-3f17650b248b}"/>
    </Anchor>
    <History>
      <Event time="2017-06-21T01:49:22.00" id="{a10126bd-a279-4eba-8454-9fae546703a0}">
        <Attribution userId="placeholder@email.com" userName="wenting chen" userProvider="google-sheets"/>
        <Anchor>
          <Comment id="{2b47dedd-64f4-4ec6-93d7-3f17650b248b}"/>
        </Anchor>
        <Create/>
      </Event>
      <Event time="2017-06-21T01:49:22.00" id="{dcf9185f-ec84-45d9-b156-fe37ea7f086c}">
        <Attribution userId="placeholder@email.com" userName="wenting chen" userProvider="google-sheets"/>
        <Anchor>
          <Comment id="{2b47dedd-64f4-4ec6-93d7-3f17650b248b}"/>
        </Anchor>
        <Assign userId="linfenga@motorola.com" userName="linfenga@motorola.com" userProvider="google-sheets"/>
      </Event>
    </History>
  </Task>
  <Task id="{f2defd28-b201-498a-baca-f5db78cc6ff6}">
    <Anchor>
      <Comment id="{3224fe55-68c6-46a8-8544-7a94b05a3f90}"/>
    </Anchor>
    <History>
      <Event time="2018-01-15T02:54:00.00" id="{7bbc55f4-f9a6-4747-9a63-4d8f07e1e6b9}">
        <Attribution userId="placeholder@email.com" userName="Lifeng Fan" userProvider="google-sheets"/>
        <Anchor>
          <Comment id="{3224fe55-68c6-46a8-8544-7a94b05a3f90}"/>
        </Anchor>
        <Create/>
      </Event>
      <Event time="2018-01-15T02:54:00.00" id="{a2663af4-fc95-4893-9700-3e0b39a2efb6}">
        <Attribution userId="placeholder@email.com" userName="Lifeng Fan" userProvider="google-sheets"/>
        <Anchor>
          <Comment id="{3224fe55-68c6-46a8-8544-7a94b05a3f90}"/>
        </Anchor>
        <Assign userId="liguoa@motorola.com" userName="liguoa@motorola.com" userProvider="google-sheets"/>
      </Event>
    </History>
  </Task>
  <Task id="{b0cdaf0c-cffd-498b-9dee-7d28487718d7}">
    <Anchor>
      <Comment id="{8402dc4e-ed1b-40bf-a612-b7251b32626a}"/>
    </Anchor>
    <History>
      <Event time="2018-02-26T08:57:43.00" id="{9c87519c-1215-4bb1-913d-2a68d404c1b5}">
        <Attribution userId="placeholder@email.com" userName="Lifeng Fan" userProvider="google-sheets"/>
        <Anchor>
          <Comment id="{8402dc4e-ed1b-40bf-a612-b7251b32626a}"/>
        </Anchor>
        <Create/>
      </Event>
      <Event time="2018-02-26T08:57:43.00" id="{6df5e312-7672-44e0-a464-6b4e00b72cfb}">
        <Attribution userId="placeholder@email.com" userName="Lifeng Fan" userProvider="google-sheets"/>
        <Anchor>
          <Comment id="{8402dc4e-ed1b-40bf-a612-b7251b32626a}"/>
        </Anchor>
        <Assign userId="linfenga@motorola.com" userName="linfenga@motorola.com" userProvider="google-sheets"/>
      </Event>
    </History>
  </Task>
  <Task id="{d2e41b79-f411-4249-ae45-09f0ece61293}">
    <Anchor>
      <Comment id="{bbf6513c-6080-4a1c-b1a7-70267024495a}"/>
    </Anchor>
    <History>
      <Event time="2017-06-16T03:26:02.00" id="{6ea675a8-bc42-486f-99e1-d816bd4aa14f}">
        <Attribution userId="placeholder@email.com" userName="wenting chen" userProvider="google-sheets"/>
        <Anchor>
          <Comment id="{bbf6513c-6080-4a1c-b1a7-70267024495a}"/>
        </Anchor>
        <Create/>
      </Event>
      <Event time="2017-06-16T03:26:02.00" id="{81f5daa9-d1ad-4235-976b-74ffa8556b16}">
        <Attribution userId="placeholder@email.com" userName="wenting chen" userProvider="google-sheets"/>
        <Anchor>
          <Comment id="{bbf6513c-6080-4a1c-b1a7-70267024495a}"/>
        </Anchor>
        <Assign userId="xiaozh1@motorola.com" userName="xiaozh1@motorola.com" userProvider="google-sheets"/>
      </Event>
    </History>
  </Task>
</Tasks>
</file>

<file path=xl/documenttasks/documenttask23.xml><?xml version="1.0" encoding="utf-8"?>
<Tasks xmlns="http://schemas.microsoft.com/office/tasks/2019/documenttasks">
  <Task id="{18a8bea1-1e47-4db7-95e1-fe1cba0e876e}">
    <Anchor>
      <Comment id="{a9cd659a-9f58-4684-a3d6-1d8911fe8d49}"/>
    </Anchor>
    <History>
      <Event time="2019-04-29T08:46:18.00" id="{f25a36de-4a92-4689-872d-75f7707ab2f0}">
        <Attribution userId="placeholder@email.com" userName="Lifeng Fan" userProvider="google-sheets"/>
        <Anchor>
          <Comment id="{a9cd659a-9f58-4684-a3d6-1d8911fe8d49}"/>
        </Anchor>
        <Create/>
      </Event>
      <Event time="2019-04-29T08:46:18.00" id="{2dd838de-455e-4ede-a622-92f6fedabc71}">
        <Attribution userId="placeholder@email.com" userName="Lifeng Fan" userProvider="google-sheets"/>
        <Anchor>
          <Comment id="{a9cd659a-9f58-4684-a3d6-1d8911fe8d49}"/>
        </Anchor>
        <Assign userProvider="google-sheets"/>
      </Event>
    </History>
  </Task>
  <Task id="{f23032fc-0d91-40a3-bd18-9b889f4b9707}">
    <Anchor>
      <Comment id="{0996f802-f381-4294-9918-ea51a519b1de}"/>
    </Anchor>
    <History>
      <Event time="2019-04-28T09:32:36.00" id="{90780bb2-00e5-4f52-9f31-a665de44b18b}">
        <Attribution userId="placeholder@email.com" userName="Lifeng Fan" userProvider="google-sheets"/>
        <Anchor>
          <Comment id="{0996f802-f381-4294-9918-ea51a519b1de}"/>
        </Anchor>
        <Create/>
      </Event>
      <Event time="2019-04-28T09:32:36.00" id="{63359136-b906-4a71-8ca5-da30f22ff364}">
        <Attribution userId="placeholder@email.com" userName="Lifeng Fan" userProvider="google-sheets"/>
        <Anchor>
          <Comment id="{0996f802-f381-4294-9918-ea51a519b1de}"/>
        </Anchor>
        <Assign userId="linfenga@motorola.com" userName="linfenga@motorola.com" userProvider="google-sheets"/>
      </Event>
    </History>
  </Task>
  <Task id="{836acff1-da19-460b-855b-2f6f45031e98}">
    <Anchor>
      <Comment id="{847bcbf4-a0ca-4ddc-b287-fdd7fb8a3c55}"/>
    </Anchor>
    <History>
      <Event time="2019-03-19T11:49:04.00" id="{939fb705-af0f-4db8-8602-d729cf3b9d94}">
        <Attribution userId="placeholder@email.com" userName="Feng Lin" userProvider="google-sheets"/>
        <Anchor>
          <Comment id="{847bcbf4-a0ca-4ddc-b287-fdd7fb8a3c55}"/>
        </Anchor>
        <Create/>
      </Event>
      <Event time="2019-03-19T11:49:04.00" id="{f0ca9ea1-d9d5-4457-bc06-545c8753983d}">
        <Attribution userId="placeholder@email.com" userName="Feng Lin" userProvider="google-sheets"/>
        <Anchor>
          <Comment id="{847bcbf4-a0ca-4ddc-b287-fdd7fb8a3c55}"/>
        </Anchor>
        <Assign userId="chenwt@motorola.com" userName="chenwt@motorola.com" userProvider="google-sheets"/>
      </Event>
    </History>
  </Task>
  <Task id="{84751638-954e-44bc-ab6f-5f1f4aaf669b}">
    <Anchor>
      <Comment id="{7662b163-39fd-4cb1-b4ce-12ad9a6bdcd8}"/>
    </Anchor>
    <History>
      <Event time="2019-03-18T02:56:11.00" id="{04ef6e93-d2d0-4899-bd33-183b0e93d668}">
        <Attribution userId="placeholder@email.com" userName="Feng Lin" userProvider="google-sheets"/>
        <Anchor>
          <Comment id="{7662b163-39fd-4cb1-b4ce-12ad9a6bdcd8}"/>
        </Anchor>
        <Create/>
      </Event>
      <Event time="2019-03-18T02:56:11.00" id="{8251b008-288f-42ea-a569-99dfe54a57ae}">
        <Attribution userId="placeholder@email.com" userName="Feng Lin" userProvider="google-sheets"/>
        <Anchor>
          <Comment id="{7662b163-39fd-4cb1-b4ce-12ad9a6bdcd8}"/>
        </Anchor>
        <Assign userId="xiongsn1@motorola.com" userName="xiongsn1@motorola.com" userProvider="google-sheets"/>
      </Event>
    </History>
  </Task>
</Tasks>
</file>

<file path=xl/documenttasks/documenttask24.xml><?xml version="1.0" encoding="utf-8"?>
<Tasks xmlns="http://schemas.microsoft.com/office/tasks/2019/documenttasks">
  <Task id="{d2447766-39ce-48bf-bccc-dd56774bc9b0}">
    <Anchor>
      <Comment id="{63f1721d-2827-424e-926a-c87e2e9db9a3}"/>
    </Anchor>
    <History>
      <Event time="2017-04-13T08:49:48.00" id="{e17e5b9e-bb31-4523-acbc-333218b76b63}">
        <Attribution userId="placeholder@email.com" userName="Lifeng Fan" userProvider="google-sheets"/>
        <Anchor>
          <Comment id="{63f1721d-2827-424e-926a-c87e2e9db9a3}"/>
        </Anchor>
        <Create/>
      </Event>
      <Event time="2017-04-13T08:49:48.00" id="{35ccf593-586f-4e8c-a473-2d22b76bd82a}">
        <Attribution userId="placeholder@email.com" userName="Lifeng Fan" userProvider="google-sheets"/>
        <Anchor>
          <Comment id="{63f1721d-2827-424e-926a-c87e2e9db9a3}"/>
        </Anchor>
        <Assign userProvider="google-sheets"/>
      </Event>
    </History>
  </Task>
  <Task id="{d4950e39-bc21-491f-b039-21720937b559}">
    <Anchor>
      <Comment id="{57737e94-cbbb-4958-8388-0d905fa2640b}"/>
    </Anchor>
    <History>
      <Event time="2017-05-08T02:01:39.00" id="{e63a5a75-75ad-4000-b0b7-01d644bb6ad9}">
        <Attribution userId="placeholder@email.com" userName="Lifeng Fan" userProvider="google-sheets"/>
        <Anchor>
          <Comment id="{57737e94-cbbb-4958-8388-0d905fa2640b}"/>
        </Anchor>
        <Create/>
      </Event>
      <Event time="2017-05-08T02:01:39.00" id="{6665c2a1-29ad-4337-9ee1-1a74cc4bf158}">
        <Attribution userId="placeholder@email.com" userName="Lifeng Fan" userProvider="google-sheets"/>
        <Anchor>
          <Comment id="{57737e94-cbbb-4958-8388-0d905fa2640b}"/>
        </Anchor>
        <Assign userId="liguoa@motorola.com" userName="liguoa@motorola.com" userProvider="google-sheets"/>
      </Event>
    </History>
  </Task>
</Tasks>
</file>

<file path=xl/documenttasks/documenttask25.xml><?xml version="1.0" encoding="utf-8"?>
<Tasks xmlns="http://schemas.microsoft.com/office/tasks/2019/documenttasks">
  <Task id="{b4d2e991-da98-4144-8fc3-4d8cc4b4d211}">
    <Anchor>
      <Comment id="{fc7083f4-09fa-41a0-aa2a-fb7953d215be}"/>
    </Anchor>
    <History>
      <Event time="2017-06-05T01:45:35.00" id="{b79b95c8-f81e-42bd-8bde-c25a3e70606d}">
        <Attribution userId="placeholder@email.com" userName="Lifeng Fan" userProvider="google-sheets"/>
        <Anchor>
          <Comment id="{fc7083f4-09fa-41a0-aa2a-fb7953d215be}"/>
        </Anchor>
        <Create/>
      </Event>
      <Event time="2017-06-05T01:45:35.00" id="{a9515e8d-ddff-49d0-8150-fda609c3adf7}">
        <Attribution userId="placeholder@email.com" userName="Lifeng Fan" userProvider="google-sheets"/>
        <Anchor>
          <Comment id="{fc7083f4-09fa-41a0-aa2a-fb7953d215be}"/>
        </Anchor>
        <Assign userProvider="google-sheets"/>
      </Event>
    </History>
  </Task>
  <Task id="{48550cc2-ec91-4913-bbdf-45394445c4a5}">
    <Anchor>
      <Comment id="{694a6e63-e83e-4038-9372-000bb61fedc8}"/>
    </Anchor>
    <History>
      <Event time="2017-05-12T08:09:07.00" id="{60a7e1bc-73e4-4c4e-848d-eab66492377f}">
        <Attribution userId="placeholder@email.com" userName="Lifeng Fan" userProvider="google-sheets"/>
        <Anchor>
          <Comment id="{694a6e63-e83e-4038-9372-000bb61fedc8}"/>
        </Anchor>
        <Create/>
      </Event>
      <Event time="2017-05-12T08:09:07.00" id="{fed3f1d7-ddb4-4079-98b1-c582190d840a}">
        <Attribution userId="placeholder@email.com" userName="Lifeng Fan" userProvider="google-sheets"/>
        <Anchor>
          <Comment id="{694a6e63-e83e-4038-9372-000bb61fedc8}"/>
        </Anchor>
        <Assign userId="xiongsn1@motorola.com" userName="xiongsn1@motorola.com" userProvider="google-sheets"/>
      </Event>
    </History>
  </Task>
  <Task id="{4947961e-23cb-4347-82b1-bffbf39f997e}">
    <Anchor>
      <Comment id="{294330c1-32b1-43c4-9dac-983f2342f42c}"/>
    </Anchor>
    <History>
      <Event time="2017-05-12T08:09:46.00" id="{ab1b7c0e-c513-429b-bea5-0194a9495d36}">
        <Attribution userId="placeholder@email.com" userName="Lifeng Fan" userProvider="google-sheets"/>
        <Anchor>
          <Comment id="{294330c1-32b1-43c4-9dac-983f2342f42c}"/>
        </Anchor>
        <Create/>
      </Event>
      <Event time="2017-05-12T08:09:46.00" id="{33289c05-05a7-4ed5-b7f9-bc1daa2ea264}">
        <Attribution userId="placeholder@email.com" userName="Lifeng Fan" userProvider="google-sheets"/>
        <Anchor>
          <Comment id="{294330c1-32b1-43c4-9dac-983f2342f42c}"/>
        </Anchor>
        <Assign userProvider="google-sheets"/>
      </Event>
    </History>
  </Task>
  <Task id="{dbb72a34-2593-4ef2-a528-09466c050162}">
    <Anchor>
      <Comment id="{1151a8c1-a74d-40d1-a3d9-65349d1e68c9}"/>
    </Anchor>
    <History>
      <Event time="2017-05-02T05:08:04.00" id="{ba332ec8-5c21-4f48-bc66-005e9073c750}">
        <Attribution userId="placeholder@email.com" userName="Lifeng Fan" userProvider="google-sheets"/>
        <Anchor>
          <Comment id="{1151a8c1-a74d-40d1-a3d9-65349d1e68c9}"/>
        </Anchor>
        <Create/>
      </Event>
      <Event time="2017-05-02T05:08:04.00" id="{b4b99949-382f-4f91-92f0-a998fe4b8a2e}">
        <Attribution userId="placeholder@email.com" userName="Lifeng Fan" userProvider="google-sheets"/>
        <Anchor>
          <Comment id="{1151a8c1-a74d-40d1-a3d9-65349d1e68c9}"/>
        </Anchor>
        <Assign userProvider="google-sheets"/>
      </Event>
    </History>
  </Task>
  <Task id="{7c1902c4-700c-4218-b8ed-a5d560c63d12}">
    <Anchor>
      <Comment id="{4b6e845c-6fcf-4ddf-8ff5-55aae583073d}"/>
    </Anchor>
    <History>
      <Event time="2017-05-08T02:02:22.00" id="{b2606af1-7912-45ee-b9ee-3073f2147f6b}">
        <Attribution userId="placeholder@email.com" userName="Lifeng Fan" userProvider="google-sheets"/>
        <Anchor>
          <Comment id="{4b6e845c-6fcf-4ddf-8ff5-55aae583073d}"/>
        </Anchor>
        <Create/>
      </Event>
      <Event time="2017-05-08T02:02:22.00" id="{8a829b57-8c48-476d-9f33-6a32911831bb}">
        <Attribution userId="placeholder@email.com" userName="Lifeng Fan" userProvider="google-sheets"/>
        <Anchor>
          <Comment id="{4b6e845c-6fcf-4ddf-8ff5-55aae583073d}"/>
        </Anchor>
        <Assign userId="linfenga@motorola.com" userName="linfenga@motorola.com" userProvider="google-sheets"/>
      </Event>
    </History>
  </Task>
</Tasks>
</file>

<file path=xl/documenttasks/documenttask26.xml><?xml version="1.0" encoding="utf-8"?>
<Tasks xmlns="http://schemas.microsoft.com/office/tasks/2019/documenttask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 Id="rId3" Type="http://schemas.openxmlformats.org/officeDocument/2006/relationships/image" Target="../media/image4.png"/></Relationships>
</file>

<file path=xl/drawings/_rels/drawing3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1066800</xdr:colOff>
      <xdr:row>4</xdr:row>
      <xdr:rowOff>19050</xdr:rowOff>
    </xdr:from>
    <xdr:ext cx="4562475" cy="4019550"/>
    <xdr:pic>
      <xdr:nvPicPr>
        <xdr:cNvPr id="0" name="image1.png" title="图片"/>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0</xdr:colOff>
      <xdr:row>24</xdr:row>
      <xdr:rowOff>0</xdr:rowOff>
    </xdr:from>
    <xdr:ext cx="2085975" cy="1809750"/>
    <xdr:pic>
      <xdr:nvPicPr>
        <xdr:cNvPr id="0" name="image3.png" title="图片"/>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2581275</xdr:colOff>
      <xdr:row>21</xdr:row>
      <xdr:rowOff>1028700</xdr:rowOff>
    </xdr:from>
    <xdr:ext cx="1390650" cy="1828800"/>
    <xdr:pic>
      <xdr:nvPicPr>
        <xdr:cNvPr id="0" name="image2.png" title="图片"/>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66675</xdr:colOff>
      <xdr:row>21</xdr:row>
      <xdr:rowOff>1257300</xdr:rowOff>
    </xdr:from>
    <xdr:ext cx="2143125" cy="1905000"/>
    <xdr:pic>
      <xdr:nvPicPr>
        <xdr:cNvPr id="0" name="image4.png" title="图片"/>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133350</xdr:colOff>
      <xdr:row>0</xdr:row>
      <xdr:rowOff>114300</xdr:rowOff>
    </xdr:from>
    <xdr:ext cx="10534650" cy="74485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xiaozh1@motorola.com" id="{d3bc4f64-10ef-41fd-9d7c-32349da106cc}" userId="xiaozh1@motorola.com" providerId="google-sheets"/>
  <x18tc:person displayName="dongjk@motorola.com" id="{c74c1934-3d95-4335-a0ea-764c3940074b}" userId="dongjk@motorola.com" providerId="google-sheets"/>
  <x18tc:person displayName="xuemin wu" id="{ba5e0756-ba59-4eca-8692-a873077ead93}" providerId="google-sheets"/>
  <x18tc:person displayName="Guo Li" id="{707fe07e-9ef9-437f-a53f-1159714f889b}" providerId="google-sheets"/>
  <x18tc:person displayName="zhihao xiao" id="{7e913e6b-de4e-4849-9003-1ee307a30106}" providerId="google-sheets"/>
  <x18tc:person displayName="liaozl2@motorola.com" id="{ecec1d2d-2b30-41b3-a25c-d9ad805adb9c}" userId="liaozl2@motorola.com" providerId="google-sheets"/>
  <x18tc:person displayName="Feng Lin" id="{861507d4-5da4-4a89-b3c0-95a0157954d9}" providerId="google-sheets"/>
  <x18tc:person displayName="changfm1@motorola.com" id="{9f1abf6f-4b70-4fd0-b4d1-53c68e3022c5}" userId="changfm1@motorola.com" providerId="google-sheets"/>
  <x18tc:person displayName="Bang Chen" id="{5d445140-7d74-481e-b6ce-e9a82a2ecf79}" providerId="google-sheets"/>
  <x18tc:person displayName="chenbang3@lenovo.com" id="{a73e225a-9f48-4c0d-89aa-211a06247db9}" userId="chenbang3@lenovo.com" providerId="google-sheets"/>
  <x18tc:person displayName="wenting chen" id="{264256c3-bbc9-47ac-9dd7-8d4b1679bb68}" providerId="google-sheets"/>
  <x18tc:person displayName="chenw24@motorola.com" id="{a04b8025-a96c-4e81-a99d-9d3df5d81c51}" userId="chenw24@motorola.com" providerId="google-sheets"/>
  <x18tc:person displayName="Zhe Lin" id="{8628f759-eaee-4210-b9e3-5e4cf3a639c5}" providerId="google-sheets"/>
  <x18tc:person displayName="wuxm5@motorola.com" id="{200db89f-b2fd-4768-8b3f-704e424e69fc}" userId="wuxm5@motorola.com" providerId="google-sheets"/>
  <x18tc:person displayName="Deleted user" id="{09d6a95a-384b-4fb3-af77-b5b35f657e9b}" providerId="google-sheets"/>
  <x18tc:person displayName="chenb3@motorola.com" id="{873f86e6-0f3e-4e97-85f8-040caac71fca}" userId="chenb3@motorola.com" providerId="google-sheets"/>
  <x18tc:person displayName="liujjg@motorola.com" id="{57ce948b-c47e-4020-b87e-bf36ac46f5f5}" userId="liujjg@motorola.com" providerId="google-sheets"/>
  <x18tc:person displayName="fanlf@motorola.com" id="{89829eb4-0844-4193-86c6-4fc6afe868fc}" userId="fanlf@motorola.com" providerId="google-sheets"/>
  <x18tc:person displayName="sunyh1@motorola.com" id="{c556a42b-59b1-4cdd-9130-05835939e801}" userId="sunyh1@motorola.com" providerId="google-sheets"/>
  <x18tc:person displayName="Zhelin Liao" id="{25a3379c-f0e8-4dec-ad6a-9b9f7b1b59c1}" providerId="google-sheets"/>
  <x18tc:person displayName="huangls5@motorola.com" id="{fe847830-993b-408e-a324-030a6e8743a8}" userId="huangls5@motorola.com" providerId="google-sheets"/>
  <x18tc:person displayName="linfenga@motorola.com" id="{6c148249-be48-463d-bf99-d2efef89b01f}" userId="linfenga@motorola.com" providerId="google-sheets"/>
  <x18tc:person displayName="chenyc4@motorola.com" id="{a60f8d20-44c7-49c3-ba87-c3ad095b2ba3}" userId="chenyc4@motorola.com" providerId="google-sheets"/>
  <x18tc:person displayName="chenwt@motorola.com" id="{bdd1ce91-40c2-41d8-8897-275c11d3b7d8}" userId="chenwt@motorola.com" providerId="google-sheets"/>
  <x18tc:person displayName="yangwla@motorola.com" id="{bfab316f-3c6f-495a-954b-98c3299c9c97}" userId="yangwla@motorola.com" providerId="google-sheets"/>
  <x18tc:person displayName="wangxhl@motorola.com" id="{75d4b9e0-6c37-4fd7-975d-3ced5f37b66a}" userId="wangxhl@motorola.com" providerId="google-sheets"/>
  <x18tc:person displayName="Taijia De" id="{811c09f0-0771-4d76-9124-1cb854c9b756}" providerId="google-sheets"/>
  <x18tc:person displayName="liguoa@motorola.com" id="{466ad751-a4a6-489f-b0f0-680e8e3625fe}" userId="liguoa@motorola.com" providerId="google-sheets"/>
  <x18tc:person displayName="xiongsn1@motorola.com" id="{29c1a8e0-e66d-4172-98d4-3780dccea77b}" userId="xiongsn1@motorola.com" providerId="google-sheets"/>
  <x18tc:person displayName="hankai4@motorola.com" id="{d702ad81-eb9f-441c-b96d-4f0c49761fea}" userId="hankai4@motorola.com" providerId="google-sheets"/>
  <x18tc:person displayName="puzhe1@motorola.com" id="{3bfa2978-53c6-4689-a7e2-f41898c823e3}" userId="puzhe1@motorola.com" providerId="google-sheets"/>
  <x18tc:person displayName="detj1@motorola.com" id="{5cb72c85-a096-41e1-a062-1f035453dd58}" userId="detj1@motorola.com" providerId="google-sheets"/>
  <x18tc:person displayName="chenbang3@motorola.com" id="{537aa0a9-a001-4015-9b7a-8e1355760653}" userId="chenbang3@motorola.com" providerId="google-sheets"/>
  <x18tc:person displayName="Deleted user" id="{9a5f9c6f-8403-4392-aa6a-8362575a7a0a}" providerId="google-sheets"/>
  <x18tc:person displayName="fangmei chang" id="{577c9a8f-cc82-4e10-8937-2f6f29d8b761}" providerId="google-sheets"/>
  <x18tc:person displayName="Shengnan Xiong" id="{bd64dc66-6b89-428c-92a4-0e252df79ace}" providerId="google-sheets"/>
  <x18tc:person displayName="Deleted user" id="{ebaaa9f7-3383-43fa-980b-04e22673f815}" providerId="google-sheets"/>
  <x18tc:person displayName="weiweij@motorola.com" id="{76e0e797-6687-462a-8567-9676a8603ee0}" userId="weiweij@motorola.com" providerId="google-sheets"/>
  <x18tc:person displayName="Lifeng Fan" id="{515ecdfa-17a5-45e9-8370-442994ed0931}" providerId="google-sheets"/>
</x18tc:personList>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M1011" sheet="Database"/>
  </cacheSource>
  <cacheFields>
    <cacheField name="Date">
      <sharedItems containsDate="1" containsBlank="1" containsMixedTypes="1">
        <n v="2.0170401E7"/>
        <n v="2.0161118E7"/>
        <n v="2.0170113E7"/>
        <n v="2.0161101E7"/>
        <n v="2.0161208E7"/>
        <n v="2.0160901E7"/>
        <d v="2026-05-09T00:00:00Z"/>
        <d v="2026-05-11T00:00:00Z"/>
        <d v="2026-04-29T00:00:00Z"/>
        <d v="2026-04-03T00:00:00Z"/>
        <d v="2026-05-18T00:00:00Z"/>
        <d v="2026-05-08T00:00:00Z"/>
        <d v="2026-05-07T00:00:00Z"/>
        <d v="2026-04-23T00:00:00Z"/>
        <m/>
        <s v="       "/>
        <d v="2026-03-13T00:00:00Z"/>
        <d v="2026-03-12T00:00:00Z"/>
        <d v="2026-03-03T00:00:00Z"/>
        <d v="2026-02-11T00:00:00Z"/>
        <d v="2026-02-05T00:00:00Z"/>
        <d v="2026-01-30T00:00:00Z"/>
        <d v="2026-01-28T00:00:00Z"/>
        <d v="2026-01-16T00:00:00Z"/>
        <d v="2026-01-15T00:00:00Z"/>
        <d v="2026-01-10T00:00:00Z"/>
        <d v="2026-01-08T00:00:00Z"/>
        <d v="2025-12-19T00:00:00Z"/>
        <d v="2025-12-12T00:00:00Z"/>
        <d v="2025-11-12T00:00:00Z"/>
        <d v="2026-03-09T00:00:00Z"/>
        <d v="2026-02-28T00:00:00Z"/>
        <d v="2026-02-09T00:00:00Z"/>
        <d v="2026-02-03T00:00:00Z"/>
        <d v="2026-01-14T00:00:00Z"/>
        <d v="2025-12-22T00:00:00Z"/>
        <d v="2025-12-09T00:00:00Z"/>
        <d v="2025-11-25T00:00:00Z"/>
        <d v="2025-11-07T00:00:00Z"/>
        <d v="2025-11-06T00:00:00Z"/>
        <d v="2025-11-03T00:00:00Z"/>
        <d v="2025-10-20T00:00:00Z"/>
        <d v="2026-01-05T00:00:00Z"/>
        <d v="2025-11-24T00:00:00Z"/>
        <d v="2025-10-21T00:00:00Z"/>
        <d v="2025-10-11T00:00:00Z"/>
        <d v="2025-09-25T00:00:00Z"/>
        <d v="2025-10-10T00:00:00Z"/>
        <d v="2025-09-01T00:00:00Z"/>
        <d v="2025-09-16T00:00:00Z"/>
        <d v="2025-08-04T00:00:00Z"/>
        <d v="2025-11-11T00:00:00Z"/>
        <d v="2025-09-28T00:00:00Z"/>
        <d v="2025-09-26T00:00:00Z"/>
        <d v="2025-09-12T00:00:00Z"/>
        <d v="2025-09-08T00:00:00Z"/>
        <d v="2025-08-11T00:00:00Z"/>
        <d v="2025-08-07T00:00:00Z"/>
        <d v="2025-07-28T00:00:00Z"/>
        <d v="2025-07-23T00:00:00Z"/>
        <d v="2025-07-19T00:00:00Z"/>
        <d v="2025-07-17T00:00:00Z"/>
        <d v="2025-07-14T00:00:00Z"/>
        <d v="2025-07-13T00:00:00Z"/>
        <d v="2025-07-11T00:00:00Z"/>
        <d v="2025-07-10T00:00:00Z"/>
        <d v="2025-07-08T00:00:00Z"/>
        <d v="2025-07-04T00:00:00Z"/>
        <d v="2025-06-25T00:00:00Z"/>
        <d v="2025-07-02T00:00:00Z"/>
        <d v="2025-06-18T00:00:00Z"/>
        <d v="2025-06-16T00:00:00Z"/>
        <d v="2025-06-11T00:00:00Z"/>
        <d v="2025-06-10T00:00:00Z"/>
        <d v="2025-06-09T00:00:00Z"/>
        <d v="2025-06-06T00:00:00Z"/>
        <d v="2025-06-04T00:00:00Z"/>
        <d v="2025-06-05T00:00:00Z"/>
        <d v="2025-06-03T00:00:00Z"/>
        <d v="2025-05-31T00:00:00Z"/>
        <d v="2025-05-30T00:00:00Z"/>
        <d v="2025-05-09T00:00:00Z"/>
        <d v="2025-05-12T00:00:00Z"/>
        <d v="2025-05-07T00:00:00Z"/>
        <d v="2025-03-27T00:00:00Z"/>
        <d v="2025-04-29T00:00:00Z"/>
        <d v="2025-04-30T00:00:00Z"/>
        <n v="2.025043E7"/>
        <n v="2.0250409E7"/>
        <n v="2.0250113E7"/>
        <n v="2.0250107E7"/>
        <n v="2.024122E7"/>
        <n v="2.024121E7"/>
        <n v="2.0241205E7"/>
        <d v="2024-12-03T00:00:00Z"/>
        <d v="2024-11-04T00:00:00Z"/>
        <d v="2024-11-07T00:00:00Z"/>
        <d v="2024-10-16T00:00:00Z"/>
        <d v="2024-10-15T00:00:00Z"/>
        <d v="2024-10-12T00:00:00Z"/>
        <d v="2024-08-29T00:00:00Z"/>
        <d v="2025-03-24T00:00:00Z"/>
        <d v="2024-12-25T00:00:00Z"/>
        <d v="2024-12-02T00:00:00Z"/>
        <d v="2024-11-18T00:00:00Z"/>
        <d v="2024-10-18T00:00:00Z"/>
        <d v="2024-10-14T00:00:00Z"/>
        <d v="2024-09-27T00:00:00Z"/>
        <d v="2024-09-10T00:00:00Z"/>
        <d v="2024-09-20T00:00:00Z"/>
        <d v="2024-09-18T00:00:00Z"/>
        <d v="2024-08-22T00:00:00Z"/>
        <d v="2024-08-21T00:00:00Z"/>
        <d v="2024-09-19T00:00:00Z"/>
        <d v="2024-08-27T00:00:00Z"/>
        <d v="2024-08-23T00:00:00Z"/>
        <d v="2024-09-02T00:00:00Z"/>
        <d v="2024-07-03T00:00:00Z"/>
        <d v="2024-07-24T00:00:00Z"/>
        <d v="2024-10-29T00:00:00Z"/>
        <d v="2024-06-04T00:00:00Z"/>
        <d v="2024-05-22T00:00:00Z"/>
        <d v="2024-05-09T00:00:00Z"/>
        <d v="2024-05-08T00:00:00Z"/>
        <d v="2024-05-07T00:00:00Z"/>
        <d v="2024-04-03T00:00:00Z"/>
        <d v="2024-04-02T00:00:00Z"/>
        <d v="2024-03-18T00:00:00Z"/>
        <d v="2024-04-01T00:00:00Z"/>
        <d v="2024-03-29T00:00:00Z"/>
        <d v="2024-03-07T00:00:00Z"/>
        <d v="2024-03-05T00:00:00Z"/>
        <d v="2024-03-02T00:00:00Z"/>
        <d v="2024-02-21T00:00:00Z"/>
        <d v="2024-01-31T00:00:00Z"/>
        <d v="2024-01-29T00:00:00Z"/>
        <d v="2024-01-22T00:00:00Z"/>
        <d v="2024-04-23T00:00:00Z"/>
        <d v="2024-04-15T00:00:00Z"/>
        <d v="2024-04-11T00:00:00Z"/>
        <d v="2024-02-23T00:00:00Z"/>
        <d v="2023-12-18T00:00:00Z"/>
        <d v="2024-01-10T00:00:00Z"/>
        <d v="2023-12-20T00:00:00Z"/>
        <d v="2023-12-13T00:00:00Z"/>
        <d v="2023-11-17T00:00:00Z"/>
        <d v="2023-10-19T00:00:00Z"/>
        <d v="2023-09-20T00:00:00Z"/>
        <d v="2023-10-24T00:00:00Z"/>
        <d v="2023-08-19T00:00:00Z"/>
        <d v="2023-11-10T00:00:00Z"/>
        <d v="2023-08-14T00:00:00Z"/>
        <d v="2023-07-20T00:00:00Z"/>
        <d v="2023-06-30T00:00:00Z"/>
        <d v="2023-06-02T00:00:00Z"/>
        <d v="2023-05-22T00:00:00Z"/>
        <d v="2023-04-21T00:00:00Z"/>
        <d v="2023-04-17T00:00:00Z"/>
        <d v="2023-04-18T00:00:00Z"/>
        <d v="2023-05-15T00:00:00Z"/>
        <d v="2023-05-11T00:00:00Z"/>
        <d v="2023-04-01T00:00:00Z"/>
        <d v="2023-04-12T00:00:00Z"/>
        <d v="2024-01-25T00:00:00Z"/>
        <d v="2023-06-27T00:00:00Z"/>
        <d v="2023-04-06T00:00:00Z"/>
        <d v="2023-05-08T00:00:00Z"/>
        <d v="2023-03-21T00:00:00Z"/>
        <d v="2023-03-01T00:00:00Z"/>
        <d v="2023-04-03T00:00:00Z"/>
        <d v="2023-03-25T00:00:00Z"/>
        <d v="2023-03-06T00:00:00Z"/>
        <d v="2023-02-24T00:00:00Z"/>
        <d v="2023-02-03T00:00:00Z"/>
        <d v="2023-02-22T00:00:00Z"/>
        <d v="2023-02-27T00:00:00Z"/>
        <d v="2023-01-20T00:00:00Z"/>
        <d v="2023-01-09T00:00:00Z"/>
        <d v="2023-01-30T00:00:00Z"/>
        <d v="2023-01-12T00:00:00Z"/>
        <d v="2023-01-11T00:00:00Z"/>
        <d v="2022-12-08T00:00:00Z"/>
        <d v="2022-12-05T00:00:00Z"/>
        <d v="2022-11-29T00:00:00Z"/>
        <d v="2022-11-21T00:00:00Z"/>
        <d v="2022-10-21T00:00:00Z"/>
        <d v="2024-06-24T00:00:00Z"/>
        <d v="2024-03-25T00:00:00Z"/>
        <d v="2023-11-08T00:00:00Z"/>
        <d v="2024-01-05T00:00:00Z"/>
        <d v="2024-01-03T00:00:00Z"/>
        <d v="2023-12-12T00:00:00Z"/>
        <d v="2023-12-06T00:00:00Z"/>
        <d v="2023-12-05T00:00:00Z"/>
        <d v="2023-11-23T00:00:00Z"/>
        <d v="2023-11-13T00:00:00Z"/>
        <d v="2023-10-08T00:00:00Z"/>
        <d v="2023-10-20T00:00:00Z"/>
        <d v="2023-10-27T00:00:00Z"/>
        <d v="2023-10-26T00:00:00Z"/>
        <d v="2023-10-16T00:00:00Z"/>
        <d v="2023-09-28T00:00:00Z"/>
        <d v="2023-10-07T00:00:00Z"/>
        <d v="2023-09-08T00:00:00Z"/>
        <d v="2023-08-28T00:00:00Z"/>
        <d v="2023-08-29T00:00:00Z"/>
        <d v="2023-02-15T00:00:00Z"/>
        <d v="2023-02-14T00:00:00Z"/>
        <d v="2023-02-07T00:00:00Z"/>
        <d v="2023-01-31T00:00:00Z"/>
        <d v="2022-01-30T00:00:00Z"/>
        <d v="2022-12-29T00:00:00Z"/>
        <d v="2022-12-23T00:00:00Z"/>
        <d v="2022-12-22T00:00:00Z"/>
        <d v="2022-12-15T00:00:00Z"/>
        <d v="2022-12-07T00:00:00Z"/>
        <d v="2022-11-28T00:00:00Z"/>
        <d v="2022-11-16T00:00:00Z"/>
        <d v="2022-09-22T00:00:00Z"/>
        <d v="2022-11-03T00:00:00Z"/>
        <d v="2022-10-12T00:00:00Z"/>
        <d v="2022-10-10T00:00:00Z"/>
        <d v="2022-10-20T00:00:00Z"/>
        <d v="2022-10-14T00:00:00Z"/>
        <d v="2022-09-26T00:00:00Z"/>
        <d v="2022-09-12T00:00:00Z"/>
        <d v="2022-08-29T00:00:00Z"/>
        <d v="2022-08-25T00:00:00Z"/>
        <d v="2023-01-05T00:00:00Z"/>
        <d v="2022-06-17T00:00:00Z"/>
        <d v="2022-07-25T00:00:00Z"/>
        <d v="2022-06-07T00:00:00Z"/>
        <d v="2022-05-17T00:00:00Z"/>
        <d v="2022-04-29T00:00:00Z"/>
        <d v="2022-04-26T00:00:00Z"/>
        <d v="2022-04-28T00:00:00Z"/>
        <d v="2022-04-13T00:00:00Z"/>
        <d v="2022-03-30T00:00:00Z"/>
        <d v="2022-03-02T00:00:00Z"/>
        <d v="2022-04-06T00:00:00Z"/>
        <d v="2022-02-18T00:00:00Z"/>
        <d v="2022-02-11T00:00:00Z"/>
        <d v="2022-01-10T00:00:00Z"/>
        <d v="2022-01-20T00:00:00Z"/>
        <d v="2022-01-14T00:00:00Z"/>
        <d v="2022-01-08T00:00:00Z"/>
        <d v="2021-12-17T00:00:00Z"/>
        <d v="2021-12-13T00:00:00Z"/>
        <d v="2021-09-23T00:00:00Z"/>
        <d v="2022-07-14T00:00:00Z"/>
        <d v="2022-03-09T00:00:00Z"/>
        <d v="2021-12-30T00:00:00Z"/>
        <d v="2021-12-10T00:00:00Z"/>
        <d v="2021-12-20T00:00:00Z"/>
        <d v="2021-12-06T00:00:00Z"/>
        <d v="2021-11-23T00:00:00Z"/>
        <d v="2021-11-04T00:00:00Z"/>
        <d v="2021-10-14T00:00:00Z"/>
        <d v="2021-11-16T00:00:00Z"/>
        <d v="2021-11-15T00:00:00Z"/>
        <d v="2021-11-09T00:00:00Z"/>
        <d v="2021-10-22T00:00:00Z"/>
        <d v="2021-10-09T00:00:00Z"/>
        <d v="2021-10-11T00:00:00Z"/>
        <d v="2021-09-14T00:00:00Z"/>
        <d v="2021-09-13T00:00:00Z"/>
        <d v="2021-09-03T00:00:00Z"/>
        <d v="2021-10-12T00:00:00Z"/>
        <d v="2021-09-29T00:00:00Z"/>
        <d v="2021-09-24T00:00:00Z"/>
        <d v="2021-09-06T00:00:00Z"/>
        <d v="2021-08-27T00:00:00Z"/>
        <d v="2021-09-26T00:00:00Z"/>
        <d v="2021-08-26T00:00:00Z"/>
        <d v="2021-09-15T00:00:00Z"/>
        <d v="2021-08-20T00:00:00Z"/>
        <d v="2021-07-19T00:00:00Z"/>
        <d v="2021-06-22T00:00:00Z"/>
        <d v="2021-06-28T00:00:00Z"/>
        <d v="2021-08-02T00:00:00Z"/>
        <d v="2021-07-13T00:00:00Z"/>
        <d v="2021-06-21T00:00:00Z"/>
        <d v="2021-07-15T00:00:00Z"/>
        <d v="2021-07-12T00:00:00Z"/>
        <d v="2021-06-11T00:00:00Z"/>
        <d v="2021-06-18T00:00:00Z"/>
        <d v="2021-05-09T00:00:00Z"/>
        <d v="2021-06-02T00:00:00Z"/>
        <d v="2021-05-27T00:00:00Z"/>
        <d v="2021-06-06T00:00:00Z"/>
        <d v="2021-05-18T00:00:00Z"/>
        <d v="2021-05-28T00:00:00Z"/>
        <d v="2021-05-24T00:00:00Z"/>
        <d v="2021-04-20T00:00:00Z"/>
        <d v="2021-05-12T00:00:00Z"/>
        <d v="2021-04-25T00:00:00Z"/>
        <d v="2021-04-23T00:00:00Z"/>
        <d v="2021-04-14T00:00:00Z"/>
        <d v="2021-04-11T00:00:00Z"/>
        <d v="2021-04-12T00:00:00Z"/>
        <d v="2021-03-20T00:00:00Z"/>
        <d v="2021-02-04T00:00:00Z"/>
        <d v="2021-01-25T00:00:00Z"/>
        <d v="2021-04-06T00:00:00Z"/>
        <d v="2021-03-14T00:00:00Z"/>
        <d v="2021-01-26T00:00:00Z"/>
        <d v="2021-01-21T00:00:00Z"/>
        <d v="2020-12-10T00:00:00Z"/>
        <d v="2021-01-22T00:00:00Z"/>
        <d v="2020-12-14T00:00:00Z"/>
        <d v="2020-12-03T00:00:00Z"/>
        <d v="2020-11-24T00:00:00Z"/>
        <d v="2020-12-01T00:00:00Z"/>
        <d v="2020-06-05T00:00:00Z"/>
        <d v="2019-08-28T00:00:00Z"/>
        <d v="2019-08-20T00:00:00Z"/>
        <d v="2019-08-09T00:00:00Z"/>
        <d v="2019-07-21T00:00:00Z"/>
        <d v="2019-07-19T00:00:00Z"/>
        <d v="2019-07-08T00:00:00Z"/>
        <d v="2019-05-21T00:00:00Z"/>
        <d v="2019-05-07T00:00:00Z"/>
        <d v="2019-04-26T00:00:00Z"/>
        <d v="2019-04-01T00:00:00Z"/>
        <d v="2019-03-25T00:00:00Z"/>
        <d v="2019-03-04T00:00:00Z"/>
        <d v="2019-01-23T00:00:00Z"/>
        <d v="2019-03-08T00:00:00Z"/>
        <d v="2019-03-07T00:00:00Z"/>
        <d v="2019-02-25T00:00:00Z"/>
        <d v="2019-02-24T00:00:00Z"/>
        <d v="2019-01-30T00:00:00Z"/>
        <d v="2018-12-26T00:00:00Z"/>
        <d v="2018-10-22T00:00:00Z"/>
        <d v="2018-12-16T00:00:00Z"/>
        <d v="2018-11-26T00:00:00Z"/>
        <d v="2018-12-06T00:00:00Z"/>
        <d v="2018-12-12T00:00:00Z"/>
        <d v="2018-12-05T00:00:00Z"/>
        <d v="2018-12-04T00:00:00Z"/>
        <d v="2018-12-13T00:00:00Z"/>
        <d v="2018-12-02T00:00:00Z"/>
        <d v="2018-11-29T00:00:00Z"/>
        <d v="2018-11-16T00:00:00Z"/>
        <d v="2018-11-13T00:00:00Z"/>
        <d v="2018-11-08T00:00:00Z"/>
        <d v="2018-11-05T00:00:00Z"/>
        <d v="2018-10-30T00:00:00Z"/>
        <d v="2018-10-24T00:00:00Z"/>
        <d v="2018-10-11T00:00:00Z"/>
        <d v="2018-09-04T00:00:00Z"/>
        <d v="2018-07-31T00:00:00Z"/>
        <d v="2018-08-31T00:00:00Z"/>
        <d v="2018-08-27T00:00:00Z"/>
        <d v="2018-08-08T00:00:00Z"/>
        <d v="2018-05-07T00:00:00Z"/>
        <d v="2018-07-23T00:00:00Z"/>
        <d v="2018-04-19T00:00:00Z"/>
        <d v="2018-04-20T00:00:00Z"/>
        <d v="2018-07-02T00:00:00Z"/>
        <d v="2018-07-10T00:00:00Z"/>
        <d v="2018-07-12T00:00:00Z"/>
        <d v="2020-02-26T00:00:00Z"/>
        <d v="2019-12-03T00:00:00Z"/>
        <d v="2019-11-15T00:00:00Z"/>
        <d v="2019-10-31T00:00:00Z"/>
        <d v="2019-10-23T00:00:00Z"/>
        <d v="2019-10-10T00:00:00Z"/>
        <d v="2019-10-12T00:00:00Z"/>
        <d v="2019-09-29T00:00:00Z"/>
        <d v="2019-09-18T00:00:00Z"/>
        <d v="2019-09-25T00:00:00Z"/>
        <d v="2019-09-17T00:00:00Z"/>
        <d v="2019-09-06T00:00:00Z"/>
        <d v="2019-09-04T00:00:00Z"/>
        <d v="2019-09-02T00:00:00Z"/>
        <d v="2019-08-31T00:00:00Z"/>
        <n v="2.019083E7"/>
        <n v="2.0190815E7"/>
        <d v="2019-07-31T00:00:00Z"/>
        <d v="2019-08-26T00:00:00Z"/>
        <d v="2019-08-06T00:00:00Z"/>
        <d v="2020-06-18T00:00:00Z"/>
        <d v="2019-07-29T00:00:00Z"/>
        <d v="2019-08-01T00:00:00Z"/>
        <d v="2019-07-30T00:00:00Z"/>
        <d v="2019-07-26T00:00:00Z"/>
        <d v="2019-07-24T00:00:00Z"/>
        <d v="2019-07-22T00:00:00Z"/>
        <d v="2019-07-12T00:00:00Z"/>
        <d v="2019-07-02T00:00:00Z"/>
        <d v="2019-06-26T00:00:00Z"/>
        <d v="2019-05-29T00:00:00Z"/>
        <d v="2019-05-15T00:00:00Z"/>
        <d v="2019-05-17T00:00:00Z"/>
        <d v="2020-08-20T00:00:00Z"/>
        <d v="2020-06-28T00:00:00Z"/>
        <d v="2020-06-22T00:00:00Z"/>
        <d v="2020-06-17T00:00:00Z"/>
        <d v="2020-06-19T00:00:00Z"/>
        <d v="2020-06-10T00:00:00Z"/>
        <d v="2020-04-23T00:00:00Z"/>
        <d v="2020-05-25T00:00:00Z"/>
        <d v="2020-05-20T00:00:00Z"/>
        <d v="2020-05-15T00:00:00Z"/>
        <d v="2020-05-06T00:00:00Z"/>
        <d v="2020-05-11T00:00:00Z"/>
        <d v="2020-04-29T00:00:00Z"/>
        <d v="2020-05-08T00:00:00Z"/>
        <d v="2020-04-15T00:00:00Z"/>
        <d v="2020-05-07T00:00:00Z"/>
        <d v="2020-04-26T00:00:00Z"/>
        <d v="2020-04-24T00:00:00Z"/>
        <d v="2020-04-13T00:00:00Z"/>
        <d v="2020-04-17T00:00:00Z"/>
        <d v="2020-04-10T00:00:00Z"/>
        <d v="2020-04-03T00:00:00Z"/>
        <d v="2020-04-06T00:00:00Z"/>
        <d v="2020-04-14T00:00:00Z"/>
        <d v="2020-04-07T00:00:00Z"/>
        <d v="2020-03-26T00:00:00Z"/>
        <d v="2020-03-30T00:00:00Z"/>
        <d v="2020-03-31T00:00:00Z"/>
        <d v="2020-03-17T00:00:00Z"/>
        <d v="2020-03-05T00:00:00Z"/>
        <d v="2020-02-27T00:00:00Z"/>
        <d v="2020-01-10T00:00:00Z"/>
        <d v="2020-01-07T00:00:00Z"/>
        <d v="2021-03-15T00:00:00Z"/>
        <d v="2021-03-01T00:00:00Z"/>
        <d v="2020-12-17T00:00:00Z"/>
        <d v="2020-12-02T00:00:00Z"/>
        <d v="2020-11-23T00:00:00Z"/>
        <d v="2020-09-23T00:00:00Z"/>
        <d v="2020-09-27T00:00:00Z"/>
        <d v="2020-11-10T00:00:00Z"/>
        <d v="2020-10-09T00:00:00Z"/>
        <d v="2020-10-29T00:00:00Z"/>
        <d v="2020-10-22T00:00:00Z"/>
        <d v="2020-10-10T00:00:00Z"/>
        <d v="2020-06-08T00:00:00Z"/>
        <d v="2020-09-16T00:00:00Z"/>
        <d v="2020-09-10T00:00:00Z"/>
        <d v="2019-01-17T00:00:00Z"/>
        <d v="2018-07-17T00:00:00Z"/>
        <d v="2018-07-05T00:00:00Z"/>
        <d v="2018-06-26T00:00:00Z"/>
        <d v="2018-04-27T00:00:00Z"/>
        <d v="2018-04-14T00:00:00Z"/>
        <d v="2018-03-29T00:00:00Z"/>
        <d v="2018-03-28T00:00:00Z"/>
        <d v="2018-03-08T00:00:00Z"/>
        <d v="2018-03-15T00:00:00Z"/>
        <d v="2018-03-12T00:00:00Z"/>
        <d v="2018-03-09T00:00:00Z"/>
        <d v="2018-02-26T00:00:00Z"/>
        <d v="2018-02-12T00:00:00Z"/>
        <d v="2018-02-09T00:00:00Z"/>
        <d v="2018-02-11T00:00:00Z"/>
        <d v="2018-01-08T00:00:00Z"/>
        <d v="2018-01-18T00:00:00Z"/>
        <d v="2018-02-03T00:00:00Z"/>
        <d v="2018-01-15T00:00:00Z"/>
        <d v="2018-01-04T00:00:00Z"/>
        <d v="2017-12-18T00:00:00Z"/>
        <d v="2017-12-25T00:00:00Z"/>
        <d v="2018-01-29T00:00:00Z"/>
        <d v="2018-01-17T00:00:00Z"/>
        <d v="2018-01-16T00:00:00Z"/>
        <d v="2017-11-15T00:00:00Z"/>
        <d v="2017-06-20T00:00:00Z"/>
        <d v="2017-12-27T00:00:00Z"/>
        <d v="2017-12-12T00:00:00Z"/>
        <d v="2017-12-04T00:00:00Z"/>
        <d v="2017-11-22T00:00:00Z"/>
        <d v="2017-12-03T00:00:00Z"/>
        <d v="2017-11-27T00:00:00Z"/>
        <d v="2017-12-01T00:00:00Z"/>
        <d v="2017-12-29T00:00:00Z"/>
        <d v="2017-11-09T00:00:00Z"/>
        <d v="2017-11-13T00:00:00Z"/>
        <d v="2017-11-10T00:00:00Z"/>
        <d v="2017-11-08T00:00:00Z"/>
        <d v="2017-10-23T00:00:00Z"/>
        <d v="2017-12-21T00:00:00Z"/>
        <d v="2017-12-16T00:00:00Z"/>
        <d v="2017-10-27T00:00:00Z"/>
        <d v="2017-10-12T00:00:00Z"/>
        <d v="2017-06-16T00:00:00Z"/>
        <d v="2017-07-25T00:00:00Z"/>
        <d v="2017-08-15T00:00:00Z"/>
        <d v="2017-08-01T00:00:00Z"/>
        <d v="2017-08-28T00:00:00Z"/>
        <d v="2017-07-03T00:00:00Z"/>
        <d v="2017-08-02T00:00:00Z"/>
        <d v="2019-12-16T00:00:00Z"/>
        <d v="2019-07-05T00:00:00Z"/>
        <d v="2019-06-14T00:00:00Z"/>
        <d v="2019-06-04T00:00:00Z"/>
        <d v="2019-05-31T00:00:00Z"/>
        <d v="2019-05-16T00:00:00Z"/>
        <d v="2019-04-29T00:00:00Z"/>
        <d v="2019-06-07T00:00:00Z"/>
        <d v="2019-05-06T00:00:00Z"/>
        <d v="2019-04-27T00:00:00Z"/>
        <d v="2019-03-10T00:00:00Z"/>
        <d v="2019-04-22T00:00:00Z"/>
        <d v="2019-04-17T00:00:00Z"/>
        <d v="2019-04-10T00:00:00Z"/>
        <d v="2019-03-24T00:00:00Z"/>
        <d v="2019-04-25T00:00:00Z"/>
        <d v="2019-04-05T00:00:00Z"/>
        <d v="2019-03-20T00:00:00Z"/>
        <d v="2019-03-19T00:00:00Z"/>
        <d v="2019-03-18T00:00:00Z"/>
        <d v="2019-01-09T00:00:00Z"/>
        <d v="2019-03-01T00:00:00Z"/>
        <d v="2019-02-27T00:00:00Z"/>
        <d v="2017-04-24T00:00:00Z"/>
        <d v="2017-03-22T00:00:00Z"/>
        <d v="2017-04-13T00:00:00Z"/>
        <d v="2017-02-27T00:00:00Z"/>
        <d v="2017-02-17T00:00:00Z"/>
        <d v="2016-01-03T00:00:00Z"/>
        <d v="2016-01-05T00:00:00Z"/>
        <d v="2016-12-29T00:00:00Z"/>
        <d v="2017-01-23T00:00:00Z"/>
        <d v="2017-01-11T00:00:00Z"/>
        <d v="2016-11-22T00:00:00Z"/>
        <d v="2016-11-29T00:00:00Z"/>
        <d v="2017-05-31T00:00:00Z"/>
        <d v="2017-05-20T00:00:00Z"/>
        <d v="2017-04-28T00:00:00Z"/>
        <d v="2017-04-20T00:00:00Z"/>
        <d v="2017-04-19T00:00:00Z"/>
        <d v="2017-04-17T00:00:00Z"/>
        <d v="2017-03-07T00:00:00Z"/>
        <d v="2017-03-25T00:00:00Z"/>
        <d v="2017-03-15T00:00:00Z"/>
        <d v="2017-01-16T00:00:00Z"/>
        <d v="2017-01-13T00:00:00Z"/>
        <s v="行"/>
        <s v="Issue Count @Change=SCH/PCB/BOM/Parameter"/>
        <d v="2022-08-15T00:00:00Z"/>
        <d v="2022-07-15T00:00:00Z"/>
        <d v="2022-06-23T00:00:00Z"/>
        <d v="2022-08-17T00:00:00Z"/>
        <d v="2022-06-22T00:00:00Z"/>
        <d v="2022-05-14T00:00:00Z"/>
        <d v="2022-05-12T00:00:00Z"/>
        <d v="2022-05-05T00:00:00Z"/>
        <d v="2022-04-25T00:00:00Z"/>
      </sharedItems>
    </cacheField>
    <cacheField name="Phase" numFmtId="0">
      <sharedItems containsBlank="1">
        <s v="C.RAMP"/>
        <s v="7.DVT2"/>
        <s v="B.PVT"/>
        <s v="5.DVT1"/>
        <s v="4.EVT"/>
        <s v="3.PEL"/>
        <s v="4.EVB"/>
        <s v="D.SHIP"/>
        <s v="2.PCL"/>
        <s v="1.Concept"/>
        <m/>
        <s v="值"/>
        <s v="列"/>
      </sharedItems>
    </cacheField>
    <cacheField name="Block" numFmtId="0">
      <sharedItems containsBlank="1">
        <s v="6.Display/Touch"/>
        <s v="2.Power"/>
        <s v="1.Platform"/>
        <s v="4.Audio"/>
        <s v="11.Thermal"/>
        <s v="3.Charging"/>
        <s v="7.Sensor"/>
        <s v="12.EMC"/>
        <s v="9.Memory"/>
        <s v="5.Camera"/>
        <s v="10.USB-C"/>
        <s v="20.NFC"/>
        <s v="13.Discrete"/>
        <s v="8.PCB"/>
        <m/>
        <s v="8.Mods"/>
      </sharedItems>
    </cacheField>
    <cacheField name="Source" numFmtId="0">
      <sharedItems containsBlank="1">
        <s v="5.6 User Feedback"/>
        <s v="5.3 EE DVT"/>
        <s v="4.Build"/>
        <s v="5.2 BB Test"/>
        <s v="5.4 ALT"/>
        <s v="5.1 Bring up"/>
        <s v="3.Review/Simulation"/>
        <s v="5.5 Certification"/>
        <s v="6.Issue"/>
        <s v="2.Design"/>
        <s v="1.4 Solution"/>
        <m/>
        <s v="5.3 ME DVT"/>
        <s v="1.1 OD"/>
        <s v="4.ALT/DVT"/>
        <s v="2.Build"/>
        <s v="5.Certification"/>
        <s v="3.BB Test"/>
      </sharedItems>
    </cacheField>
    <cacheField name="Severity" numFmtId="0">
      <sharedItems containsBlank="1">
        <s v="S2"/>
        <s v="S3"/>
        <s v="S1"/>
        <s v="NA"/>
        <m/>
      </sharedItems>
    </cacheField>
    <cacheField name="Status" numFmtId="0">
      <sharedItems containsBlank="1">
        <s v="Closed"/>
        <s v="Open"/>
        <s v="Monitor"/>
        <s v="NA"/>
        <m/>
      </sharedItems>
    </cacheField>
    <cacheField name="Issue" numFmtId="0">
      <sharedItems containsBlank="1">
        <s v="Issue：India market &#10;When put the “Fail headset”  JBL PUREBASS T150A into Moto G5 plus ，there will be some action similar to Ghost Touch.   Jira link:https://idart.mot.com/browse/IKSWN-27437 &#10;"/>
        <s v="Issue:ALT DVT2B发现正面朝下自动关机&#10;Root Cause:&#10;Analysis:&#10;Solution:&#10;Verification:&#10;Plan:"/>
        <s v="下载工位出现概率性不下载（faboot 识别不到USB）"/>
        <s v="GSM buzz in DVT2B units found"/>
        <s v="DVT Mdu30 ：thermal test ,Video recording reach 44.2 degree"/>
        <s v="DVT EDu14- Surge test (L)，charge 按印度规fail，90V无法开机。需要过120V"/>
        <s v="Description :Turbo charger always not charging after charging a little time"/>
        <s v="ALT Battery current drain out of spec.&#10;"/>
        <s v="Weak 5W charger can not charge"/>
        <s v="ALT &amp; DVT滚筒实验出现 LTE no camp "/>
        <s v="3rd P-sensor CT too low and can not pass APK test"/>
        <s v="Issue: EVT 一供 WH208009，AD: -15kV Zone1 Proximity &amp; Front Light Sensor No Function, 实验室反馈重启未恢复。&#10;Analyze: 1. 机器收到校验CQA中：Proximity 闪退, Front Light 不刷新，现象一致，从现象来看像是器件不识别到I2C设备。但是重启后可以恢复。&#10;                 2. 抓机器Log，给软件分析：IKSWW-203359，分析结果是I2C通讯异常，判断IC被干扰异常导致无法"/>
        <s v="Issue: EVT有个板子无法下载，板号NAAA020317 &#10;Analyze: 1.Blankflash 的log 发给MTK，待回复。（下载完DA后，无法进入DAmode，拔掉数据线后，板子处于关机状态，没电流）&#10;                2.FAE换了  U2001（MT6363））/U2601（MT6375）/U1001（CPU）/U1009(DDR)/U1392(UFS)，发现还没恢复正常。U1392测量底部pad阻抗ok，通断正常&#10;               3.按开机键再松开，电流"/>
        <s v="Issue: EVT 可靠性有两台机器SIM无作用，重启概率性恢复。&#10;Analyze: &#10;RootCause： VCC 电容和中框短路 （绝缘实验临时验证ok，不复现）&#10;Solution： 中框DVT1 做避让"/>
        <s v="Issue: EVT 二供BR157907  128 UFS 尺寸太大，造成连焊。（贴了4pcs 板子）&#10;RootCause：   二供 SM38F05190        BWU3AKG16D128G         U1392        BIWIN，尺寸11.5*13  VS 一供三星的11*13&#10; Solution： EVT二供试产 及 DVT1 备料临时更换回一供三星memory&#10;    长期：1.跟进厂家更改尺寸为11*13情况（可行，但是要2027年才能改好，咱们项目用不上了） &#10;    "/>
        <s v="Issue: 4/3 front camera 22 pin connect error&#10;RootCause：  NEW SPEC is NC，Old SPEC is power 。 没有用新SPEC进行设计&#10; Solution：EVB rework 割断连接器上22pin-- camera bringup的板子done&#10;                     EVT 更改SCH，VIN和VBIAS  纠正过来，  -- changmf1 done"/>
        <s v="Issue: 4/3 已知DVDD LDO U3161有点问题，EVB2 ，已经rework板子 bringup。EVT 更改进入主线&#10;RootCause：VIN和VBIAS 连接反了，没有识别出来。&#10; Solution：EVB rework 让LDO能正常输出-- camera bringup的板子done&#10;                     EVT 更改SCH，VIN和VBIAS  纠正过来，已提交修改，待导入 --wuxm5"/>
        <s v="RISK: Display power 和SPK power 的输入端VSYS 过孔只有一个，有风险&#10;Impact：EVB板子不适合 Display 和SPK 最大功率使用，可能会烧毁板子。&#10;RootCause： review没有识别出来。&#10; Solution：EVB rework 让LDO能正常输出-- camera bringup的板子done&#10;                     EVT 更改SCH，VIN和VBIAS  纠正过来，已提交修改，待导入 --wuxm5"/>
        <s v="Issue：CPU和redriver 之间没有串接电容 in EVB1&#10;Impact：EVB1板子USB3.0 没法工作&#10;RootCause：设计错误&#10; Solution：EVB1 rework for DFC 方案（去掉redriver）--ongoing  chenwt&#10;                   EVB2 主板上串联电容 --已更改进板子，待EVB2板子到达后bringup。预计4/8 SW收到板子"/>
        <s v="RISK：ROW ，无线充的DET信号 发现没有下拉电阻，无线充 检测状态可能会不稳定。 &#10;发现来源：PRC（没有接无线充电板子的）PVT后期有出现一台机器开机就显示充电图标。分析是因为DET 中断检测到导致判断 无线充电 被检测到。 &#10;前置问题的解决方法：PRC样机没有无线充，禁断所有无线充的GPIO及相关功能响应。已经导入主线，从 36.65-11 导入了更改。 &#10;前置问题的扩展评估：那么有带无线充的板子，是否也可能存在这个风险？ review 后发现该RISK &#10;Impact： &#10;可能1 ：没有无线"/>
        <s v="Issue:PRC 样机试产时候，反馈有1台机器，重启后就一直显示充电图标。插拔充电器后恢复。&#10;Impact：    异常出来充电图标   &#10;Anaysis:   DET信号没有外部下拉，内部也不能做下拉（CPU下拉会影响DET拉高，电平不够。  无线充IC默认状态没有上电，所以也不能配置下拉）。所以DET信号就比较接近悬空了，仅有 CPU和无线充IC 默认的连接，下拉能力非常有限。&#10;RootCase： PRC机器没有无线充IC，所有接口都是悬空。需要将相关部分的功能关闭。&#10;solution: PRC机器"/>
        <s v="Issue：CB认证反馈低温0~-20度之间，充电电流达到1.92A,大于电池SPEC的691mA&#10;Impact：认证，电池安全&#10;Anaysis: 1. RD复测，常态状态下是654mA，小于691mA&#10;2. 测试过程发现，插入充电器后几秒钟内，会先电流爬坡到4A左右再降低下来到654mA. 推测是这个爬坡过程被拆机到电流，然后判断为fail&#10;3. 发现2 ：开机后的这个4A是SW可以配置的，所以查到哪里的逻辑申请4A电流 尝试优化逻辑来让 安全机制优先级别更高，就有机会优化开机状态下的结果。&#10;4. SW"/>
        <s v="Issue：PVT CQA测试发现，2台机器出现过OTG问题&#10;N4AC420027  4/17/2026 5:10:29 PM         UCT pass 。没有抓log ，直接ABA 交叉验证随芯片PMIH0104  （U3700）） QC初步分析IC异常了，更进一步消息，预计要到5月底出完整报告&#10;N4AC4H0005   CR https://idart.mot.com/browse/IKSWW-198501 ，4/28/2026 6:15:57 PM UCT pass 。软件分析是已经检测到时"/>
        <s v="Issue：PVT UCT测试发现，主充测试fail，电流非常小&#10;N4AC4C0057  （4/28 下午2点38发现 ，BT是pass的）这台已经更换芯片之后测试Pass了，交叉验证随芯片PMIH0104  （U3700））&#10;N4AC4C0060（4/28 下午2点45发现 ，BT是pass的）这台已经更换芯片之后测试Pass了，交叉验证随芯片PMIH0104  （U3700））&#10;N4AC4E0002 （4/28 下午3点20发现  ，BT是pass的）保留板子 （这个机器OTG复测是pass的）&#10; c"/>
        <s v="Issue：PVT 增加UCT站点的FW版本检测，确认是否升级版本成功。 产线反馈有约30%NTF。重启机器测试pass&#10;Impact： FW升级是工厂动作，不会影响用户。影响产线的直通率。                  &#10;Anaysis: 1.  通过log分析，在启动FW检测和升级后100+ms 范围内，就返回读写状态失败，并没有启动真正的FW写入。&#10;                 2. RD机器测量供电，这段时间内供电电压是稳定的。但是没有抓到复现问题的波形&#10;                3"/>
        <s v="Issue: &#10;During Qingdao Wallet field testing, a failure was observed where card payment does not work when the device is powered off (IKSWW-191864 ).&#10;&#10;Impact：&#10; Wallet card emulation tests fail in the powered-off state, affecting offline NFC payment verific"/>
        <s v="Issue：DVT2有一条机器出现CapSensor ESD后 无功能-所有通道 ，AD:8kV"/>
        <s v="Issue：SMT反馈stack 板有锡珠，几乎每台都有，位号Q2603,Q2604,Q2801&#10;solution:  DVT2 钢网从1：1更改为焊盘中间加0.2mm间距，不良率 12/172&#10;                   PVT继续减薄锡膏"/>
        <s v=" "/>
        <s v="Issue：DVT1二供 EDU14出现一台机器Fail，一台200V Fail，一台250V Fail（实验室标准250V）&#10;Anaysis: 1. 两台机器，拆机分析VBUS浪涌管都未烧毁。&#10;                 2. 测量机器发现USB充电快充/慢充均没有电流，且OVP MOS后端都没有电，判定OVP MOS没有开启。&#10;                 3. CP-IC U6400是二供南芯，分析发现VUSB SNS的R6401电阻击穿（22Ω），且VUSB管脚对地电阻异常15Ω，判定是"/>
        <s v="Issue：SME tuning 磁吸充电时候发现，死电池的机器，用磁吸充电器无法激活，屏幕没有任何反应。&#10;Impact：Apple Q2.2 磁吸充电器无法激活aviator 死电池的机器。（其他WLC 目前测试都可以激活 ，更新3/17 的FW版本0073之后的结果）&#10;rootcause: suspect :1 WLC RX IC 输出电压不稳定，导致主充电PMIC无法稳定走死电池激活流程。  为什么输出不稳定？  &#10;                               suspect :1-"/>
        <s v="Issue： DVT1 ，实验室一些机器返回分析后，放置一段时间，再开机无法开机，插充电器，没法正常充电。有时候屏幕先亮一下，然后就只有5V80mA左右。&#10;clue：1.之前有一台，插着充电器无法开机，长按开机键几十秒后开起来了，不确认是否同一个问题。  目前针对第二台进行拆解分析&#10;          2.第二台机器 N4AC130165 ，屏幕先亮一下，然后就只有5V80mA左右。拆机测量Vbat~=0V ，所以电池死电池了。拆下电池连接器，电池电压0V，死电池了电池本体变形严重，确认电芯异常了，转KP"/>
        <s v="Issue： DVT1产线出现4pcs烧毁VBAT-TVS(FR：4/86)，请软件导入降低电流软件后，3pcs烧毁(FR:3/553)&#10;RootCause：从TVS烧毁现象怀疑是Peak电压导致TVS异常开启后短路，电源常电进而烧毁TVS管。&#10;Analyze: &#10;差异对比：&#10; - Aviator: SF68D39333(Will)+8845; 烧TVS&#10; - Horizon: SF68D39333(Will)+8845;&#10; - Urus: PTVSHC2EN4V8UF + 8845;  未出现烧TVS&#10;"/>
        <s v="RISK：Vendor 调试时候发现 无线充Vout 飞线出来测试，发现有一个NFC 工作频率的电源纹波。NFC关闭后就没有。&#10;impact：如果真实存在，可能会影响到无线充 通讯解码稳定性。具体待确认&#10;Rootcause：    1. 飞线压到NFC天线上导致，误测问题                         &#10;"/>
        <s v="RISK：Qi 2.2  认证预调试时候SME 发现：前置线圈切换电路的Mos 控制端GS 电压 在低频阶段有大于1V的纹波，有可能会误触发 mos 打开（打开门限是1.0~2.5V）&#10;impact： 反复打开关断mos会让功率存在波动，影响的是bpp模式Qi 2.2 认证的&#10;Rootcause： 当前的 S 信号是通过AC（线圈信号）耦合过来，其VGATE是IC内部自举电路基于AC基础上升压的，目前看起来内部有 谐振频率附近的干扰 （频率在低频段128KHZ）。 &#10;solution： 在GS之间加一个1"/>
        <s v="RISK：Qi MPP 15W CE : SME  反馈 ICL步进 在1A左右突然功率跳变太大，不符合需求。&#10;Rootcause：QC 答复是 QC IC PMIH0104 SPEC范围内的行为，无法确认不跳变。无法从根上面解决（其他竞品厂家也要面临这个问题）&#10;solution：寻找其他解决方案 by SME&#10;"/>
        <s v="Issue：DVT MDu94.A - Extreme Drop Test        WH202994        D5        N4AE060004        Post check:No front camera viewfinder:D2/D5&#10;Post check:Unable to find NFC device&#10;Rootcause：前置摄像头脱落，结构泡棉问题。 "/>
        <s v="Issue:  &#10;- ANT7 N77&amp;N78 interface Front camera leads camera MIPI error  on EVT  3/3PCS &#10;Analysis/Root Cause: &#10;- The logger shows mipi error. &#10;- 翻起前置camera模组头部，干扰消失，模组头部的铜箔从主PMIC屏蔽盖下地，ANT7天线回流产生的磁场干扰从camera模组头部进入到sensor本体。 &#10;- Camera deco 接地不良，主板上螺丝孔挖露铜后+ 去"/>
        <s v="Issue：SW细节bringup 发现 没有放到TX上的时候DET 信号有时候高电平有时候低电平。（这原本是用来作为放到TX上枚举成功的判断中断）&#10;impact:没放到无线充时候，有小概率会意外识别为有无线充？&#10;rootcause：1.外部没有加下拉电阻，导致GPIO浮空 （平台内部下拉电阻阻抗范围太大 10K~50K，不稳定）&#10;                      2.厂家的GPIO输出电平配置没有按照我们需求配置为1.8V（当前测量是1.2V）&#10;solution：  1. DVT1 是SW配置"/>
        <s v="Issue： EVT  ALT WH202971  PRC &#10;1:Accelerometer failed functional parametric test,Recovered after reboot:A1/B2(1)-TH/TC 抓log分析&#10;EVT ALT WH203016 APEM testing 1/17&#10;Accelerometer failed functional parametric test,recovered after reboot:A1/A2/B1/B3(1)-TH/TC,B2"/>
        <s v="EVT Tumble WH202942 PRC&#10;Flicker sensor no function,recovered after 100 tumbles:D1(80)&#10;EVT Tumble WH202981 APEM&#10;2:Flicker sensor no function,recovered after reboot:D1(200)D3(60)D4(100)-CR129483&#10;分析 ：问题分析需要抓有效log，TCC  加滚2pcs各100次，不复现，所以未抓到有用的log。先monitor。&#10;"/>
        <s v="ISSUE：EVT ：TCC ESD 中发现机器自动关机 ，厦门自测发现自动重启1次。&#10;Rootcause：是场干扰模型而非直接击中信号线或者器件。  &#10;场干扰故障模型的原因推测：1.这个场大概率是 由于大金属块接地不好导致的场太强 。  2.周围的地贯通速度不足以吸收  当前很强的场干扰。 &#10;优化方向：临时加强deco 接地，压测pass&#10;solution：1.改变场 ，加强大金属块的Grounding。2.增加 PMIC 本体区域及周围的Grounding，板子多打地孔，特别是贯穿孔（ 要有大孔，大孔"/>
        <s v="Issue：ESD在CD:8KV下，在Deco区域和侧边出现Flicker Sensor软失效、auto-recycle。&#10;&#10;Analyze：1. 厦门摸底机器，已导出Ramdump —— 软件分析是触发了PMIC（PMIC_B_E0） OCP保护，导致PMIC触发RST复位。&#10;                  2. Deco弹片主板EVT无露铜 —— DOE实验：原始状态 CD:6kV下就复现Flicker无功能；刮开露铜, CD:8kV，AD15kV各打100次均无出现问题。&#10;           "/>
        <s v="Issue: 产线报有4pcs机器主板，在4GBT站点出现浪涌管D3500,D3501烧毁；&#10;Analyze：1. 和产线TE确认，用的是为准K6206-V20  20V 5A的电源，和之前北京Team遇到的浪涌管烧毁问题一样。&#10;                  2. 高通SM8845平台开机过程电流大，会超过为准电源的5A输出能力，导致突然有大电流抽电时，电源会顺势加大功率补偿，进而导致电压异常抬升，触发EOS浪涌管导通烧毁。&#10;                  3. Urus 02版本VBAT浪涌管"/>
        <s v="Issue: Alt 3台滚筒 不开机，1台MIL不开机.&#10;    故障现象：开机了反应速度也比较慢，关机后，插充电器充电5V/0.3A&#10;RootCause：电池连接器松了， 甚至主FPC也松了&#10; &#10;Solution：ME "/>
        <s v="Issue：后置camera SOIS I2C 读写不成功&#10;rootcause：SW i2C 端口设置不成功&#10;Solution：软件setting                  "/>
        <s v="Issue：前置bringup camera不出图&#10;rootcause：MIPI timming THS-settle(ns) 不满足协议要求&#10;Solution：修改MIPI timming&#10;                     "/>
        <s v="Issue：bringup 发现快充IC插入USB时候能识别到，拔掉USB就识别不到。&#10;rootcause：快充IC的Vbat 和 主系统的Vbat_Plus 没有连接上。（还有B_plus  等网络名接一起，但是VBAT 没有和VBAT_PLUS接一起，由于都有电容，所以不会自动报单端网络。 &#10;Solution：EVB ， C6425电容的左侧 飞线到 C3808 电容上端.  ongoing&#10;                     EVT 及之后，原理图更改，Vbat 和Vbat_Plus 连接上。"/>
        <s v="Issue：OK2P发现2pcs 电容C2620与屏蔽盖SH1002短路造成大电流，F/R 2/3000=0.0066%&#10;Analyze: 1.C2620使用器件21014016001，包含村田，太诱，三星三家物料，村田&amp;太诱 高度为0.8±0.2mm/0.8+0.2mm，三星高度为0.8±0.25mm，且三家物料均走上公差。&#10;2.21014016001 实际高度应为1.05mm，而结构建模该料号器件高度为0.88mm&#10;3.C2620处于屏蔽盖边缘，屏蔽盖在C2620附近有个斜坡，器件与屏蔽盖斜坡之间ga"/>
        <s v="Issue： CB 认证反馈 2.        Q.1测试，电流超了8A （具体代表什么意义待 和battery KP确认）&#10;Impact：推测：不能宣称满足Q.1 LPS ，只能宣称PS2&#10;Rootcause：因为电池的对外输出能力越来越大，所以自身不能限制到能pass 8A的这个放电限制 。&#10;                      （测试方法是 短路充电IC的输入和输出，就是将Vbus 和Vbat 短路 ，多少个充电IC就分别短路多少次，分别测试，用来判断整个系统在异常情况下 外部能抽到的电是安"/>
        <s v="RISK : 加州能效测试，临界fail 了TMO要求的70% 的加严标准&#10;Impact：对Terrain项目本体无影响，因为没有NA SKU，作为内部测试参考项，不强制pass。&#10;                扩展：Artura 同平台，推测会有面临这个问题，所以需要提前触发给SW 研究解决方案，但是非紧急事件&#10;rootcause：第一阶：关机充满电后，还有5V100mA。这个满电维持电流太高了，一版要稳定过加州能效，在60mA以内比较有机会。  为什么满电后维持功耗这么大？&#10;            "/>
        <s v="RISK : MTK 要求这个项目增加SPMI在不同地方进行尝试（CPU，PMIC ，以及PMK 都测试）， 并且增加 glitch 指标。 当前刚完成该测试，发现SPMI 靠近CPU端的Glitch 指标严重超标。&#10;"/>
        <s v="Issue：BB和SW 测试发现最近的SW版本，手机低电量 1%~2% 开始充电，充几分钟后无线充电大概率异常 ， 故障现象有三种&#10;1. 充电图标一直在，但是充电电量不上涨反而降低最后没电关机了，变成关机充电 &#10;2. 充电提醒反复出现  &#10;3. 提示位置放偏了 &#10;Impact：低电量的手机+moto 15W 无线充电器充电 无法正常工作（充电到2%~5%会停充 或者 出现一些异常提醒 ）。以及推测一些第三方有类似保护功能的TX 也会出现无法工作的问题。&#10;Rootcause：    根因1 ：主充电IC M"/>
        <s v="Issue：IKSWW-111442 Vertical streaks appear on cameras 1X-2X (摄像头1X-2X出现竖纹) B2GID:328394128&#10;Analyze: 1. DVT1 样机插联通SIM卡，户外，开NFC，开WIFI（未连接有效网络），预览或者录像时发现有偶发竖条纹。&#10;                 2. 隔天不复现; &#10;                 3.拿到样机后，复测主camera天线干扰测试4次，均pass&#10;                 4.联"/>
        <s v="Issue1：DVT1B ESD 报两台D1,D3机器ANT6 Fail(RX3 B3 B41 B66) ，D4一台 ANT0 Fail(RX0 B28);&#10;Analyze: 1. ANT6 ：Tuner NG；&#10;                 路径：SideKey处进入；&#10;                 Diff：Sikekey音量上按键天线包塑处露金属；&#10;&#10;                2. ANT0：Tuner NG；&#10;                路径：SPK开孔处进入；&#10;        "/>
        <s v="Issue1：产线反馈DVT1 试产中部分中途整机升级的机器中出现不识别NFC,更个stack 板子后可以识别，再装回去也都可以正常识别，直接板测阶段升级软件的机器没有出现过。&#10;Analyze: &#10;1.验证硬件通路是否正常。---从Stack 板测量，开始时候有I2C 信号和NFC_CLK。说明NFC 硬件通路是正常。&#10;2.若SW FWDL流程后，NFC 芯片可以恢复，可以正常工作。&#10;Rootcase：&#10;发送以下的reset指令后，因为一直收不到IRQ, read就会失败，然后就读不到信息， 驱动层面nf"/>
        <s v="Issue: 产线出现2pcs Slave 快充测试fail主板，X-RAY无问题， ABA 交叉确认故障跟随 快充IC U2651 。 total 600pcs&#10;Analyze: 1. 一供快充IC SC8586A寄给vendor 分析，   Vendor 分析结果是IC没有问题 &#10;                       12/18 返回IC，产线安排复测故障不复现，如果按照以往的逻辑判定，这个可能就是焊接性问题。&#10;                    2. 通知产线如果再发现同样问题，需要抓取"/>
        <s v="[s1]Issue ：Terrrain EVT 自测天线干扰camera拍照时，EVT1 2台/6台 主camera 被ANT7 N77&amp;N78干扰&#10;Clue:  1. camera模组和FPC远离主板 ok&#10;            2. 和天线无关，将主板拆出，camera FPC贴在主板器件上，EVT1和EVT2整机搭配一二供模组都会出现条纹干扰&#10; Root cause:&#10;    Camera FPC装配后，FPC贴在主板上ANT7的通道上，当ANT7 N77和N78发射时camera 被干扰&#10;&#10;So"/>
        <s v="[s1]Issue ：Terrain EVT 自测手电筒亮着时，强制关机，这时候闪光灯会一直亮着，直到开机后，软件初始化再关闭手电筒&#10;Clue:强制关机时未走完整的下电流程，导致没有ENpin 控制的闪光灯驱动IC AW36518 ，长亮着&#10;Solution： Terrain没有实际的用户场景，不做修改。&#10;                   针对日本SKU有强制要求的，需要使用有ENpin的闪光灯驱动IC&#10;后续项目： 1. 选用带ENpin的闪光灯驱动，继续寻找一颗用于替代AW36518&#10;       "/>
        <s v="&#10;[s1]Issue ：Terrrain wide camera 预览可以看到有竖条纹。&#10;Clue:  1. wide  Camera 远离主板竖条纹消失，越靠近主板现象越明显&#10;            2. wide Camera 下方有PMIC器件，去掉隔磁片，图像上有非常明显的干扰条纹&#10; Root cause:&#10; Wide camera放在PMIC屏蔽盖下，电源干扰到camera sensor，EVT整机camera下方有贴隔磁片在PMIC屏蔽盖上，&#10;但是装配后，未完全覆盖camera头部，导致有磁泄"/>
        <s v="Issue: 产线出现2pcs无触屏主板，X-RAY无问题，测量Touch_VCI_3P3无电压，Touch_VIO_1P8开机过程中会有1.8V，5s左右掉电，测量TP所有线路二极体阻值正常;&#10;Analyze: 1. 请产线重新刷27软件，没有解决问题；&#10;                 2. 1#主板更换LDO和PMIC，故障依旧，通过ADB命令回读GPIO状态，没有grep到对应PIN，&#10;                 3. 1#主板产线自行更换了CPU，不重刷软件，TP电压和功能均恢复正常。&#10; "/>
        <s v="issue：After 150V surge pulse test,fast charging no function,OTG no function,headset no fuction:D1/D2(Vbus)-&#10;推测：可能1.快充IC的OVP控制模块坏了。如果是这样，有预留串联电阻可以加上电阻进行复测。 &#10;Analyze：1. D1机器测量VBUS对地，D2:正向45.5K，反向5.1K，D2：正向&#10;分析：插入充电器，有电压，没电流。插入OTG，看到输出电压只有3V。 拆机测量 OVP 前后的Vbus"/>
        <s v="Issue：产线反馈，CQA1  有些机器无线充测试fail ，情况2&#10;Analyze: 1. FW 升级成功后，有些机器测试依然fail 。数量不明。（因为被FW升级失败的前置case 给掩盖了）&#10; 杨楠的机器证明是这种情况，拆开机器后，弹点上基本上没有压痕。飞线焊接后ok&#10;                    更多故障机还在筛选返回，预计11/24 会有2台类似故障机器到厦门 ME ， ME分析定位为后壳被顶起，导致接触不好（按压后壳后，可以无线充了）（同批机器切片发现，后壳有顶起 大约0.27 ,"/>
        <s v="Issue：产线反馈，CQA1 32.3% 机器无线充测试fail&#10;Analyze: 1.情况1FW 升级失败，这个对应CR 。拿到两台机器功能都恢复了。 针对这个情况下一步：出临时FW版本来回刷，看下是否可以复现故障。然后分析具体原因和电压波形情况&#10;                 2.情况2 有1pcs机器可能真有问题， N0TI050112 这台的故障是stack 小板弹片由于首板焊接过导致的问题。 这个已经手写首件，没想到还是拿来装配了。 （这明显外观不良。忽略 ） 。         &#10;Root"/>
        <s v="Issue：产线反馈，出现1pcs闪屏，交叉验证故障跟随主板。（周六反馈CQA1检出来2PCS，产线检出来3PCS，待确认）&#10;Analyze: 1. 请产线在白屏状态下调节屏幕亮暗，发现闪屏频率没有改变，调整分辨率也没有改善。感觉和ELV关联性不大&#10;                 2. 抓Log给软件分析中；&#10;                 3. 已经请产线寄一台故障机N0TR050117回来分析。&#10;               11/10：log软件分析，闪频是触发了ESD Recovery机制，等"/>
        <s v="ISSUE: VBAT D2751反馈异常，EVT Bringup文亭手头板子大电流，以及芳梅手头一台机器都有出现。&#10;Analyze：1.测量电阻，没看出异常，反向19.85K，正向∞，和正常的比对差不多？&#10;            2.产线去掉CPU 屏蔽盖后故障消失&#10;           3.发热点位置在快充IC附近，而且是靠近左下角slave 快充IC附近 &#10;Rootcause： 推测：CPU 屏蔽盖有些金属造成短路 和 快充IC大电容 短路造成大电流透过快充IC。非常临界，加热等操作都有可能破坏现象"/>
        <s v="ISSUE： MCHG NTC 温度读值不对？（AUXADC_MT6375_NTC）&#10;rootcause:  双贴了NTC&#10;solution：EVT change SCH &amp; CPB&amp; BOM ，remove 1 pcs NTC"/>
        <s v="Issue ： &quot;Micron UFS doorbell time out(IKSWW-100968)：问题出现在2台DVT机器，1台PVT机器&#10; Log分析，出问题时，UFS无反应，只有等watch dog time out reset才能恢复，所以QC的增加timeout方法不能解决问题，重点还是需要推动Micron分析原因。 &#10; Micron 分析：初步给的结果是 log 看到VCCQ 低于器件SPEC门限的log信息。电压最低到达1.12V ，低于器件SPEC 低门限 1.14V 。       "/>
        <s v="Issue ：Dallas 故障现象，runin 过后，有的机器插入快充充电器 就出现 反复出现充电图标的故障现象。   插入 USB 和10W充电器，没有故障，可以正常使用。 重启机器后恢复  。 DVT1 RUIN 后的机器出现2pcs （1.27%），PVT RUIN 出现15pcs （2.11%）（截止11/27 统计数据）&#10;Rootcause： dallas 电量计从NFG1000A升级到MPC8011B  ，主要优势是 MPC8011B的运行内存加大。但是 ，FW设计的时候I2C控制逻辑部分的"/>
        <s v="Issue：近期生产线与测试环节出现大量的eSIM概率性掉卡问题。经初步分析，软件层面发现有接收中断（Rx Break） 的异常记录。&#10;CR：IKSWW-60856/ IKSWW-61451 / IKSWW-57936，其现象与本问题一致，但缺乏关键的Modem日志。需要安排重启后进行压力测试，复现问题并抓取Modem日志。&#10;Analysis:&#10;1.工厂环境下的“假性”掉卡：现象：在工厂版本的软件上，执行 -w 命令（恢复出厂设置）后均会出现掉卡现象。本质：底层Modem实际仍能识别到eSIM，但系统UI"/>
        <s v="ISSUE：case3 DVT1 BT 站点测试 有7pcs（截止10/13）二供主板slave Chargepump 固定fail 在 ACCESSORY_CURRENT_CAPSWITCH_Slave，至少包含：N1DA1D0187，N1DT170182，N1DT170181&#10;N1DA1D0103，N1DN1V0101。N1DA1D0170 和N1DT170148 （10/11 增加）&#10;Rootcause： 1. double 确认结果：板子装机，用68W充电器功率到不了68W，只到30+W就重新从0"/>
        <s v=" ISSUE：4G BT 站点 shipping mode 电流测试项fail ，retry pass 。IKSWW-51092 ，复现概率极低（2%左右）&#10;Clue：0. dallas Vbat 就连着两个快充IC和PM8350B。也就是板级测试执行shipping mode后，只有这些能漏电&#10;             1.从故障板子看，测试到的电流有时候小，有时候变动&#10;             2. 故障板子拿到后，测试漏电流，底电流正常&#10;             3. 故障板子拿到后，测试shipp"/>
        <s v="5.Camera        4.Build        S3        Closed        &quot;Issue:  IKSWW-54362台报主摄拍照dump。 （3台1100台一供）&#10;Clue：&#10;1.均是主摄测试fail，且log均提示的MIPI error&#10;&#10;Root cause：&#10;MIPI cphy参数和目前硬件搭配不是最优&#10;Solution：&#10;优化MIPI cphy参数(  修改后EQ=0x0B，  CDR PGM=0x40，CDR Coarse=0x0B)，待软件提供版本给产线。&quot; "/>
        <s v="7. sensor -M-sensor  受到干扰影响&#10;clue：隔磁片规格更改for hac 优化。可能影响到M-sensor 了。&#10; solution：  DVT1 1供机器通过优化参数解决了，测试5台都pass了。"/>
        <s v="ISSUE：DVT1 整机AR站点测试 个别机器slave Chargepump 固定fail 在Cap_Switch_Turbo_Acc_Curr_Cap_30W_01_slave&#10;Clue： 1.用真充电器68W，可以看到功率是出来了的，没有fail  。共5台&#10;             2.Case1 ：其中4台（分析机器是N1DV110139），在使能快充前 控制电源电压后 增加delay 1秒钟 ，4台复测pass 了 &#10;             3. case2 ：但是还有1台N1DA1202"/>
        <s v="ISSUE：IF 有些板子不良后，需要强制下载才能恢复。&#10;Clue：SW 先主导看，这边只做一条记录。"/>
        <s v="ISSUE：&quot;EVT ATT tumble WH195778 1st&#10;6:Cap/SAR sensor Ch2 no function:D8(450)- 0901已返回厦门，分析中  &#10;7:Cap/SAR sensor Ch2 no function(Recovered after reboot :D10(500)&quot; 。已恢复&#10;坐压试验 也出了一台SAR sensor Ch2 no function 分析结果一样。 合并处理&#10;Clue：0. 二供机器实验也出现一台450滚出现无作用，重启后恢复了的。&#10;  "/>
        <s v=" ISSUE：EVT二供机器自测，发现1台机器，关机充电后，出现PD充电器会出现fail 。最后不充电。1#机器一直fail 。 &#10;另外借了2台机器 ，补充复测了8次左右，2#机器概率性出现2次，重新开机会恢复，不好复现。3#机器一直无法复现。 &#10;clue：1. 1#2#机器的log 分析 都是BAT OVP 被触发了，关闭了CP。但是实际上电池电量都基本没电了（小于10%，电量计读到的电压才3.7V左右），快充IC就触发高电压保护，门限是4.8V左右，这不正常。 &#10;   2. 拆机测量波形，确实有 Vb"/>
        <s v="RISK：PEN current test ，EVT 截止8/26早上 数据看，有一些读值0的情况出现。 出现一次65高数据，复测pass。&#10;概率性出现0值的机器，推测可能是FPC 或者触点接触问题。 需要ME特别关注。&#10;线索：有发现个别机器明确接触问题。 其他机器需要找到机器跟踪，看下是否会复现。&#10;rootcause：TBD&#10;solution：  组装部分：DVT1 增加MMI测试，避免机壳没有测试就留到装配。（EVT处于调试阶段，一些机壳没有严格管控就流下去了）&#10;      UCT 测试部分：DVT1"/>
        <s v="RISK：ANT 上面 ATVS 的方案 &#10;BOM 评审结论：提出验证通过后加二供&#10;咱们只有一次DVT，要如何验证？&#10;8/4 结论：&#10;EVT 先用华新科 主要验证一供（样机 EVT BB申请了6台一供for TCC ESD）。 松下放到二供中的试产，并和邓玲沟通做两台ESD作为备用。（样机要和邓玲沟通好）&#10;DVT1 根据EVT的情况来定。 &#10;结果是都pass。"/>
        <s v="RISK：主动笔充电相关电路（包括ADC 检测）被打坏的风险&#10;     1. ESD期望设计方案：1最优 在机壳外挡住，2.优 挡不住尽量能接地 或者 3.次优放个间接接地（就是笔身周围给出一小块GND，不接触，但是有露出来。） 4.最差就是悬空金属块（当前状态）。&#10;基于ESD 防护， 尽量不要让ESD进入到电路。请ME 帮忙再想想方法，看是否有机会。&#10;       2.EVT试产前，用EVB 飞线进行摸底，看加了TVS后，能抗住多少KV ESD冲击。（充电部分和 电流ADC检测部分）&#10;action：&#10;1"/>
        <s v="Issue ：PRC 售后故障机 356070750758578，不开机不充电"/>
        <s v="Issue ：IKSWW-69570 Equator 充电只显示&quot;充电已连接但是不充电“// 新品X70Air DOA申请&#10;clue：第一台IMEI 356070750759253，寄存器看PMIV0102 有些寄存器不对。 该机器重启不会恢复。最后是刷机后恢复了。机器返回武汉，11/11 ETA 武汉工厂 ，shatong2 手上。初步看是可以充电的。  &#10;          第二台  IMEI：356070750876016 ，11/4 签收，当天反馈充电中但是持续掉电，更换充电器无效，退机。&#10;nex"/>
        <s v=" [s1]Issue ：   Equator  1725 认证fail，低温下提前停止充电 （一供-2度，二供-10度 。期望值是在-20度+/-3 度）&#10;clue：1.log 分析看到，是充电带载电池电压达到4.2V了，走停充流程了。 &#10;           2.低温下电池内阻看起来很大，-2度之后ATL的内阻258MR，-10度时候CSMOX的内阻458MR。导致的压降很大，一下子就到4.2V了。这内阻正常吗？低温下的电芯内阻曲线如何？---待KP 确认&#10;Analysis/Root Cause:&#10;HW"/>
        <s v=" [s3]Issue ：   Equator 关机不充电 问题IKSWW-51939&#10;线索：1.一次QC3+33W充电器故障后，不充电的时候，看到Vbus5V Ibus80mA左右。D+D- 电压3.05V&#10;   从这些信息推测：1.CP的OVP是打开了的。这样才有80mA这么多的电流。  2. &#10;  补充模拟实验：1 ：正常关机的时候，DP DM 外部强拉3V，再插入QC3+充电器，看一下波形和机器的表现。 "/>
        <s v=" [s1]Issue ：PVT 批量发现USB/充电不识别的整机（之前各轮试产未发现）&#10;（TCC 4台，工厂2台，预备送媒体机7台，据不完全统计， 不良发生概率在7%左右）&#10;故障现象：无法识别USB/无法快充（可以5V慢充），关机重启故障依旧存在（软重启）&#10;Root Cause:1. 误识别成uUSB接口，导致Type-C 识别异常。关键点是这个寄存器及相关初始化流程只在系统VBAT硬上电时候更新一次，后续不会再进行更新。&#10;                  2.shipping mode的方式有问题导致"/>
        <s v=" [s1]Issue ： &#10;M21 Shock Method 516.8 Procedure IV        WH196390&#10;D1        NEQR480147        Unable to read SIM Card:D1(26,Bottom right Back Corner)-&#10;TA-LotX Tumbler Test        WH196385&#10;D2        NEQR480203        Unable to read SIM Card：D2(300)&#10;"/>
        <s v="[s1]Issue ：Equator Rear main camera OTP Validation Test，EEPROM error FR 0.96%  8/900&#10;Clue:   1. DVT2 2供首次出现EEPROM I2C读取error log, 实测不良波形，确认是EEPROM无响应地址。&#10;             2.  测量读EEPROM之前的波形，开机时camera i2C平台内部上拉，硬件上在I2C上做了外部上拉，会往VIO上漏电&#10; Root casue:&#10;I2C平台内部上拉2.2K"/>
        <s v="issue: equator 地磁精度受接地影响很大，需要调整螺丝的锁付力矩&#10;&#10;       Equator项目目前地磁在高功率充电下，地磁的角度偏转会比较不稳定。&#10;       分析下来，和主板的接地情况关系比较大。&#10;       下图标记的③的位置位于充电IC边上，充电时，它会从接地良好的最短路径回流，也就是②和①通过中框回流。&#10;       因为螺丝锁的情况及主板的接地差异，导致从②和①处回流的电流值有差异，从而影响到地磁的性能。&#10;&#10;       我们建议加强如下③的接地，减弱①和②的接地，从而减小"/>
        <s v="目前大致情况为： 1. 昨天又找了一台CT超10000的切片分析，看各部分高度是否符合设计 2.周二ME分析了3台13000的机器，都只拆掉了主板，重新按压PUD板的中部，数据就能到5000（这个怀疑是中框上的泡棉是否贴合有问题） 3.再之前，上周ME拆除过10000+机器的屏幕，然后重新装贴中框泡棉，也没有保压，屏幕掩在中框上，CT就正常了。从这点ME认为泡棉问题也不大。最初的100多PCS机器，泡棉是手工装贴，没有治具。可能影响精度。当初有泡棉贴歪（非治具贴）的，外边缘破损（ME认为是某道工序造成，但"/>
        <s v="Issue：ISSUE: Back pressure automatic shutdown/Unexpected auto power off:D3(NEQE220145)(250N/300N)21:00pm 8/5/2025 D4(NEQE220240)(300)，https://idart.mot.com/browse/IKSWW-30027&#10;Clue：1. 机器带回无法复现问题， 等待软件log分析&#10;           2. 单板实验结果待测？&#10;&#10;屏蔽盖内绝缘纸被顶破"/>
        <s v="Issue：UCT站点的 OTG测试10%左右不良 （包括后续 模仿数字耳机测试同步也大概率会fail，都是走Host USB 通道） &#10;Clue：1.“故障机器”用手工U盘测试，没有问题。测试眼图也没有问题。说明手机本身没有用户使用端的问题。 &#10;2. 只有UCT站点有问题，包括USB也有问题。其他站点USB没有问题，推测UCT这个站点环境USB需要比较苛刻的参数。 &#10;3. 调整了 Option 8 参数 （host mode 的USB 电平降到最低），故障机可以pass 了。 但是最终DVT2正产末期，"/>
        <s v="Issue：UCT站点，USB 不识别率很高&#10;Clue： DVT2 新增加UCT站点的USB连接需求。 &#10;            拦截的机器再其他原有的站点，目前测试判断没有识别不到的问题。&#10;           PC to  夹具的线换成放大线，暂时不能解决&#10; 其他idea：是否可以再调整下USB参数？ --RD comment 不建议，其他站点DVT1到DVT2 调整了参数好不容易稳定下来。 现在新增加UCT 站点的需求进来，没法针对性调整，一旦调整，所有站点要重新确认，不排除变差的可能性。  建议维"/>
        <s v="Issue：NEQE140204 USB接口异常，&#10;&#10;现象： 正反面插入经常不识别充电，偶尔识别出来有5V充电，但是马上断开。请结构和熊雄接下来看下一步怎么分析，谢谢！&#10;&#10;分析步骤：1.  拆开后壳，不拆usb小板，外面接到另一个ok的usb小板，充电功能，识别口都正常。判断问题在usb小板上&#10;                  2．拆除usb小板，测量typec口舌片上信号到小板pin不通&#10;                  3．显微镜下观察到typec口左侧小耳朵和信号pin脱焊&#10;          "/>
        <s v="Issue:  泡水测试后到下一步复用机器实验前，发现显示充电图标 但是充不进去电。Mxc04 WH193926 2nd source lily pad， D1 initial&#10;Clue：1.关机充电到开界面前可以充电，而且当系统起来进行判断后就不让充电。 无线充电也类似结果。电池电压，温度，PD协议功率识别，都是正确的。 以上信息推测不是CC1 或者CC2 的问题&#10;            2. CID pin 上有0.3V电压，所以看起来也不是CID pin电路问题。fastboot boot mode"/>
        <s v="Issue; 滚筒180后，上SMART PA无声&#10;分析：从寄存器看，CLK信号未送到SMART PA,重新加热SMART PA 恢复正常&#10;RootCase: SMART PA右下角虚焊&#10;Solution： 结构反馈非大应力区，继续监控"/>
        <s v="Issue; no main display:D4(26)-按压连接器可显示，松开不显示。共三台，&#10;&#10;分析：屏幕连接器大电流PIN Solder脱焊，测量导通性异常，按压可连通，显微镜下观察到缝隙，分析结果一样&#10;RootCase: 焊盘受外力导致的断开，断开位置结合力不足，焊盘开窗0.45, 实际溢胶后，有效焊接面积0.3mm&#10;Solution： 2供Kingwong内部修改焊盘加大覆盖膜开窗，焊盘原设计0.45mm加大到0.6mm,去除完溢胶，有效焊接面积0.45mm, 同一供DVT1数据。&#10;&#10;   2"/>
        <s v="Issue: 打完ESD TIS/TRP，D1/D2/D3/D5机器，B20/28有问题,B42一台变差问题，ANT0/ANT1-Fail&#10;Clue：返回D1机器，分析&#10;1：ANT7: D1异常Band42机器复测TIS，确认ANT7无异常；&#10;2：ANT0: D1机器ANT复测，发现ANT0异常，无源下观察波形和之前摸底出现Tuner损坏的故障现象一致，cmd切Tuner波形也没有变化，判定是ANT0的Tuner器件损坏；&#10;3：ANT1: D1机器ANT1, 更换损坏的电容后，天线测试TIS依然异常，RF"/>
        <s v="Issue: DVT1B ESD 报一台机器15kV后capsensor全部无功能，ANT很多通道Fail；&#10;Clue: 1. CapSensor I2C地址变了，12-&gt;13；&#10;          2. 一供机器没有此问题，SAR芯片/TVS是二供；&#10;          3. 拆机分析发现电容被击穿，CS0通道直接通过电感下地，影响I2C地址，SAR芯片和通路都没有损坏&#10;RootCase: 天线馈点串联隔离电容被击穿&#10;Solution: 1. 25V耐压电容-&gt;更换为50V -&gt; 周一天线确认&#10;    "/>
        <s v="issue:Initial check:Headset no function/OTG no function/USB charging is normal, but fail to connect computer:D4-D4知勇带回厦门分析&#10;Clue: 快充测试ok, 连接电脑不识别口。判断D+,D-有异常。&#10;Rootcause：D4 这台是共模滤波器 FL500 掉件&#10; 查看FAEDVT1不良板分析，至少发现7PCS FL500掉件&#10;ME 主导和产线装配沟通，修改装配手法和增加治具。 DVT2 导入"/>
        <s v="issue：MXC06        WH193914        D1        NEQE1B0126        USB  one side no function:D1(225)-&#10;clue ：1.CC1 线路 open ，断路点在PMIC 屏蔽盖下边沿底下 layer11，具体看链接截图。 （CC线已经走0.2mm宽度了，但还是断了）&#10;        2.WIFI_THERM 这个在CC1 边上的线也断了。 再更边的CID_DET没断（断了就直接没法充电了），另外一边的CC2 也没断，所以"/>
        <s v="Issue：MIC2气密性问题&#10;Rootcause: MIC 焊盘镀金，需要更换为OSP&#10;Solution: 更改主板和小板MIC焊盘为OSP，DVT2更新器件库&#10;LL:MIC器件库修改为OSP，库里已经把项目中不用的MIC器件库删了，目前器件库里存在的MIC器件库全部为新的OSP器件库。"/>
        <s v="Issue：TCC报一台机器VBAT端EOS-150V Fail，另一台，机器复测后Pass；&#10;Clue：EOS走线Review，未发现问题；&#10;RootCase: 机器正在寄回，收到后分析 —— D4样机收到后，测试正反OTG都OK，故障无法复现，继续Monitor&#10;Solution: 1.DVT2主板，VBAT端浪涌管增加下地打孔；2.继续Monitor 3. 寻找更好的浪涌管，型号: ESD56301D04-2_TR（晓云推荐）—— Prado上有验证过"/>
        <s v="Issue：死电池激活场景 ，在电池保护电路还没完全激活开之前，就开始转到5V1.5A快充，电流超过电池的期望3V以下上限电流0.1C 。 可能有安全风险。&#10;rootcause：3.1V 是5V600mA 切换到5V1.5A设置点。 而死电池内部保护后，mos的前向二极管有0.5~0.6V。 &#10;补充说明：以前项目没有关注这个转换瞬间是否会有超过的电流，因为这个测试难准确监控到电流，log 也无法记录。 需要再排查下，以及风险如何。&#10;solution：Option1 ：调高转换的电压点（负面作用是：低电量电"/>
        <s v="Issue： CT偏高，和Prado相同的参数，当前CT的max接近12000&#10;Clue： 1.交换前壳组件，不良跟随前壳组件。&#10;            2. ME对前壳组件灌胶切片，发现泡棉高度稍微高出SPEC。&#10;RootCase: 前壳组件隔离不良&#10;solution：ME增加泡面厚度，新泡棉机器预计07/16组装，跟踪试产数据&#10;next: 跟踪DF数据"/>
        <s v="Issue： 60W充电情况下，地磁输出的方位角度会被干扰，最大可能偏转60度。PRC版本表现很明显，EMEA相对正常&#10;Clue： 1.地磁附近的螺丝孔，锁紧后地磁角度偏转明显，拧松后角度偏转很小。&#10;            2.DVT1(V05)版本相比EVT(V04)，ANT增加了BOT面地磁附近螺丝孔的露铜。&#10;RootCase:充电场景下，地磁附近的地通过中框回流到GND。回流电流产生的磁场影响到地磁感应到的磁场，造成精度偏差。&#10;solution：和ANT确认，螺丝孔露铜去掉，回到EVT状态"/>
        <s v="Issue: DVT1 ESD三台机器CapSensor后CH0无功能，重启后不恢复(硬性故障)；另外也在损坏前出现ESD时无功能，重启后恢复(软性故障);&#10;Clue: &#10;1. 分析发现是CapSensor硬损坏ESD机器，熊姐分析发现是在主板SAR芯片附近的100R电阻被打穿，测量阻值为开路，更换后ANT0处功能恢复正常。但是USB处感应失灵，进一步测量发现小板上R806击穿，更换新小板恢复OK；&#10;2. 和EVT对比，发现M802的下地电容被天线DNI了，导致M802处静电直接进入SAR通路，击穿100"/>
        <s v="         QBOOT_BLANK_FLASH_01（9008 SW下载），NTF，FR 3.07%  -----SW：志龙   BB 文亭  &#10;Rootcause: 1. PCB 上介于repeater 和CPU之间的USB 线路阻抗没有设置阻抗控制线，导致阻抗控制偏差及离散。&#10;                    2.测试夹具整体环境和板子USB 兼容性不好叠加让问题更加突出&#10;solution：DVT2 对PCB 上介于repeater 和CPU之间的USB 线路进行差分 90ohm  阻抗"/>
        <s v=" Issue         FASTBOOT_FLASH_01（ SW 大包下载），NTF，FR 2.42%  -----SW：志龙   Open&#10;Rootcause: 1. PCB 上介于repeater 和CPU之间的USB 线路阻抗没有设置阻抗控制线，导致阻抗控制偏差及离散。&#10;                    2.测试夹具整体环境和板子USB 兼容性不好叠加让问题更加突出&#10;solution：1.DVT2 会特别提出对这段线进行阻抗 90ohm 中值管控。&#10;                2"/>
        <s v=" Issue: EQUATOR DVT1 eBT （板级测试）概率性无法识别 端口,交换站点有时候pass ，不固定。 约7.7% NTF&#10;clue：1. APEM 一开始数据还好 0.39%，但是后面的其他3个SKU测试数据看就又不理想了 （15+9+2）/(228+95+13) = 26/336 = 7.7%&#10;          2.目前信息：这些fail的站点都是夹具上加了各种延长线和开关，非用户场景，用USB直连电脑 是没有问题。 &#10;Rootcause: 1. PCB 上介于repeater 和C"/>
        <s v="IKSWW-16494  [Equator][Factory][CQA1][DVT1] OTG intermittent failure&#10;solution：调整OTG 断连门限到最大值，初步压测ok。IKSWW-18561 导入主线后monitor DVT2 "/>
        <s v=" Issue: EQUATOR EVT eBT 概率性无法识别 端口,交换站点有时候pass ，不固定。 约10% NTF&#10;clue：1.交叉测试夹具和USB测试板，有些变化，但是没法完全解决。EVT2 留下两个板子，一个大概率fail，一个较容易pass的做验证。--TE&#10;         2. DVT1 USB 眼图测试pass的参数 V01导入后，对保留的两个板子验证，结果没有改善 --BB&amp;SW done。 &#10;        3.顶针从细针改为粗针，没有明显改善。 （但是也作为后续主要方案，避免因"/>
        <s v="Issue: 【自测Risk】使用EVT机器，摸底ANT0-Tuner ESD过程中，发现有概率损坏Tuner；&#10;Clue: 1. 之前测试EVT实验室回来的一供D1/D5，二供D4，三台机器，天线没有发现问题；&#10;          2. 本周天线那里软件tunner-code ready，找邓林协调了一台没打过ESD的机器进行验证，前测ANT0无源，采用天线常用的B28 B5 B8三个频段的code组合，在ANT0区域打了 ±8kV，±15kV，±17kV三组ESD结果，天线复测无源结果Fail(Tun"/>
        <s v="Issue：12GB DDR can not run up to 4.2Ghz，only3.2G&#10;Clue：8GB OK.&#10;Rootcause: 高通在代码中限制12G频率跑到3.2G&#10;Solution: 高通提供patch，8-14号软件包含patch，确认已经跑到4.2G。SI启动测试。&#10;"/>
        <s v="Issue：EVT  USB eye test fail &#10;Solution：import  0xfd57-0x5-0xfd51-0xa  ,test ok .  import CR :IKSWW-12700  。"/>
        <s v="Issue：（定义为无线充电问题4） EVT2 板级测试 TURBO_CHARGE_OVERALL_STATUS 不良 5/58&#10;Clue:   1.无线充电IC读到的电压电流值异常大（10+A ，70V ），这明显是异常ADC值。（然后导入其他后续的逻辑错误）&#10;2. 5PCS 不良。 有1pcs retry 后pass。 有3pcs 更换无线充IC SC9624后OK，还有1pcs 重复写入FW后pass&#10;Rootcase： FW 升级过程异常打断（AP申请dump 寄存器）导致升级fail，并且没有再"/>
        <s v="Issue: TCC实验室二供EVT1报CAP-Sensor ±8kV下无功能，重启后恢复；D2 Cap sensor no function(CH0,CH4), recovery after reboot.&#10;Clue: &#10;1. 观察到D2机器Intital测试中，CapSenor也有无功能的问题Cap sensor no function(CH1,CH2,CH3)；&#10;2. EVT1二供贴二供厂家的SAR IC，邮件厂家沟通提示公司的驱动可能没有合入软复位模块，已经通知厂家联系对应负责软件同事;&#10;3. 周"/>
        <s v="Issue: TCC实验室二供EVT1报PUD低压下出现无功能，重启后恢复；D4 后测发现 After +8KV air discharge at post check, Proximity sensor no function, recovery after reboot.(2025/6/9,14:00)&#10;Clue: &#10;1. 实验室软件版本：user 272版本；&#10;2. 导出LOG结构分析，对应时间点bug report显示功能是正常的，有接近远离状态变化，但是这个时间点没看到打开cqa测试的操作；&#10;3"/>
        <s v="Issue: TCC实验室二供EVT1再次报报两台机器低电压下ESD重启/关机：After -8KV air discharge at zone9 (Aging 10 ), Unexpected auto power off,recovered after reboot (2025/6/8 23:09).&#10;After -8KV air discharge at zone4(Aging 10), Unexpected auto power cycle , recovery after power on.(2"/>
        <s v="Issue：CQA 报一台黑屏，U1000 Disp_rst pin损坏，更换cpu后正常&#10;Clue：总共发现了2台，1台是产线在烧录后发现的，他们再次做离线烧录现象就消失了，还有一台就是机器到了CQA才发现的，ME准备做离线烧录看能不能好，但是离线烧录失败，拆机验证不良随主板，，才把板子送到FAE分析的&#10;rootcause： 黑屏烧芯片的问题，确认到因为屏FPC难扣合，EVT应结构研发需求，都是使用压棒按压FPC，导致FPC有露铜死折风险，露铜区域容易与前壳接触导致短路，有短路烧伤主板芯片风险&#10;Solu"/>
        <s v="Issue： WH192420 C1        NEQE080018        Rear flash light no function-间歇性无作用&#10;Clue：实测无作用&#10;RootCase：FPC接触pinw位置接触不良，原因是背胶太小，拆装后无粘性&#10;Solution: 结构增加背胶&#10;"/>
        <s v="Issue：TCC  NEQE080036  SIM 无作用，无线充无作用，cap sensor ch3无读&#10;clue：可以复现&#10;RootCase：无QCN，不是SIM卡，Capsensor CH3参数问题， 无线无作用跟踪到无线充的问题1&#10;Solution: 机器给TCC需要校准，不能调测。cap 参数软件去调试。无线充问题1，刷了修复版本后ok"/>
        <s v="issue: MIL drop 1.5        WH192393 D1        NEQE080016        Volume(up) button no function:D1(final)&#10;Solution:复测结果不明，升级软件后，功能测试ok"/>
        <s v="issue:MIL drop 1.5        WH192393D5        NEQE080025        Self defined sidekey no function:D5(final) &#10;RootCase：早期版本 AIkey 的配置有些问题（两个模块一起配置，导致配置错误） &#10;Solution:刷最新版本后OK"/>
        <s v="issue：WH192390 D1 故障机， NEQE080016   AI key 无作用（ Self defined sidekey no function:D5(final)）&#10;Clue：拆机测量发现 AI key 弹片只有1.3V。这个和之前发现的问题类似。 机器版本可能比较旧了 。&#10;RootCase：早期版本 AIkey 的配置有些问题（两个模块一起配置，导致配置错误） &#10;Solution:SW修改配置。 刷解决AIKEY的临时版本后，这个机器AI Key 功能ok了，电平也正常了=1.8V"/>
        <s v="Issue：TCC实验室EVT1一供ESD报D1机器，在CQA前摄开启状态&amp;Charging下，8kV下出现自动关机问题； After +8KV air discharge at zone1(Aging 10),Unexpected auto power off(2025/6/2 10:49). &#10;Clue：&#10;- 尝试复现：D1/D5两台机器在 zone1 区域厦门打ESD ±10kV/±18kV各100次，未复现；加压对D1问题机zone1区域ESD打±18kV各500次，未复现；&#10;- 复查ME设计：前"/>
        <s v="Issue：Rear main camera 64X RCN超标，且有竖条纹&#10;Clue:  1.EVB2 PCBA 测试时 RCN pass,EVT整机fail， EVB2 板子+0603版本 2次测试1次fail&#10;            2.  更改sensor setting ， 更换为orion 模组，均无效&#10;           3.  使用外供替换更换AVDD，有效且稳定&#10;           4. 更改AVDD 上OR电阻为磁珠，输出电容4.7uf  改为10uf， 不稳定，单次有效，多次失效"/>
        <s v="Issue：（定义为无线充电问题3）有些机器无线充电有图标也有1.5A左右电流进电池，但是CQA测试，无法返回电压和电流值。&#10;Clue:   SW主导分析&#10;Rootcase： &#10;Solution： "/>
        <s v="Issue：（定义为无线充电问题2）有些机器无线充电有图标，但是没有电流进入电池。BB 提交CR ：IKSWW-8419&#10;Clue： 0.SW log 的分析是：PMIV0102 的charge state一直没有变，这个是直接读的寄存器。导致走不了充电的流程。 by Xuyf4&#10;1.目前反馈问题的都是整机，而且几乎所有有充电图标的机器都报这个问题，（无充电图标的是问题1） ，不良率接近100% &#10;            2. 板子飞线线圈+假电池+EVB屏幕+EVB 主FPC。 3个板子都是ok的。&#10; "/>
        <s v="Issue：（定义为无线充电问题1）有些机器无线充电没反应。BB首批5台有2台无反应。 TCC 10台有3台 （A3,A5,A6）， SME 都有发现故障机。不完全统计大概30%左右不良&#10;Clue:  板级测试，无线充IC 读ID都是pass的。&#10;          1台故障机：确认ID是对的，FW是对的。故障出现时，TX上面没有指示灯亮（也就是无线枚举都没有成功）&#10;          1台TCC故障机D2：  是否装配问题？实验：线圈焊线到主板弹片上测试，故障依旧，推测非装配问题。（实验室的D2机器）&#10;"/>
        <s v="Issue：ALT滚筒测试，两台机器出现无显示的问题  概率2/6。&#10;Clue: 替换SIM-FPC后，两台机器显示OK；测试走线发现ELVSS等Bottom面走线不通，用手轻微掰动Display连接器部分FPC会恢复导通；&#10;Rootcase：万用表显微镜下点阻抗，定位最终断裂区在 屏幕B2B连接器左侧焊盘 - FPC出线 这一段，推测折弯区距离焊盘过近，以及屏幕连接器与上支架间隙过小，导致滚筒实验时屏幕连接器不断被掰动，导致连接器左侧焊盘与走线断裂；&#10;Solution：&#10;1. 结构分析后，改动钢片外形，"/>
        <s v="Issue：首版验证，AI key无测试界面，测量AI key的电平1.3V&#10;Clue :bringup 时ok得。&#10;rootcause：SW 其他模块配置改到这个GPIO得配置了，导致配置出问题&#10;solution ：SW 清理并修改配置部分，临时版本确认ok，CQA有AI key得测试界面 也确认测试ok 。   SW IKSWW-8434 导入改进措施"/>
        <s v="Issue： 工厂BT反馈CHARGER_THERM_READING读值错误和BATT_CHARGER_THERMISTOR_VERIFY_STAT数值异常 （读值接近于0度，超出SPEC）&#10;Clue : 1.这个NTC 接到PMIV0102 得SMB_TEMP 端口上 （不知道QC SW是否有限制，QC 原理图review没提有问题）   &#10;            2.反查EVB bringup时候就是这样的读值，只是当时没有识别出来是一个异常&#10;rootcause： TBD&#10;1.        SW C"/>
        <s v="RISK：特殊版本，关闭SC8541 ，只留PMIV0102 工作。用假电池测试，概率性发现Ibus 不工作  （大概30% ，不稳定）&#10;Clue:1.假电池内阻大可能有影响 。&#10;   实验1：用电池再试一下是否有概率复现。结果依旧能复现。&#10;Rootcause：启动电压太高导致的概率性fail&#10;solution：修改启动电压低一些后，验证ok  6/16 的临时版本。  SW 跟踪导入主线"/>
        <s v="RISK： 当前log 看快充68W，两个CP的电流 差异值比较大。 充电性能RISK&#10;Clue： 1.目前使用的是临时电池+转接FPC/焊线来提前bringup  ，仅能作为参考（内阻不对，影响左右通道的电流分配）&#10;            2.目前值是通过log 读取，准确度有问题 &#10;           3. EVB PCB 仿真看 ，Rbat1 比 Rbat2 小了0.47mR 。和实际测试结果影响看起来是反向的。 （推测偏差结果可能是电池 或者 CP 的特性引起的）&#10;          4. 目前"/>
        <s v="Issue：快充时候，log 打印数据和预期是不匹配&#10;Rootcause：可能1 ：PMIV新架构，log打印还需要澄清。 &#10;                     可能2 ：ICL 等充电配置目前有问题，没有如预期配置，所以看起来log 对应不上。 ---需要dump 寄存器给QC确认具体配置值，然后修正配置后dump确认配置对了，才能往下继续测试事宜。&#10;Next action： 1和2 都要同步排查。然后再进入下一个均衡问题确认。&#10;                   方向1：5/16 QC给的配置"/>
        <s v="RISK：仿真fail（64%UI， target=65%UI）"/>
        <s v="Issue： 两个PM8550VS PMIC的GPIO ，无线充SW再ADSP 里面初始化配置后直接就开不了机。&#10;Rootcause ：SW主导和QC继续确认原因。--xuwei9&#10;solution： WLC_inhibit 改到CPU 的GPIO口上GPIO125。将WLC_MODE_SEL 改到 PMIV0102 的GPIO08 上，EVT导入 （项目上无法承接风险往下go，保险方案是改GPIO口后继续往下go）&#10;                  &#10;Action：0511  已通过飞线将更改后的口r"/>
        <s v="Issue：  无线充SW在ADSP 里面初始化配置后 PMIV0102 的GPIO08作为中端口，实际测试无法收到中断&#10;Rootcause ： PMIV0102的GPIO 应该是不能作为中断使用。&#10;solution：   将WLC_DET改到CPU的GPIO63  。EVT导入 &#10;Action：0511  已通过飞线将更改后的口rework 出来 初步看符合需求，可以控制并收到中断了&#10;     EVT 确认OK"/>
        <s v="RISK：SW 无线IC SC9624 ，在houston 印度工厂量产中，工厂测试发现大概0.15%无线充电无作用，换无线充电IC后OK。（试产约0.07%，所以产线认为可以接受，没有反馈问题）&#10;Rootcause :  无线充IC 内部校准参数被改写了，厂家怀疑是咱们FW升级时候有小概率动到校准参数。（但是厂家自己测试无法复现问题）&#10;solution： 1.for houson 已经出了版本导入量产（同时加入对校准参数的log 跟踪，以便万一再出现可以抓到细节log确认在什么情况下出的问题），需要较大"/>
        <s v="RISK：SW 无线充 bringup ，南京有两个无线充调试的板子开不了机。&#10;Clue：1. 说是焊接线圈后出现的故障，但是实际上线圈和板子其他开机相关模块没有任何相关性。（推测是否当时哪里操作不小心短路到哪个电源导致PMIC烧毁）&#10;       2.厦门BB 1个板子ok，南京后面用最新版本+第三个板子也ok， 没发现问题。&#10;Rootcause : 1.寄送一个板子到厦门，分析没有漏电，重新刷版本后可以开机，不复现问题。 （不排除是当时SW代码有问题导致的不开机。）&#10;solution：   keep "/>
        <s v="Issue： wide camera 背面有WIFI芯片，S3b 2P2 会干扰camera&#10;Clue：1. 在houston 上验证2.2V 会干扰wide camera            &#10;Rootcause : 13M sensor受到干扰&#10;solution： 预留隔磁片空间&#10;6/20：去掉隔磁片在WIFI最大发射功率，以及正常下载和上传时，测试RCN pass, 去掉隔磁片。 DVT1 monitor&#10;"/>
        <s v="Issue： SIM卡座有一供HRD和二供Lecton，一二供的物料不可以混搭。供应链需求一二供都需要在FPC厂PBH和kongwing试产，这将会产生4款SIM FPC&#10;Clue：1. 厂家物料管控方案     2. ESD的风险管控&#10;Plan： 1. EVT和DVT1 SIM FPC BOM按照一供配一供卡座，二供FPC配二供卡座。哲林确认TVS的贴片方案&#10;              2.DVT2试产一供FPC+2供卡座， 二供FPC+1供卡座，若出现ESD或者其他实验fail, 舍弃会fail的搭配"/>
        <s v="Issue： 开机fastboot下，插入USB线时，有50%概率会有display先黑亮起后绿屏，如果插着USB数据线，fastboot reboot bootloader 100%会绿屏&#10;Clue：1. 插座USB数据线会出现&#10;           2. 按开关机键重启不会出现         &#10;Rootcause : &#10;发版的Gerber数据输出错误，原因：工具软件bug问题， cadence未解释详细原因。&#10;Solution：&#10;增加数据输出Datebase 检查。 CAD&#10;增加shorts文件的检"/>
        <s v="Ramp Build ,CQA2 ,12pcs can not wireless charge when phone power off. Total/13K ?&#10;clue :&#10;1 .Wired charge can work when phone power off  and power on .Wireless charge can work when phone power on .&#10;2. Wireless charge can not work at  power off  but can cha"/>
        <s v="DF :BATTMAN-24617 Power Charging issue :wired charger can not charge ,wireless charge ok .PVT NP8N4E0289&#10;clue :&#10;0.Factory test all pass&#10;1 .with factory SW ,and CQA show battery health unknown&#10;2.log check :Slave CP I2C 0x63 can not work .&#10;3. EXP :catch ava"/>
        <s v="RISK：MOTO NUDD 磁吸背夹 PCMCR 进入，处于approve 状态中，相关方案的各种事宜分解需要细化清楚&#10;BB相关：1.HALL IC 磁仿真OK， 其他sensor 评估ok ，mag sensor不受影响，不需要两套参数，cap sensor 要启动重新校准。&#10;2. WLC 需要两套参数来匹配（磁吸背夹 吸附 和 没有磁吸背夹，要各自一套参数）  单独增加 GPIO 设计 让AP通知  WLC IC，DVT1B 开始导入到机器中。&#10;       被动影响问题：DVT1A和EVT机器 导"/>
        <s v="DF :chagring slow ,total 3pcs NA CDC found .&#10;clue :&#10;1 .unit log show Slave CP I2c can not work ，user SW will not charging in this status.&#10;2.this unit factory test all pass&#10;Action ：&#10;1.Need fail unit back to xiamen for analysis ，---Jinrong （1 unit will back"/>
        <s v="Issue ：A+G may can not work after reboot phone .  1unit in NA report this case. &#10;Clue :1.Milos can reproduce in some units .at lease 2 units in XM . 2units in shanghai&#10;     2.logic wave form check : after reboot ,A+G I3C SDA is low at most time .MTK suspe"/>
        <s v="Issue: 电话中，离开头部，屏幕无法恢复&#10;Clue:  P-sensor CT值没触发门限&#10;Rootcause:此PUD共性问题（MILOS也有）， CT值随时间漂移比较大，&#10;Action: 优化算法"/>
        <s v="Issue:前置 Camera马达铁壳不接地，去除铜箔评估"/>
        <s v="Issue: PUD  EVT1---DVT2 CT值偏大&#10;Clue: 泡棉位置和大小对值影响非常大&#10;Rootcause:&#10;1.1硅胶套作用的认知&#10;1.2隔离效果差，材料不合适&#10;1.3 参数&#10;2.材料隔离度的认知：实验设计&#10;Solution:&#10;DVT2B 研发验证，PVT 工厂验证&#10;Action:&#10;1. 1.8V增加RC电容，增强电源稳定性&#10;2. PUD板和中框之间改导电胶，解决原来泡棉值大的问题&#10;3. 中框和屏幕之间泡棉减窄，手工验证OK&#10;"/>
        <s v="Issue: EDU03 DVT1 ESD d1 SIM卡坏&#10;Clue： 测量SIM卡DATA引脚，二极管挡对地压降为0.9V，正常为0.5V，判断DATA信号被打坏；&#10;Root Clue：zone9（ActionKey）前一个区域zone8是SIM卡槽处，且6号引脚是在外侧，推测ESD从SIM缝隙处放电，打到SIM-DATA引脚处损坏SIM卡；&#10;Action：&#10;1. 加强SIM屏蔽壳接地(PCB)；&#10;2. SIM卡DATA,SWP引脚，增贴TVS，在DVT1B版本导入验证；&#10;3. SIM_UIM1的DA"/>
        <s v="Issue :  DVT1 ESD WH185467 1ST  d3 Right louder speraker no function(15kv, zone7, 通话状态）;&#10;Clue: 拆机，测量Smart-PA输出LDSP-DM网络阻抗对地0.1欧，判断Smart-PA输出端损坏；&#10;Root Cause: 整机Costdown, 删减SPERKER接地泡棉; 先前设计的镭雕放电区，没能成功防住ESD；&#10;Action:   &#10;1.  LDSP-DM &amp; LDSP-DN网络，DVT1B USB板紧急re"/>
        <s v="Issue ：  部分机器快充时候指南针APK 20241105-3Dcompass 1.apk 测试结果会偏转很大（有时候一直转角度不停）&#10;clue：1.部分机器会部分机器不会。  和机器EVT或者DVT1 没有直接关系。&#10;           2.出现问题时候M-sensor会一直偏移，不会停 &#10;          3.复现问题偏移过程中，灭屏再亮屏，有较大概率就不再偏移。再碰一下手机，就会继续偏移。---推测这款 APK 和A+G 有关系，而不只是M-sensor，而问题可能出在 A+G的数据而不是"/>
        <s v="Issue:Barometer 放快充背面，温漂风险&#10;Action：快充同时用气压计场景少，漂移范围可以接受，无更合适位置"/>
        <s v="ssue 1:  Taptap has a low recognition rate&#10;Root Cause: A+G sensor is on the low half of the mainboard, making it not responsive enough&#10;Action:        Move to top part of the mainboard&#10;Impact：Camera effect needs to be re-tuned."/>
        <s v="[s1]Issue ： Prado main camera 客观RCN 测试fail，主观测试fail&#10;clue: 1. Camera AVDD2.8V AGND单点接地回路远&#10;Root cause : &#10;IMX896 AGND要就近接地&#10;AVDD2.8V LDO输入电源滤波,LDO GND 和 AVDD 输出电源地有压差&#10;Solution: &#10;  1 . 修改AVDD2.8V，AVDD1.8V AGND表层接地&#10;  2. AVDD 2.8V LDO从2.2uf 改为10uf&#10; 3.  AVDD2.8V "/>
        <s v="[s1]Issue ：和Milos同组参数的情况下，Milos CT=6000，Prado P Sensor CT=39000。配houston硅胶套后，CT=9000&#10;clue:  1.  HW设计影响排除，ME差异待拉齐&#10;           2. ME设计确认，TP-PSA和Psensor泡棉 Follow Milos&#10;Rootcause：  中框和屏之间的泡棉无法防止CT，改用houston DVT2的物料后OK"/>
        <s v="Task ：USB 2.0 眼图测试。长线1m测试结果按照短线标准过不去&#10;solution：调整预加重 从10改为11 ，有些优化，基本上擦边pass"/>
        <s v="[s1]Issue ： wide camera工作时有条纹干扰 &#10;clue:  1.  Wide camera 抬离主板8mm，条纹消失&#10;          2.  用手遮盖镜头，光线变暗时，条纹会变很明显。&#10;Root cause : &#10;Wide camera 50M sensor抗干扰能力弱，受到主板上camera下方的电源干扰（VSYS，Vs3_pmic， VBB）&#10;Wide camera参数错误，ISP设置4~5X，干扰被放大，和软件沟通的是大概率设置在2X。 &#10;Solution: &#10;1. Sw 效"/>
        <s v="Issue S3: 死电池激活，WLC 不能自动转入关机充电界面。&#10;Clue：1. WLC 死电池依然能持续激活，充到超过开机电压了3.6V以上，只是系统没有自行转入关机充电界面。 &#10;             2.有线充电是ok的。&#10;             3.测量电压发现 WLC_DET电压不够，只有0.4V VS 期望的1.2V以上高电平。&#10;Rootcause：   R2811 电阻和系统漏电产生分压，导致控制电压不够&#10;solution：   R2811 从10K 改为1K。（1K 在glory 上"/>
        <s v="Issue S3: CID no function&#10;Clue： 插入设备后，CID GPIO 电平只有1V VS 0.63V以下，所以获取不到中断&#10;Rootcause：  GPIO的上拉内阻 和串联的10K电阻 分压比例不好&#10;solution：   EVT 串联电阻临时改为1K电阻。（改为1.5K的临时更改验证ok） 负面作用：串联电阻太小，担心MP防护不够高，担心有问题。&#10;                     DVT1 GPIO 更改到上拉内阻比较大的，预计改到GPIO30 。rework 待验证"/>
        <s v="Issue S3:  EVB 首版验证 不识别USB口&#10;Clue： 1.AP_good 没有信号-》推测可能是没有时钟&#10;            2.确认26M 晶振没有震荡-》查找相关。&#10;             3.确认 CLOCK IC  使用MT6685LP 没有贴错。-》怀疑 晶振是否贴错及电源是否有。&#10;Rootcause：  CLOCK IC 使用的晶振贴的52MHz导致Clock模块无法工作（24M 平台需要使用26MHz晶振）。进而导致不识别USB口&#10;solution：  更改晶振为26MH"/>
        <s v="Issue S2:  Smart PA should can not work at EVB  &#10;Clue： Milos bringup fail &amp; we re-review check same issue in prado （ Smart PA I2S DO &amp;  DI  connect error  ）&#10;Rootcause：  Smart PA I2S DO &amp;  DI  connect error&#10;solution：   1. get smart PA demo board and wired "/>
        <s v="Issue： Wireless Charge Test Get Results (Houston IN) ,FR ~0.26% in Dixon .&#10;Clue：1. No such case in WHP&#10;            2. L2vision test no any data but not just test limit fail （TELL_WirelessChargeTest_GET_RESULTS）&#10;            3. BT test ID is 38436 （Asc ii） "/>
        <s v="Issue：IKSWV-66067  SM6475 // Houston India // V //The battery cannot be charged to full.  Stop @97% &#10;Clue：1. india charger +india phone test issue.  NA SKU  no issue found in same test so far. &#10;            2.replug charger and it recover and charge to ful"/>
        <s v="Camera power up fail sometimes -Houston&#10;1.issue 定级&#10;Issue ： camera 概率性不能打开，自动恢复，下次可以打开。runin 数据是这台机器 1/3500 。Total 20台？出现1次？&#10;测试也有单次出现，自动恢复。正常压测不能复现&#10;等级：软性可自动恢复。&#10;影响：不会影响退机，但有一定的影响用户体验 。&#10;2. 深入挖掘，尝试找到根源清理 。&#10;2.1 runin这台复现1次的机器压测1万次左右，复现问题后的状态抓到了，当前故障也理清，I2C 总线活"/>
        <s v="Issue：CCT RD复测精度 ，HZ和A 光源 超标准  50%  ,其他光源 ok ，共测试8种光源（camera给的标准是 +/-15%）&#10;rootcause：推测 1 金机可能不是中间值机器，推测2 算法cover 范围不够导致的。&#10;solution： 1. 通过产线大数据，找到接近中值的机器，重新整理后制作成金机for 后续使用。-------经讨论，金机可以沿用，不更新 &#10;2. rework 极限属性的IC到机器上，收集极限数据，然后算法优化来覆盖极限机器。目的是保障极限机器也ok 。这个是"/>
        <s v="Issue：认证反馈 ，NA  SKU 电池NTC 附近温度到达60度后，充电还没有停止。（在电池NTC附近加热电偶进行温度监控）&#10;Clue：返回的机器自测pass  ，无法复现故障。&#10;rootcause： suspect  SW版本比较老怀疑是认证当时有bug  &#10;solution: 1.更新到最新版本，再次送认证复测  &#10; 2.同步Action：同步请认证机构打开Battery tracer APP，记录手机温度和电流状态。 万一复现，拍照手机和认证设备上温度和电流的照片，分析数据来判定为什么会fai"/>
        <s v="Issue：Build P-sensor cover APK test NTF ,NA DVT2 一供报5.15 NTF。&#10;rootcause：1.分析抖动比较大导致的，solution1 ：加大测试margin 看下改善情况 2.P-sensor 冷启动时候一开始抖动比较大 。 3.测试夹具环境 Display 对CT有一些影响&#10;solution：1.（降低灰卡挡板从22mm改为18mm ，然后将*倍率从0.95改为0.9 ，DVT2 二供全面导入）&#10;2.DVT2最后200+台机器，导入action： "/>
        <s v="DVT2 ESD WH184180 2nd 11/20 unable to power on;D5(15KV,zone8手写笔孔位置) &#10;Rootcause : 绝缘膜没有贴好，ESD从空隙穿过打到FPC上，打坏了hall IC 和 主板&#10; solution：加强厂家对贴膜的管控质量 -ME   &#10;monitor PVT"/>
        <s v="[s2]Issue:   WH182655 2nd source  EDU14 fail @170V D1 /190V D2&#10;Clue: &#10;   1.EVT和DVT1 一供机器 都是pass的（pass 最高电压600V），主要差异器件是快充IC 和 OVP mos 。但是OVP mos 原理上没有直接相关性，所以主要嫌疑对象是 二供快充IC&#10;  2.D1 不能充电，但是OTG可以使用，机器漏电21mA /  D2 漏电流4mA，功能没有异常。  从以上信息推测，主充电IC模块还能工作，接口识别还ok， "/>
        <s v="DVT2 ATT drop WH184222 2nd Unable to power on:D4(1.5m,front) &#10;Clue：1. display poewr short to GND&#10;   2.  change to a NEW display module and it can power on&#10;Rootcause :  Display module damaged cause power short to GND and cause phone can not power on.&#10;solut"/>
        <s v="Issue:DVT1 EDU15 WH182510 1st ,OTG no function,and translater no function,cannot recover after reboot&#10;Clue:1.D2- TVS损伤，D+对地68K，D-63K， 问题现象同之前wrangler类似。&#10;          2.RD实验：短路5V 到TVS上，不会造成TVS损伤但是短路的同时有浪涌可能会有此现象 &#10;           3.据实验人员描述这台是测试到Vbus ，D+，D- ，GND 四个短"/>
        <s v="Issue ：DVT1 ALT WH182695 2nd source： unable to power on:C2(15kv，Zone9 ，耳机孔附近)&#10;clue：C2这台故障机（ After +15KV air discharge at zone9 , Headset mic no function, and unable to recover），收到CQA测试耳机MIC功能确实异常 &#10; 拆出测试SUB板，单独测试HS_MIC_N和HS_MIC_P网络阻抗，均为OL &#10;接入主板，测试HS_MIC_P阻"/>
        <s v="Issue ：DVT1 ALT WH182596 1st source 第二配色 unable to power on:C2(15kv，手写笔孔)&#10;clue：样机返回厦门，预计10/17到达&#10;rootcause：1. 主板HALL_INT_S端口阻抗异常，FPC部分VREG_L8E_1p8，HALL_INT_S，HALL_INT_P阻抗异常，确认主板CPU和HALL IC损坏；&#10;solution：1. DVT2及以后机器增加绝缘麦拉片 ，确保堵住Hall IC开孔；&#10;                  p"/>
        <s v="issue：   产线反馈DVT1 出现2次SIM卡不识别，重新插拔恢复了&#10;action：  产线压测，出现问题不要插拔，直接做飞行模式及开关机看是否恢复，用来判断是否连接器接触不上导致不识别，还是其他原因。&#10;rootcause：插拔过程中 SD 卡座弹片刮到 SIM卡的金属片，导致SIM卡严重磨损。进而导致SIM卡接触不好。&#10;solution：SIM 向下移动0.4mm 来尽量避开 SD卡的刮线。"/>
        <s v="Issue S2: P-sensor CT test result:20000~40000 ，Fail（target &lt;3000，deadline：5000) IN EVT&#10;DVT1 方案：&#10;V2：黑色泡棉+0.03黑色背胶+RX硅胶套+机壳不喷黑（应急生产92pcs）&#10;V4：黑色泡棉++0.03黑色背胶+接收区域开孔减小（替代硅胶套作用）+no RX硅胶套+机壳不喷黑（主要生产）&#10;V4:  黑色泡棉+0.03黑色背胶+接收区域开孔减小（替代硅胶套作用 ）+no RX硅胶套+机壳喷黑&quot; （期望的比较好的状"/>
        <s v="Issue:  DVT1 一供50pcs天线干扰camera测试已完成，其中2pcs测试fail, 问题1：一台主摄N77干扰导致预览fail,  问题2：一台Wide wifi 2.4G阈值超标&#10;analysis：1，问题1：主摄N77干扰，因为前置camera石墨片贴着主摄camera连接器&#10;                   2. 问题2：Wide wifi干扰，log无报错，怀疑测到最后一项从盒子拿出导致，压测150次pass。    &#10; Solution：问题1： 结构负责，工厂执行，调整贴装"/>
        <s v="Issue:   ATT drop No power on issue 跌落后概率性不开机 1台&#10;analysis：1.当故障复现时候，测量发现 BB clk 不能输出，但是32K始终有。推断 CLOCK IC PMK6450 或者对应的晶振 有问题。&#10;  2.按压晶体后不复现，装成整机加测跌落后复现故障。测量 还是BB clk 不能输出，32K有。&#10;  3. 加焊晶体后恢复了。（但是由于 PMK6450 和晶体紧靠着，也会同时受热，所以会一起背加焊到）&#10; 4.应力确认这边最大0.2% ，低应力区域。&#10;R"/>
        <s v="Issue:  DVT1 一供ESD，6台出现2台前置camera无作用。CQA 和 Moto APP都无法打开，稳定存在，重启也不恢复&#10;Clue：1.重启后直接开CQA 或者用第三方APP 是ok的。但是使用moto APP 切换到前置camera 会自动退出，再进CQA就是无作用，并ramdump。&#10;             2.D2机器重新刷其他版本后ok，刷回原来的版本确认也还是ok ，推测 代码哪个关键参数出现错误了（存储在ROM里面的）。&#10;           3.当前log没有有效信息，SW"/>
        <s v="Issue：&#10;前摄视频通话温度过高：F: ↑0.11°C/B：↑1.97°C&#10;clue：&#10;软件功耗过高：&#10;Houston：48.11℃/49.97℃ @ 3.35W&#10;Wrangler  48.07℃/  49.86℃@ 3.35W&#10;Boston：无whatsapp 数据，wechat 2.7W&#10;硬件散热不足：&#10;前摄石墨面积↓30%（从215mm²减小到150mm²）&#10;Solution：&#10;1、摸底DN 方案收益，收益1C就达到预期&#10;2、DVT1 二供增加DN方案"/>
        <s v="Issue：OTG有时候无作用，出现问题后就一直存在，需要重启后才能恢复。工厂和ESD实验都有报，但ESD报的问题无法完全确认和ESD本身是否没有关系。&#10;clue：&#10;Chai Lu added a comment - 17/Oct/24 5:29 AMFrom aplogd_0947 logs：&#10;CID is ok after connect OTG devices --PASS&#10;type c could detect OTG device connected – PASS&#10;OTG vbus 5v out"/>
        <s v="Issue:  IKSWV-23174 3台报主摄拍照dump。&#10;Clue：&#10;1.均是主摄OIS拍照或者AF对焦拍照时出现问题,且log均提示的MIPI error&#10;2.这3台可以录像preview 100% dump&#10;3.跟WIFI无关（工厂测试用WIFI指令控制）&#10;Root cause：&#10;MIPI cphy参数和目前硬件搭配不是最优&#10;Solution：&#10;优化MIPI cphy参数(  修改后EQ=0x07，  CDR PGM=0x47，CDR Coarse=0x09 )，待软件提供版本给产线。"/>
        <s v="issue：cap sensor no function 4pcs in EVT 改善rework 机器复测 ，D1，D3，D4，D6&#10;故障机待分析汇总：D1 ，D4 ，D6 确认都是I2C不同，D4 D6已交叉确认IC不良。D1原加焊后ok，但是过后隔天又fail。 D3有其他故障，待分析&#10;其他线索：1.PCB 焊盘没有看到损坏货焊盘掉落 2.IC上的焊盘也没看到异常。3.IC本体没看到明显撞击痕迹，更细节的待vendor 进一步确认。&#10;4.有个确认项”故障IC 和正常IC的阻抗对比确认。（如果有厂家的"/>
        <s v="Issue S3: L406 PCB package not match&#10;Rootcause：          1，DVT1 一供发板前没有进行FL的自检，直接发出去了，PCB一供返回问题L406焊盘没有开窗，临时：处理方式是，让一供 厂家自行将开窗开起来。&#10;       2.  然后 范南更新一版PCB和gerber 到服务器上，用的旧的名字覆盖。备后续使用。  实际 DVT1 二供已经用新的制作中。      &#10;Solution： 1. HD的板子上是否有FL的库的检查项：还是要检查的，这个比较危险"/>
        <s v="  RISK : Flicker FOV not good because  ID change request&#10;Change request：&#10;1.  DVT1 ID要求改为类似camera 本体镜头的外观，1.凹面透镜+材料改为 vegas材质 （外观墨绿色）。&#10; X轴 FOV 38，Y轴FOV 49   &#10; 2. 要改图面透镜+材料改为 vegas材质 （外观墨绿色）  预估 角度还会更小，待有样品摸底，时间TBD&#10;Rootcause：  &#10;solution：   1. 为了区分两种透镜，希望能区分"/>
        <s v="Issue S2:  WH180780 ，tumble test，  D5  cap sensor nofunction （CQA 所有通道一直显示绿色） ，recover after reboot&#10;&quot;EVT TMO tumble WH180780&#10;1 out of 5 cap sensor no function,recover after reboot:D5(150) &#10;EVT ATT tumble WH180784&#10;Cap/SAR sensor no function:D5(450)&#10;EVT MIL"/>
        <s v="Issue S3:  WH180794 ESD D4 -8KV air discharge at zone8(Aging10),OTG no function，&#10;clue： D4 OTG is ok ,can not reproduce .安排压测  50枪，不复现&#10;              EVT2复现3次，重启恢复，  软件 log 分析，没有ADSP log 暂时没有进一步的结果。 &#10;   SW有已知的问题：IKSWV-19512  故障发生后，和ESD  测试时的故障结果一样。  OTG和USB"/>
        <s v="Issue S2:  EVT ATT tumble WH180784 Headset no function:D4(300)-&#10;clue：样机已带回厦门  8/26&#10;Rootcause： 耳机FPC断裂&#10;solution：优化耳机FPC外形和走线 ，import from DVT1&#10;DVT 1 一供没反馈问题"/>
        <s v="Issue：1pcs P-sensor no function in ATT drop  ，D3&#10;Rootcause：initial fail 。临时rework 装配问题，泡棉装偏了。"/>
        <s v="  Issue S3: ATT drop 1.5M MIC2 no function 5 in 10 unit&#10;Rootcause：corner PCB crack （near MAIN camera ）&#10;Solution： 1.PCB外形加大0.2往camera，2.top增加一个小钢片用来加强板子。  import from DVT1&#10;       DVT1 第一轮ATT drop 没有发现相关问题。"/>
        <s v="Issue S3: Flicker FOV not very good in EVT ，~65 degree ，target 70 &#10;Rootcause： 材料和仿真的不是一个材质，PMMA-CM211-5‰ 均光粉   VS  仿真 NW432D ， &#10;solution：1. 打样NW432D  ，角度到~80度，性能OK&#10;                     负面影响：材料的外观颜色会更加浑浊，会影响外观"/>
        <s v="Issue S3:  NFC  FW 下载校验失败。NTF ~10%&#10;Rootcause：  TBD&#10;solution：  SW 改QC 默认驱动，DVT1导入"/>
        <s v="Issue S2:  EVT ATT tumble WH180784 ，unable to power on:D8(500)  （ID：N0QT060208）&#10;clue： 1.可以进入9008模式，认到口，但是Blankflash 失败。CPU认到，但是没有跑到memory部分 &#10;          2.Uart log 确认，DDR 认到，但是没有认到UFS。 三星 8+128 memory&#10;       3.拆IC确认  点胶异常&#10;Rootcause： UFS damaged 。  故障样品韩国分析，"/>
        <s v="Issue S3:  houston Flash LED 出光孔位置和结构需要不匹配&#10;clue：1. EVB基带自测闪光灯功能正常，EVT试产产线自测功能正常&#10;            2.EVT整机camera测试灯效，发现出光孔和Lens中心点不一致，偏心。        &#10;Rootcause：  1.结构需求未出给  2.硬件设计未确认到位。&#10;solution：&#10;1.临时方案： EVT rework 闪光灯板给camera测试Lens效果。&#10;2.  DVT1 修改PCB板设计&#10;2.项目长期：&#10;长期：&#10;"/>
        <s v="Issue: EVT USB 默认参数眼图 电平过高&#10;solution：调整SW 眼图参数，参考geneva 的参数修改，临时调试复测pass .  相关更改DVT1之前集成"/>
        <s v="Issue: 自测5台，4台出现 ANT7和ANT8的 N77&amp;N78干扰后主摄像头&#10;           1）ANT7 N78 有preview failed和camera error found&#10;           2）ANT8 N77 preview failed&#10;Clue：log提示后摄MIPI error    &#10;实验:  1. 石墨片不动，去掉Inlay, pass&#10;           2. 去掉camera石墨片，裹紧Inlay, pass&#10;           3. 去掉camera石"/>
        <s v="Issue S3:  WH180794 ESD  D2 -8KV air discharge at zone16(Aging10),Earpiece and Loudspeaker no function,recovered after reboot.D3   +8KV air discharge at zone1(Aging10),earpiece and loudspeaker no function,recovered after reboot，&#10;clue： 安排压测  50枪，不复现&#10;Rootca"/>
        <s v="Issue S3: WH180794 ESD D1 mic1 and mic2 noisy After -8KV air discharge at zone16（rear camera）&#10;clue：can not reproduce ，安排压测  50枪，不复现&#10;Rootcause： TBD&#10;solution：   EVT2 ok"/>
        <s v="Issue S？:  KP camera power noise 测试，主camera测试数据超标4.5（标准4）&#10;Rootcause：IMX896 sensor 问题，参考wrangler也是超过4， KP判断pass&#10;"/>
        <s v="Issue S3:  Flicker sensor &amp; A+G sensor reuse I2C bus impact performance &#10;clue：1.houston First SOIS+Flicker on SM6450/SM6475&#10;Rootcause：SOIS 占用了SM6475平台ADSP的所有接口 （一组I2C for OIS控制，一组SPI for OIS A+G 数据上传，以及 I2C 的A+G UI通道数据 for EIS）。其他所有ADSP端的sensor只能和A+G UI通道"/>
        <s v="Issue S2: SIM detection failed during the SIM bringup &#10;&#10;clue：1.SIM 波形分析发现 SIM IO/CLK 异常，VCC/INT 正常，RST没有串电阻无法测试&#10;            2.卡座飞线出来测试波IO/CLK /RST/INT/VCC 都正常，同时此时验证可以识别到SIM卡&#10;     Rootcause：卡座和卡托不匹配，新SIM卡座和老款SIM卡座的卡托不一样（旋转了180度）&#10;Solution：&#10;1.临时方案： 将卡托rewor"/>
        <s v="二供快充bringup issue：&#10;Issue 1： 大概率 master CP I2c 访问失败。（表现是电流只有20+W）&#10;Rootcause：   SC8541D的I2C地址选择pin 是E6 ，和BATN_SRP功能复用，链接到电池的C-上，在Vbat链接后200+ms内，就决定了I2C的地址。在扣合电池过程中，Vbat 和GND 大概率会比C-先上电（电池连接器的设计，防止C-先接触上造成其他问题），这样导致I2C是个错误的值（期望值是接地，实际是悬空了）&#10;Solution:   将maste"/>
        <s v="[s2]Issue:SOC not change ，always 60%-Wrangler aftersale&#10;Clue: 1. SW setting SOC to 60%  and voltage to 4.2V when fuel gauge not work.&#10;             2. reassembly 2 units battery connector and  issue gone.&#10;Root Cause:  suspect battery connect issue.Why ？wai"/>
        <s v="Issue: PVT MXC06 Unable to power on 4台&#10;Clue:PMK_VREG_BB is only 0.5V at msm side and 1.2V at PMK7450 2pcs;&#10;          VREG_SYS_1P8在PMK6450端电压为0V,在PM6450端电压正常，2pcs.&#10;Root Cause:PMK_VREG_BB 在Layer11平行屏蔽盖轨迹的地方断开 ；&#10;                      VREG_SYS_1P8在L11层往PMK645"/>
        <s v="Issue: WH178095  EDu15 Soft Shorts test After OTG 2 ohm resistance Soft Short,OTG no function and data transmission no function(10:37 5/20/2024),unable to recovery after restart.D2 &#10;Clue: in OTG mode Vbus is ok but  USB not   (ADB and fastboot can not wor"/>
        <s v="Issue: user feedback,录像状态下有主摄有异响&#10;Clue:OISVDD电压3.3V高于模组要求的2.8V&#10;Root Cause:  OISVDD电压3.3V高于模组要求的2.8V，为何回响camera KP分析中&#10;Solution:  change LDO to 2.8V output LDO（PN：SC98D62703）"/>
        <s v="Issue:MXC06 WH177228 Unable to power on:D1/D2(270）&#10;Clue:PMK_VREG_BB is only 0.5V at msm side and 1.2V at PMK7450&#10;Root Cause:PMK_VREG_BB 在Layer11平行屏蔽盖轨迹的地方断开 &#10;Solution: 加宽PMK_VREG_BB 在Layer11平行屏蔽盖轨迹这一段的走线"/>
        <s v="issue:Charging  slow in  DF&#10;"/>
        <s v="issue：Wh176592：DVT2一供ALT India 15kV AD capsensor Ch1 no function&#10;Clue1：ch1通路阻值异常，只有100ohm&#10;Clue2：参考通道下地电容耐压只有25V&#10;Clue3：上支架ANT1 LDS pattern距后盖缝隙很近（天线功率不足需要足够LDS pattern需要足够靠近边框天线）&#10;Clue4：R3708 短路 &#10;Root Cause：Ch1线路扛静电能力不足，能量从LDS进入冲击CH1 R3708，导致器  &#10;           "/>
        <s v="issue: DVT1 2供 ESD Air -8K capsensor no function,recovery after reboot&#10;Clue1：上支架ANT1 LDS pattern距后盖缝隙很近（天线功率不足需要足够LDS pattern需要足够靠近边框天线）&#10;厦门和武汉无法复现"/>
        <s v="issue: Unable to enter system:D5(270) 3/26/2023,&#10;Clue: 1.按power键上电不保持&#10;           2. 按压memory 可以正常开机&#10;rootcause: memory 虚焊，点胶不均匀，memory表面有胶水和屏蔽盖粘连，侧面无明显点胶量，转ME优化点胶"/>
        <s v="Issue:DVT LotX tumble Unexpected auto power off:D1（225滚）&#10;&#10;clue: 1.  不开机&#10;          2. 接上假电池(没有开机)，量测B_PLUS(VPH_PWR)电压及VBAT端的电流,VBAT上面每隔1s会有1.45A(MAX)的电流，把B_PLUS(VPH_PWR)从4V 拉到3.574V&#10;           3. 加焊后按压还是会自动关机，大概率还是PM8350B本体故障，寄回武汉做PM8350BH 芯片交叉验，问题依旧&#10;     "/>
        <s v="issue：DVT1 1st stack WLC 红墨水fail, 第二方案WLC 红墨水fail&#10;[s3]Issue ：DVT1 WLC 红墨水实验fail&#10;       Clue：1. 脱落pin不影响WLC功能，功能检查正常，判断会影响充电性能，用户无法感知。&#10;                   2. 两次实验，脱落位置不固定，第二页和第三页图示&#10;                     3. stack板装配后虚空，怀疑在跌落或者震动的时候，stack板晃动导致wlc芯片部分管脚脱落&#10;Solut"/>
        <s v="Issue: DVT1 ALT 2供ALT跌落碰撞，USB板Speaker信号线串联的L303，L304 脱落&#10;rootcause： 器件在板边，怀疑应力问题？ 另此类器件铜丝绕线到焊盘底部且二供焊盘0.8*0.3，一供0.8*0.4&#10;solution:  1. L303.L304位置向板内移动，支线发版验证。&#10;&#10;分析：&#10;1) 结构壳体尺寸正常，未出现撞击的痕迹&#10;2) 二供的焊接面会比一供小，如下图二和图三，&#10;3) SMT工程师分析，二供的焊接正常，不存在焊接问题&#10;4）一供器件焊盘0.8*0.4， 二供的"/>
        <s v="Issue: DVT1二供组装，3台华星屏幕显示偏绿，KP反馈现象跟随主板&#10;analysis: 1. 现象固定，此主板搭配天马屏幕ok, 搭配所有华星屏幕发绿&#10;                 2. fastboot下显示ok， kernel 异常，怀疑有参数更改，监控从正常到变绿时，电压，帧率，MIPI clk均正常&#10;                 3. AP mipi data 测试，相同主板，点白色图片。天马模组MIPI data 波形正常，华星模组MIPI data异常，说明使用华星模组时，AP"/>
        <s v="Issue：front camera RCN value exceed standard&#10;analysis: &#10;rootcause: crosstalk from display&#10;solution: remove to KP yaocf1"/>
        <s v="Issue：DVT1 CQA test camera0 N78 干扰测试failed , failure 1pcs (测2台)，批量数据待测&#10;rootcause: MainCamera CPHY interfered from  thermal graphite film coupled radiation  of n78 on ANT9 &#10;solution: change the shape of graphite to avoid  overlap the main camera connector "/>
        <s v="Issue: Sub usb Type-C连接器屏蔽壳对地短接的电阻被ANT删除，这6颗电容位按照最初讨论为DCM 贴电容，ROW 贴0R，ANT为兼容DCM和ROW公用天线，直接将ROW 这6颗本来贴0R 电阻 DNS掉&#10;Rootcause ： 此6颗接地位需要和BB/RF一起商定贴片方案及铁壳接地方案，ANT在warroom上提出问题，但未收集到BB和RF反馈，直接修改方案&#10;solution：DVT1 贴0R下地，ANT 优化天线设计，&#10;                DVT2 因为DCM SKU删除"/>
        <s v="Issue：EVT  EMEA P+ESIM， Unable to read PSIM Card ， failure 4pcs （2 Alt, 2 xiamen ant ）&#10;Rootcause ：校准数据丢失"/>
        <s v="Issue：EVT EDU14   surge test fail on VBAT test point test ，200V fail.&#10;clue：B_PLUS short to GND&#10;Rootcause ：U1571        PM7350C  damaged in surge test&#10;                 surge TVS layout is not best&#10;solution：Optimize Vbat TVS layout . monitor DVT1 test&#10;lesso"/>
        <s v="RISK：add WLC TX  function，PCMCR：https://idart.mot.com/browse/PCMWRANGLE-7&#10;Solution：Go with Option1 （1.PM8350B change to PM8350BH bacause PM8350B only support 5V haptic boost but PM8350BH support 10V haptic boost 2.add a loadswitch to get power from haptic"/>
        <s v="Issue ：India P+P SKU SIM2 can't not recognized&#10;Rootcause： The VSIM2 power supply design is different in the S21 and S54K&#10;Solution：VSIM2 resistor  is disconnected inS21 desgin&#10;                  "/>
        <s v="Risk ：SC8549D may not able to work ，About 30% on Glory&amp;Aura&#10;Clue：1.incoming date Later than 20231222 lot should have problem&#10;2.Wrangler EVT ：E03 35pcs，  E05 8pcs firstboard ， E04 30+pcs use Old component ，should not have problem&#10;         Others ~400pcs ，u"/>
        <s v="Issue ：  power off current leakage 5.4mA&#10;  clue:  1. fastcharger IC(VBAT2) can reduce 0.5mA maybe charging setting issue&#10;             2. charging  Patch1 (CP related)： reduce 1mA .   so there is other part issue too.&#10;Solution:update 310 continuous build,U"/>
        <s v="Issue ： camera PMIC  bringup fail &amp; Smart PA2 bringup fail&#10;Rootcause： I2C address conflict on Smart PA2 &amp; camera PMIC 2  . both are 0x35&#10;Solution：EVB rework  ，solution ongoing&#10;                   EVT change smart PA2 I2C  （have 4 I2C address option ）&#10;lesso"/>
        <s v="issue:  L2vision wireless charge CHIP ID fail. 1pcs&#10;Clue： PAT  pass&#10;Rootcause：：    Q2801 虚焊   "/>
        <s v="issue: PAT wireless charging fail  &#10;Rootcause：：1.一部分机器Stack 板子没装。这部分制程问题工厂处理--统计这几天有15pcs Stack 板子没装。 &#10;                         2.有两台机器是stack 有装，但是FW升级一直失败。 Q2803 虚焊  ，具体还有多少台 由产线统计及SMT参数修改解决。&#10;"/>
        <s v="Issue ：[Factory][TCC][OK2P]TCC AutoCycle Test，The Device can not power on .3 in 12  IKSWU-124341&#10;Rootcause： 1.开机过程中GPIO79判断到高电平后，手机进入9008 导致不开机&#10;          2. ANT tuner U100（QAT5655）在超低温下（低于 -30 °c）逻辑异常 导致上电瞬间 DATA  输出高电平  。而该器件QC的温度 SPEC 范围是-30度~85度，我们的实验环"/>
        <s v="Issue ：type-C port can not work after test (FOD、UCT、L2VISION).  ~1% &#10;Clue1:power cycle can not recovery,reasembly battery connector recovery. Some component on VPH_PWR error.&#10;clue2: plug in Type-C analog headset can recover too. Suspect ：Audio switch cont"/>
        <s v="Issue ：[PVT]TCC ALT Test,shake test ,Unexpected auto power off,Power on only after charging.2 pcs loop5 1 time&#10;Clue1: log show PMIC PM6150C abnormal UVLO &amp; BOB  OCP found.   &#10;clue2:Power on only after charging&#10;clue3 : same unit B1 show  PM6150C abnormal L"/>
        <s v="[S2]Issue:  产线装配后拍录像/播放竖线 ( ~ 2/300)&#10;clue: 拆机重扣之后，故障概率下降很多，十几次出现一次， 交叉模组实验，故障跟随主板&#10;Exp1：Video record, 开WiFi，MIPI log 报错&#10;rootcause:  CPHY was interfered by wifi and n78&#10;solution:  Tuning CTLE EQ and CDR register"/>
        <s v="Issue ：Manaus NA DVT2 所有机器无线充电都不能正常工作。&#10;Rootcause：E2001 位置焊盘没有开窗，虽然有钢网，但是E2001 器件贴不住。 导致Vout 不导通。&#10;短期方案：rework 板子，恢复EVT的通路方案（刚好还预留，没有删除）"/>
        <s v="[S3]Issue: DVT1 ALT A3(loop5)背跌 不开机&#10;clue: 1.关机漏电流100mA+，无串口；&#10;Clue：&#10;1.发热点：从背面看是PM8350B靠左边的位置，这部分是用电端，不是充电部分。（推测是马达，或者显示相关部分电源驱动器坏了），结合第7点情况，推测有可能是显示相关的电源部分有问题，外围器件等可能哪个出问题了。（推测：有可能是外围器件等坏了导致的烧坏IC）&#10;2.确认PM8350B是故障IC，寄厂家QC进一步定位分析（分析具体是哪个模块坏了，以及是否可以看出是否有微小裂纹）；"/>
        <s v="[S2]Issue:  主摄Slowmotion出现横条纹&#10;clue: &#10;Exp1：新版本U2UAN34.11  OK&#10;Exp2：&#10;rootcause:  SW Issue&#10;solution:    "/>
        <s v="Issue ： USB can not connect sometimes-Manaus NA &#10;Clue ：1.when it happen ，it last for a long time and can reproduce when replug USB on phone  &#10; 2. it can be recovery by replug USB on PC . &#10; 3.it can be recovery with CID pin connect to GND on phone . &#10; 4.it"/>
        <s v="[S2]Issue:  EDU03 WH169432 Rear flash light always on , and could not recover:D2/D6(15KV,zone14）, &#10;clue: PM6150C BOB short&#10;Exp1：Flash 导电泡棉没有接地（盖在石墨上），ME将下接地该区域避让开。&#10;Exp2：&#10;rootcause:  Flash 导电泡棉没有接地，导致PMIC被打坏&#10;solution:    石墨接地位置区域避让开"/>
        <s v="[S2] EVB3 Main Camera IMX896 Bringup, preview stuck&#10;Analysis Exp: 1. IMX896 is OK on boston (SM6450)&#10;2. OV50A with CPHY 1.9Gsps failed on both EVB1 and EVB3&#10;3. IMX896 failed with 0.9/1.9/2.4Gsps on both EVB1 and EVB3&#10;4. smoothly preview under heating boar"/>
        <s v="Risk：EVB3 simulation ，Master &amp; slave charging patch  impedance not match ,delta 3.1mR  VS &lt;2mR  （desired value）&#10;Rootcause：  slave battery connector is too far away from charge pump because of RF placement limitation.  &amp; No place for double width of Vbat2 "/>
        <s v="Issue ：dead battery Wireless charging fail&#10;Clue ：modesel go to 1.2V at about 2ms after wireless Vout on .it cause Vout off. repeat&#10;Rootcause： WCHG_DET  output high to CPU cause modesel go to 1.2V (current leakage ) .&#10;Solution：1. change WCHG_MODE_SEL to PM"/>
        <s v="[S3] Issue： EDU14 WH168701 , D1 After 150V surge pulse test,Cannot charge phone by USB.&#10;Clue： 1. RD can not reproduce when get D1&#10;exp: D1 do test again&#10;Root Cause:  1.  Monitor&#10;Solution:   TBD"/>
        <s v="Issue ：Type-C Shell case connect to SUB PCBA GND (JP  SKU DCM require Type-C Shell case dont connect to GND）&#10;Rootcause：  Type-C Shell case fix part connect to middle housing&#10;Solution：PCB：sub PCB dont design soldermask under type-C fix part.  （螺丝孔）&#10;       "/>
        <s v="Issue ：storage time with power can not match Docomo requirement.&#10;来源：Manaus -Eng【24夏スマホ】機能一覧表1.0版(Function list)这份文件，① 24 Summer Main specification 页面的157行 &#10;A period of 27 months or more must be secured from factory shipment to overdischarge&#10;Rootcause： pow"/>
        <s v="[s3]RISK：TCC test 5% Nacl 溶液相对容易造成Type-C 腐蚀&#10;Clue：1.XM test 5% Nacl 溶液填满Type-C连接器 很大概率会触发OTG，刚开始周期性触发，最后就一直触发着。&#10;2.对比 QC平台的bronco 项目，XM test 5% Nacl 溶液填满Type-C连接器，就很难触发OTG？&#10;Next action： 抓出CC和Vbus 波形及对应的log，创建CR  ，寻找MTK支持一起分析 及找可能得改善方案&#10;Rootcause ：TBD&#10;solutio"/>
        <s v="[s2]Issue: chopchop fail when phone deeply sleep&#10; Clue1：Latch time locked and not change&#10;Root Cause: &#10;1. MTK SCP work abnormal in deep sleep&#10;Solution(Work around):&#10;1.Change A+G INT mode to level trigger"/>
        <s v="[s2]Issue: CH0 fasle trigger in DVT2 on AW96308 , when holding TOP ant&#10; Clue1：Semtech is ok&#10;Root Cause: &#10;1. Noise larger than threshold of CH0 due to amplitude too big to meet long distance detection&#10;2.1 IC performance limitation &#10;2.2 ANT Sporton tests re"/>
        <s v="[s3]issue:ALT WH166331 C1 After -1 out of 2 Unable to find NFC device/read SIM Card C1（15kv）&#10;       Clue1：issue happen only once&#10;       Clue2：not produced in stress test on vsim1_vcc        &#10;Root Cause：1、SIMIO1 of NFC IC SN220   damaged&#10;    &#10;solution：&#10;1.1"/>
        <s v="[s3]issue:DVT2 :EDU03 SIM card insert detected fail,NFC no function(1/6)&#10;       Clue1：issue happen only once&#10;       Clue2：not produced in stress test on vsim1_vcc        &#10;Root Cause：1、Vsim1_VCC of NFC IC SN220   damaged&#10;                         2、proposal"/>
        <s v="[S3] Issue： EDU14 WH165529 ,DVT2 surge 200V fail，OTG &amp;fastcharging can not work&#10;Clue： 1.fail unit Log show PD can not work .&amp; Ibus=0 when Ibat =~2A.         &#10;        2.DVT2 all build with P2I. DVT1 without P2I.&#10;Root Cause:  1. MT6375  damaged （replace a n"/>
        <s v="[S3] Issue： EDU14 WH165555 ,DVT2 surge 200V fail，OTG &amp;fastcharging can not work&#10;Clue： 1.fail unit Log show PD can not work .&amp; Ibus=0 when Ibat =~2A.         &#10;        2. use 2nd source Surge TVS &#10;     3.DVT1 &amp;DVT2  bosth  2nd source Surge TVS  test result "/>
        <s v="[s3]issue:EDU03 WH164325 2nd NFC unnormal&#10;clue:&#10;root cause:&#10;solution:"/>
        <s v="[s3]issue:EDU03 WH164325 2nd SIM card insert detected fail&#10;Root Cause：SIM1_INT pin short to GND&#10;solution：ADD TVS on DVT2 ,TCC Validated Pass&#10;"/>
        <s v="[S3]issue：DVT WH164184 D4After -15KV air discharge at zone9,SIM card is broken.&#10;Analysis: 检查SIM接地良好&#10;Root Cause: &#10;solution：&#10;1、SIM_IO pin 增加tvs（DVT2导入）&#10;  2、SIM卡座接中框泡棉改用导电布&#10;"/>
        <s v="[s3]Issue:TDD Noise Found in EVT&#10;Root Cause:1.Receiver Affected by Magnetic Field of GSM-PA which is closed to Receiver&#10;2.1 Multimode RF PA cannot meet the  TDD design rules-RF&#10;Solution:&#10;1.Add audio switch design for optimization validation"/>
        <s v="[S3]issue：EVT WH163350 D3  After -15KV air discharge at zone8,Unable to detect SIM Card，unable  to recovered&#10;Analysis: 检查SIM接地良好&#10;Root Cause: &#10;solution：SIM1 IO 串联33R电阻"/>
        <s v="[S1]issue：EVT WH163344 1 pcs  背压第9点界面异常，第11点时不开机&#10;Analysis: &#10;1.样机未复现故障现象&#10;2.之前出现故障前出现安卓小人界面，怀疑死机导致，SW 抓下log 进一步分析&#10;Root Cause: &#10;solution：&#10;"/>
        <s v="[s3]Issue:  Cap sensor no function on D2 post&#10;Root Cause: Poor SMT soldering&#10;Solution:Re-weld to restore normal,SMT optimization&#10;"/>
        <s v="[s3]Issue: CH1 fasle trigger in DVT1 on AW96308, Semtech EVT ok&#10;Root Cause:1. CH1 diff value affected by hand holding bottom of the phone&#10;Solution:&#10;1.Vendor optimising with parameter"/>
        <s v="[s3]SGM Release FCN that mention  SGM3837 OLED Driver Frozed,Change to Novatek.&#10;Root Cause: SGM3837 出货有0.3%芯片本体损坏，导致整机会在VBAT上有漏电流，供应商数据10mA+&#10;        影响度：量产项目：  london na 无影响，London Row 13K , Juno 5K    &#10;                         试产项目：munaus 5G DVT1 1K 主板 ,"/>
        <s v="[S1]issue：结构摸底测试中出现电感脱落（没有屏蔽盖）&#10;Analysis: &#10;1. 厂家同批次验证，未发现焊盘脱落现象。&#10;2.EVT 麦捷验证，未出现脱落现象。&#10;3.EVT 太诱TMO 跌落中未发现脱落现象。&#10;Root Cause:EVB没有贴屏蔽盖，可能是导致整机应力异常&#10;solution：后续跌落实验室继续跟踪，有问题再重新提出"/>
        <s v="[S1]issue：EVT WH163330 C2  After +8KV air discharge at zone3/9/15,Drop call-GSM（连接仪器下）&#10;Analysis: 实网下测试正常&#10;Root Cause: 可能匹配未调试导致&#10;solution：跟踪DVT1后续实验，有问题再重新提出"/>
        <s v="issue :   London NA  WLC can not work after rework stack board"/>
        <s v="issue :DF  charging slow "/>
        <s v="[s3]Issue:abnormal power off during charging, 3 units till now,1 time/month .&#10;Clue:MT6363 POFFSTS[0xD]=0x8800&#10;Clue:check vbb quality, Result:.vbb with big margin ,hw low risk&#10;Clue:Shut VBB through I2C Intentionally, Result:Not matching&#10;Clue:Heavy switch w"/>
        <s v="[s2]Issue:London NA unexpected reboot&#10;clue:    Power off reason[PMIC][0xD] reg=0x40 which mean power cycle due to Long press powerkey &#10; 1.Suspect Power key stuck&#10;solution: change Key to panasonic 。monitor"/>
        <s v="Issue ：Pilot ORT  1pcs auto power off@Mxc06 40 tumbles ，D1，https://idart.mot.com/browse/IKSWT-137715 &#10;Clue：Log show[PMIC]POFFSTS[0xD]=0x2 ,means some power OCP or OVP. &#10;Clue.X- ray  查看之前CPU屏蔽盖风险点，看起来OK,没问题 &#10;Clue.故障机 看到气压计本体的盖子脱开了，掉在旁边的受话器磁钢上。（有磁性） &#10;Soluti"/>
        <s v="[s2]Issue: London NA PVT 耳机插拔压力测试，概率性无法识别，重新插拔ok，总不良率：0.4% （5/ 1240  ）&#10;      SW CR:IKSWT-115443 ，log 判断有插入拔出事件&#10; 4/17  chenwt：目前log 分析  及 RD 实验室模拟，这属于连接性问题。 &#10;实验过程：先插入耳机，识别好耳机，然后断开一根CCpin 链接，之后就设备就不认了。  （如果再接上这根CC，就会再认到。 ）&#10;这样模拟的log 和 issue 的log 一模一样。&#10;转KP xi"/>
        <s v="[s2]Issue:PVT WH162948 D2&amp;D4 TRP fail&#10;clue:stress test on ANT spring with tuner code control ，reproduce&#10;clue:Ant -&gt; Funer :1.3nH-&gt;0R&#10;rootcause: 1.Tuner U100 damaged by ESD ，from ANT spring&#10;exp: C102 add ATVS ，RD test 4 unit ok with tuner coder&#10;2.P2i destr"/>
        <s v="[S1]issue：WH161516- Main band48 No camp - LTE:D3/D4&#10;Root Cause:&#10;    1.D3 band48 RX1 of FX6880(Switch PA) damaged、D4 band48 RX0 of  FX6880 damaged&#10;    2、DVT2 LDS pattern changed in order to pass certification，may increase ESD risk&#10;exp：1、change FX6880，resul"/>
        <s v="[s2]Issue: Back camera cannot take pictures&#10;clue:&#10;rootcause:  Not correctly connected after mic seal verification by ME&#10;exp:&#10;solution:"/>
        <s v="[s2]Issue: Rear main camera fail to open&#10;clue:&#10;rootcause:  repaired, DVDD LDO bias short to GND leads to trace open&#10;exp:&#10;solution:"/>
        <s v="[S3]Issue:1:PVT NFC test fail&#10;rootcause:1.Extra NFC Ant Discreat Component SMT on Stacking Board duo to not in DNS List.&#10;2.Those DNS Part was removed and not adding back.&#10;Solution:1.removing DNS Part"/>
        <s v="[S3]Issue:1:PVT USB can not used&#10;rootcause：TVS507&amp;TVS508  orientation error due change from dual orientation TVS to signal orientation TVS but without orientation mark on build file&#10;Solution:1. rework TVS507&amp;TVS508 &#10;                 2、update build filewit"/>
        <s v="[S2]Issue:1:DVT2 TRP error  &#10;rootcause： ANT0 tuner damaged&#10;Solution:1.add mylar under LDS  ，PVT import &#10;                 2、add TVS on SIM board，PVT import &#10;PVT issue reproduce ，reissue it"/>
        <s v="[S3]Issue:D1 All capsensor no function  2023/2/22&#10;Root Cause：&#10;1.Mylar was sticked uncorrectly，SX9375 exposed to the BTB connector&#10;2.Mylar sticked artificially&#10;Solution：Import fixture to locate mylar , ME Planed&#10;DVT2  2nd source test pass &#10;PVT move capsens"/>
        <s v=" Issue:  Temp / Humidity and Temp Cycle ， ALT drop  3units( 3/12) flash led no function.&#10; Root Cause: 1.2rd sourcing vendor  flash led FPC ，LED  SMT poor welding, need fpc vendor PBH improve &#10;   DVT2 fail too&#10;Root Cause: 1. The heightening of the sea ring"/>
        <s v="[S3]Issue:[LondonNA][Factory][CQA1][DVT2] When inserted the headset to phone, the phone hasn't recognize the earphone micphone&#10;NTF"/>
        <s v="[S3]Issue:[London NA][Factory][UCT][DVT2]USB_HOST GET_USB_HOST_MODE_STARTS Fail  NTF&#10; solution：update test recipe for polling mode and issue not found"/>
        <s v="[S3]Issue:[London NA][Factory][BT][DVT2]BATT_CURRENT_CAPSWITCH_CHARGER_ Fail&#10; NTF&#10; solution: 1.加retry ，每次retry 增加0.1V，并在每次retry 都是Ibus 测试完直接测试Ibat  。&#10; 2.低门限放宽一些，从2.5A改为2A"/>
        <s v="[S3]Issue:1:ESD WH160481        D6        NKCT130135        ANT        :EIS degradation exceeds 3dB, and TIS value out of spec(LTE Main_Band5):D6        final test&#10;rootcause：ESD -》ANT0—》ANT0 spring—》ANT0 TVS—》ANT0 Tuner damaged 。ANT0 TVS layout not good e"/>
        <s v="[monitor]Issue:TMO drop WH160497   D6   NKCT130126 Unable to enter camera mode:D6(5)&#10;Rootcause ：&#10;1.Unable to enter camera mode/no audio function : U4153 damaged ，should be SMT issue or component issue .(MP component ) &#10;2.Send Unit to Vendor ,monior&#10;DVT2 n"/>
        <s v="[S3]Issue:WH160519 NKCT1E0116  Earpiece no function/ Loudspeaker no function/ Cap/SAR sensor no function/No vibration:C1 in initial(before Drop test)&#10;Clue:I2C reading audio parts are ok . From log check :capsensor initial fail block audio SW initial &#10;Root"/>
        <s v="Issue: London NA  can not rampdump   IKSWT-66439&#10;Next A2+ (MT6879V/TZA) / /London NA // T //echo c &gt; /proc/sysrq-trigger,Failed&#10;Clue： EVB ，EVT，DVT1  all can reproduce 100%&#10;              Tesla  MP &amp; some PVT units  fail too. &#10;EXP：Swap CPU with  Tesla DVT2 "/>
        <s v="Issue:WH160519 B3        NKCT1D0011        Unable to enter system:B3(1)-TH/TC&#10;Clue：&#10;Rootcause:    4 units all recovered after recharging the battery. Low battery leads the phone can't enter system.  monitor"/>
        <s v="[S3]Issue:1:ESD WH160481        D3        NKCT130197        NFC        NFC no function&#10;1. ESD from MIC3 hole （add from DVT1） -》NFC ANT spring-》NFC IC damaged&#10;Solution:&#10;1.ADD TVS on NFC ANT spring&#10;DVT2   test ok"/>
        <s v="[S3]Issue:1:ESD all Cap sensor no function,unable to recover:D2(15KV,zone1)/D4(15KV,zone16)/D5(15KV,zone12) &#10;2:All capsensor no function,CH1&amp;2&amp;3&amp;4 recover after reboot,CH0 unable to recover.D1(15kv,zone4） &#10;3:Capsense(Ch2) no function,recovered after 15min"/>
        <s v="[S3]Issue          ESD WH160450 Cap/SAR sensor no function:C1(15KV air）&#10;Root Cause: 1.SX9375 damaged&#10;Exp: REF_CAP_ANT0_2 shorted to GND&#10;Exp: recorverd after changing SX9375&#10;2.ESD Path Analysis ,by 1/16&#10;solution:add TVS on main board (near cap sensor) ，imp"/>
        <s v="[Monitor]Issue:build 7pcs can not download&#10;clue:remove CPU shielding case SH4309 and ok ,remount shielding case and ok too .&#10;        R1601，C4411，C4416，C4478 are the High risk point  base on the X-ray &#10;Root Cause : suspect some cap short to CPU shielding c"/>
        <s v="[S3]Issue :WH160450 ALS、PS No function  A5(5)                        &#10;Root Cause: P-sensor damaged  &#10;Solution： change PCB outline near P-sensor 。（Y+0.15mm to protect sensor componnet）,DVT2 import ,monitor"/>
        <s v="[S3]Issue WH160450 No Main display   B2(2)        B4(3) A5(2)      ,recovered after pressing power key repeatedly                &#10;clue：all recovered, 1 times/4 units from 10 units&#10;Analysis:1/20 No available log ,4 units log no match log found in the phone"/>
        <s v="[S3]Issue WH160450 Rear camera viewfinder has noisy points:A1/A2/A6(1)-TH/TC&#10;Root Cause: not reproduce in XM。 try to reproduce but can not reproduce"/>
        <s v="[S3]Issue WH160450 Cannot charge phone by induction         A2(5)        ，A1(5)                          &#10;Root Cause: wireless charge coil FPC assembly issue : Spring can not contact to the FPC finger  .Assembly issue&#10;solution：Assembly issue ，ME tracing a"/>
        <s v="[na]Issue          WH160450 Unable to read SIM Card:B5/B6(1)-right&#10;Clue：replug SIM card and recovery &#10;Root Cause：1.get SW log for recheck&#10;                 2.tear down phone for short risk check by ME No issue found。&#10;reproduce：drop and SIM tray drop out a "/>
        <s v="[na]Issue: TMO drop WH160497   D6   NKCT130126 no audio function/no vibration(25)/unable to detect SIM card(29)/2nd L-sensor no function:D6(56)&#10;Root Cause:1.Stack connector damaged lead to failure ,ME tracking&#10;"/>
        <s v="[S3]Issue  TDD : receiver  mode .&#10; Root Cause: Up SPK PA  Capacitor noise &#10;Solution ： change to Low noise   Capacitor ,import in DVT1 .  &#10;DVT1  retest and similar to tundra ，acceptable"/>
        <s v="[s3]Issue: WH159074 TMO Drop 10:Unable to power on:D5(47)&#10;       rootcause: ：1、high PCB Strain&#10;2、low inductor anti-strain capability, Taiyo Engineering Sample&#10;Solution:change PL2301,PL2318,PL2319 to microgate MP inductor,import in DVT1 &#10;[s3]Issue 2.1.2 : "/>
        <s v="[S3]Issue 2.1.1: build ，NKCN040279 NKCN050156 NKCN040229 not power on  &#10;Clue：connect J2702 and big current。remove RF DCDC shielding case and ok .&#10;rootcause: RF DCDC shielding case short to C2745 &amp; C2744&#10;Solution ：change RF DCDC shielding case from DVT1 -M"/>
        <s v="[S3]Issue:  WH159074  TMO  Drop  1:Proximity sensor no function,recovered after reboot:D1/D3/D4(14),D2/D5(28 &#10;rootcause:  suspect no P-sensor parameter optimize , optimize it in DVT1 SW . monitor DVT1 and no issue so far 1/11"/>
        <s v="[S3]Issue:  Wide camera power noise &#10;rootcause:  Low frequency radiation interference from BOB power in light loading PFM mode&#10;solution：1.set BOB in forced-PWM mode  when  camera open, PFM mode when exit camera app.  RD Verified Pass&#10;                   2."/>
        <s v="[S3]Issue  ：EDU03  WH159065 D3 After -8KV air discharge at zone9(Aging10),Mic1 and Mic2 no function,recovered after reboot.(only once not count 2022/12/6 15:09)&#10;rootcause:  N/A&#10;Solution ： Monitor"/>
        <s v="[na]Issue  12/13 SW版本开机后马上自动关机。&#10; rootcause: 报电池温度70度所以高温自动关机。从EVB 到EVT   SW 上面 电池NTC 都从 Fuelgauge IC 内部的集成NTC读取而未从我们要使用的 FPC上的NTC读取，&#10;12/13 SW Yuechai 提交的更改 将Fuelgauge  NTC读取  切换到产品要用的 FPC NTC读取 。 结构设计上有短路，短路点在小板上 的一个金属压板支架 和备用的NTC电阻焊盘&#10;Solution ：SW  当读取的FP"/>
        <s v="[S2]Issue: WH159076 ，ATT DROP， Unexpected auto power off.D1/D5/D7/D11/D12/D13(1m) &#10;rootcause: waiting for unit back to XM&#10;[S2]Issue:  WH159074  TMO  Drop   8:Unexpected auto power off:D4(4)&#10;rootcause:  SW issue   Sometimes press the power button a few tim"/>
        <s v="[S3]Issue:  Factory SMT build found SMT Stencil not match PCB for  SUB USB  Board&#10;rootcause:  &#10;1、In PCB design, the ORGB position was not updated, which led to component position drift during panel assembly.&#10;2、The PCB factory adjusted the data according t"/>
        <s v="[S3]Issue: Sois can not work&#10;rootcause:  Sois I2C Pin Swap （KP output wrong SPEC when design &amp; review）&#10;solution： correct EVT PCB SOIS I2C .  &#10;                    rework  some PCBA for camera team SOIS bringup &#10;lesson learn :  1. Vendor change SPEC and do "/>
        <s v="[S3]Issue:wireless can not work on EVB&#10;rootcause: suspect  Nmos can not open due to no 5V  at Vbus of Charge Pump &#10;solution：EVB not impact other bringup.rework  1 pcs for wireless related bringup .&#10;                    EVT change   Charge Pump Vbus to CHG_"/>
        <s v="[S3]Issue:OTG can not work on EVB&#10;rootcause:  Nmos can not open due to no 5V  at Vbus of Charge Pump &#10;solution：EVB not impact other bringup.rework  1 pcs for OTG related bringup .&#10;                    EVT change   Charge Pump Vbus to CHG_VBUS(net after Nmo"/>
        <s v="[S3]Issue:can not find USB port &#10;rootcause: Audio switch power =1.8V Voltage is too low  due to  use VIO 1.8V ,but not Vsys or BOB .  &#10;solution：EVB rework , remove R4573  ,short bottom pin of C4585 to bottom pin of  C305 .(short Audio switch power to Vsys"/>
        <s v="[s3] MP产线发现概率性无法下载的主板（IF站点），比例~0.3%&#10;初步判断： SCC8C83981 （EXS00A-CS12311）76.8MHz晶振，使用在几十个项目中，近三年的QC项目几乎都用这颗，没有报相关问题。晶振相关导致不下载故障从2024年5月份开始集中爆出。共性的情况就是都是用SCC8C83981 晶体，推测是SCC8C83981 最近批次有什么参数变化，（有可能还在器件SPEC范围内，因为厂家拿到故障IC给出的单体分析报告是pass的）导致和PMK IC无法很好的兼容工作。 &#10;RD分"/>
        <s v="[s3]Issue:IKSWU-111557Boston CQA1不充电、不识别端口 NG，重启后才能pass（包括低电后充电起来的重启） ，比例  4/15000&#10;Clue:   1. Factory 版本测试出现的 。&#10;            2. 默认没有ADSPlog ，SW从现有log 无法得到有效信息。&#10;           3.恢复的过程包括没电关机了，所以基于此的推测是：机器没电后 内部异常的状态就消失了，可以正常充电继续使用，不会变成砖头机。&#10;exp: 打开ADSPlog ，针对出现问题"/>
        <s v="[s3]Issue:先放到无线充电盘上，等待5秒左右，插入PD充电器，出现充电图标但是实际没有充电电流的问题&#10;Clue:   1. 时间短或者长都没法复现。 &#10;           2.插入其他充电器ok （10W充电器，或者QC 充电器）。&#10;exp:&#10;solution: "/>
        <s v="[S2]Issue:EDU14   50V surge on Vbus，can not fastcharging  (2 in 2)&#10;clue1: EDU14 WH172566 2nd source FVCT4J .  PVT  1st source is pass.&#10;                 1. Charging IC Nuvolta NU2115 was damaged&#10;                      Exp: measured surge waveform when broke"/>
        <s v="[S2]Issue:  +15kV ESD, Flash always on, PM6150C BOB short&#10;clue1: flash板接地导电泡棉厚度压实后有1.0mm左右，接触正常&#10;clue2:13M CAM背面贴了隔磁材料，&#10;exp：整改未贴隔磁材料机器进行摸底验证&#10;exp：加贴一个tvs，初步验证ok&#10;rootcause:  &#10;solution:  &#10;PVT test pass"/>
        <s v="[s3]Issue ：4 unit wireless charge can not work after flash SW.   （FR：4/200=2%）CR IKSWU-53713&#10;Clue：&#10;         1.SW update to FW1.1 and then update to FW1.3 ，so it will update FW twice .&#10;2. Log ：battery capacity are low  （only 20+% for these 4 units  when is"/>
        <s v="[s2]Issue:Display missing pixel&#10;Clue:&#10;exp:&#10;solution:中框加麦拉盖住底部中框跑道型通孔"/>
        <s v=" [S3]Issue: USB connection strange B2GID:324037417: unexcepted USB interrupt (Xiangdong`s EUT phone)&#10;Clue:1. stress test can not reproduce in test team. 200time USB plug &amp;unplug.&#10;          2.Log analysis :some OTG interrupt found frequently.&#10;rootcause: LP"/>
        <s v="[S2]Issue:  ALT, ESD, headset MIC no function&#10;clue: dvt1 二供有开始验证中芯的codec，可能与芯片厂变更有关&#10;待确认故障位置&#10;Exp1：&#10;Exp2：&#10;rootcause:  &#10;solution:   C2718 33pf电容为改TVS，降低概率"/>
        <s v="[S2]UW Camera with new sensor GC13A2 got line noise &#10;Clue: 1. When the module was upright, there iwas no noise, indicating radiation interference.&#10;2. Sticked magnetic shieding film, noise was gone. The radiation source comes from the module projector surf"/>
        <s v="[S3]PCB from redboard silkscreen layer was broken after cleaning underfill gel &#10;clue: 1. problem was not with Compeq PCB&#10;2. Redboard slice the offending PCB and Compeq PCB&#10;Solution: Redboard will thicken film of silkscreen layer as thick as compeq's"/>
        <s v="[s3]Issue ： wireless charge ，Irect &gt;Ibus （Impact Qi Certification tuning. Some weak Tx maybe can not work）&#10;Clue：1.Ibat *Vbat   &gt;Ibus *Vbus   （2.77*4.28  &gt;0.78*11.9  ），output poewr &gt;input power .suspect Ibus is error&#10;2.short E1679  ，OK &#10;Rootcause ：E1679 im"/>
        <s v="[S2]Issue:  ALT, ESD, Flash always on, PM6150C BOB short&#10;clue: flash板接地导电泡棉厚度才0.2mm，而实际flash板到主板屏蔽盖间距有0.58mm&#10;Exp1：flash板接地导电泡棉厚度改为0.6mm（result：TBD）&#10;Exp2：c1524电容改为0.1uF（result：TBD）&#10;rootcause:  屏蔽盖泡棉未接地&#10;solution:    加厚泡棉"/>
        <s v="[S2]Issue:  EDU03的报告，从OTA的数据看D4 ANT0通路有损伤&#10;clue:  Band 71 TRP degradation exceeds 3dB, and TRP value also out of spec.&#10;exp: &#10;rootcause:  &#10;solution:    improve sub PCB layout，调整TVS位置"/>
        <s v="[S1]Issue: Main Camera preview flicking after ATT trumble 400 cycles&#10;clue: 1. camera ois get gyro data fail&#10;2. a+g function fail in CQAtest&#10;rootcause: PCB conner broken&#10;solution:   ME FA"/>
        <s v="[S2]Issue:  Main camera video record got obvious line noise&#10;clue: DVT1A, FR 3/406&#10;exp:  &#10;rootcause:  &#10;solution:    Increase MIPI VOD parameter"/>
        <s v="[S2]Issue: WH169799 MD ALT 2019 DVT1 (Loop1)//ALT kernel panic&#10;clue: &#10;exp: &#10;rootcause:  &#10;solution:    "/>
        <s v="[S2]Issue: ATT tumble WH168486, Unable to enter system:D2(400)&#10;clue1: ramdump at moto logo processing，log show DDR abort&#10;clue2：remove back housing and it can power on（memory test ok in this status）--suspect some component solder crack&#10;clue3: slice test , "/>
        <s v="[S1]Issue: Main Camera preview flicking after ATT trumble 400 cycles&#10;clue: 1. camera ois get gyro data fail&#10;2. a+g function fail in CQAtest&#10;rootcause: Pads of A+G sensor chipset were cracked&#10;solution:   ME analyze"/>
        <s v="[S2]Issue: Insertion mistrigger  when stylus closes to the tp area above hall.&#10;clue: &#10;exp: &#10;rootcause:  &#10;solution:    "/>
        <s v="[S2]Issue: autopower off  on  some unit (2 in 7) when charging&#10;clue: 1. some unit can reproduce in charging mode （reproduce when SOC =94% ,SOC=100% ,and others）&#10;2. Log analysis:  PM: OCP Occured: PMIC: 4; SMPS: 8  .  it is PM6150C  S8E .suspect  S8E in LP"/>
        <s v="[S1]Issue: UW Camera power noise, RCN value &gt; 20&#10;clue: Short AGND to GND close to UW connector, RCN got pass.&#10;rootcause:AGND of LDO is separated,  leads to power noise&#10;solution: GND optimize &amp;  AVDD add 0R                "/>
        <s v="[s3]Risk: The SOIS signal is out of step&#10;clue: The SOIS signal is out of step when two sensors on the SE0 simultaneously collect signals.&#10;clue: &#10;rootcause:SW Own&#10;solution:Camera Feedback Acceptable"/>
        <s v="[S2]Issue: EDu03 WH168449, D2, Flash LED was always on after ESD test on UW Camera ring&#10;clue: 1.  PMIC damaged leading to VREG_BOB shorted to FLASH_LED&#10;rootcause:shot on CAM ring,energy strick the  CAM shell to coupled discharge the spring of flash &#10;solut"/>
        <s v="[S3]Issue: EDu03 WH168449,  capsensor CH2 8KV NG&#10;clue: 1. L901 was short damage&#10;rootcause:  capsensor CH2 sparated from ANT9，remained a suspended metal leading to weak ground&#10;solution:1、ADD TVS on the path of CH2&#10;                2、change higher voltage ca"/>
        <s v="[S3]Issue: WH168459,Cap sensor ch1 no function:D1(25)&#10;clue: &#10;rootcause: Main board was broken by stress&#10;solution: ME Own"/>
        <s v="[s3]Issue ：ATT tumble WH168463, Unexpected auto power off:D1(350/450)&#10;Clue：1.it can reproduce in drop  .2.Battery connector seems loose   （other normal unit seems ok）&#10;        exp1：wireout Vbat&amp; GND and connect to power supply(without back cover)，RD drop 3"/>
        <s v="[S2]Issue: MDU72 ,WH168468, D1   ,     NB9A040201,        不识SIM卡&#10;clue: no issue in EDu03 ESD test before MDu72&#10;Clue: SIM recognition failure is due to modem crash&#10;Clue:Modem crash is caused by the factory's lack of complete calibration.&#10;Rootcause:The unit"/>
        <s v="[S3]Issue: TMO tumble WH168459, Unexpected auto power off:D3(125/150/200) &#10;clue: same as WH168463, Unexpected auto power off:D1(350/450) &#10;rootcause: battery connector deform&#10;solution: change BAT connector to molex BTB from DVT1"/>
        <s v="RISK：Some line layout under shielding case Corner  ， may be broken in Drop  test&#10;Monitor EVT ME Drop test  。  EVT drop test no related issue found ，close "/>
        <s v="[s3]Issue ： always in Fastboot mode  total 13 units in EVT1 build&#10;Rootcause： There is some solder added between the bullet of V - and the positioning gold wire, which leads to a short to GND and keeps entering fastboot mode.The SMT process suspects that t"/>
        <s v="[s3]Issue ：3.0V~3.5V  battery Wireless  charging fail&#10;Rootcause：  wireless charge stop output due to WLC_Mode_sel setted to 1 when SW detect 3.0V &#10;Solution：&#10;                     proposal 1.set WLC_Mode_sel in ADSP when phone power up （over 3.6V）---  -test"/>
        <s v="[s3]Issue ：FOD bringup fail&#10;Rootcause：the  FOD connector was 180 degree turned&#10;exp：&#10;Solution：modify PCB"/>
        <s v="[s3]Issue ：dead battery Wireless  charging fail&#10;Rootcause： PM7250B do not charge with Vbus available only.  Need CC logic work fine too.&#10;                  and dc_in_pon can not replace it.(Design in EVB )&#10;exp：use reserved solution （a logic cirruit to pull"/>
        <s v="[s2]Issue ：EVB  Boston cannot force 9008 with V+&#10;Rootcause： U1016 orientation error-clockwise 90 degree due to error not clear orientation mark on component&#10;Solution：1.turn U1016 anticlockwise 90 degree -EVB rework&#10;                   2.sync correct  orien"/>
        <s v=" Geneva NA   Cannot charge &amp; NTO EWG ID :180574&amp;180463&#10; 180574 Analysis ：NTO  and can not charge &#10;1.Log found a clue: PM: OCP Occured: PMIC: 1; LDO: 25&#10;it is PM6450的VREG_L25B_3P072 ，output to PDphy of PM7250B   and USB power of CPU  &#10;2 VREG_L25B_3P072 imp"/>
        <s v="[S2] Geneva5G Polit, ALT loop5, Light sensor功能异常，2台&#10;现象：light sensor参数异常&#10;root casue:  遮光膜开裂&#10;Analysis: &#10;      1. 测试暗环境正常。---&gt;电通路正常。&#10;      2. 结构拆机分析。----&gt; 遮光膜开裂"/>
        <s v="[S2] Geneva5G Polit首批ALT测试后, 不充电&#10;现象：不充电&#10;root casue: connector pin crack&#10;Analysis: &#10;       1. 不充电，不能抓log&#10;       2. CQAtest, type-C test, CC pin test PASS&#10;       3. 拆机分析主FPC小板端，bat_thm pin翘曲&#10;       4. log分析：batt temp检测正常, 无法检测到usb插入&#10;       5. CQAtest U盘测试，u"/>
        <s v="[S2] Geneva5G Polit首批ALT测试后Audio问题&#10;现象：Left Loudspeaker no function.&#10;root cause: recv装配歪斜&#10;Analysis: &#10;       1. log: i2c probe成功，不是之前见到的i2c断线。&#10;       2. spk, headset mic正常&#10;       3. ME分析 -- recv装配歪斜"/>
        <s v="[S2] Geneva5G 量产首批ESD测试后不开机&#10;现象：测完ESD，放置一个小时，换成normal模式开机，2台有1台出现卡死在moto log界面。&#10;Analysis: &#10;       1. log分析：安卓没起来，data/misc_de/0/apexdata/com.android.permission/runtime-permissions.xml文件被破坏&#10;                 SW action: 40次清除log，重启没有复现。   （目前判断不是硬件问题）"/>
        <s v="[S3]Issue: DVT  EDu03 - ESD Certification Test, headset mic no function, SMIC codec, WH160401 ,1 units from 4&#10;Root Cause:&#10;     1.Codec damaged through naked Mic Pin in Audio Jack&#10;Exp1: 2 TVS apply on ESD Path . Result: RD test pass (1/1),  PVT TCC test fa"/>
        <s v="【S3】Issue:DVTMXc03, drops front 100 times, Cannot enter rear 2 camera mode:D1(front), NGVADB0139&#10;rootcause: connector pins solder crack on MB, SMT for further analysis"/>
        <s v="Geneva NA T4P 1台机器开不了机，充电发热   (机器准备做ALT，检查时发现故障）&#10;Analysis: PM6150C IC crach, BOB pin short to GND"/>
        <s v="[s2]bt crash B2GID:322334682 //Unexpected restart&#10;clue: no BT issue leads to unexpected restart. OCP on PMIC LDO19 (UMCP VCCQ2)&#10;rootcause: &#10;solution:"/>
        <s v="Issue: TMO  CEC  PM  fail ,0.31 W  VS  target 0.3W，CR ：IKSWT-83174&#10;Clue：Pm is the charger input power of power off charging mode （when charging full）&#10;rootcause：charger input power of power off charging mode is too high than TMO SPEC.&#10;solution：change UFS t"/>
        <s v="[S3]Phone Crash during second restart after skipping SlotB for OTA test , and then Restart failed.&#10;Clue:1.Press power key will help to continue the power on process.&#10;Clue2:Log shows GP Fault 7 and uvlo&#10;Clue3:HardReset or Battery Removed will recover.&#10;Clue"/>
        <s v="[S3]FPS of First Vendor  Get Hot and Short ，System crash，&#10;Clue:Second Source No Issue&#10;Rootcause: 1.system crash duo to Vreg_L28B Drop&#10;Exp1:log shows TZBSP_KRNL_FATAL_ERR_TYPE  Fatal Error type:TZBSP_ERR_FATAL_RPM_ERR )，RPM Trigger Crash&#10;2.Vreg_L28B Drop d"/>
        <s v="[s3]Issue: Cannot charge phone by USB: D7 (350) after ATT tumble , WH160949&#10;Clue: PMIC sheilding case solder crack more than 40% .press sheilding case it recover. &#10;Root Cause: Batt_thermal Layer9 wire crack duo to ME stress  (PMIC sheilding case solder cr"/>
        <s v="Issue: DVT2 ALT WH159234 FVC T2H Unexpected auto power off.A2(1)&#10;TrackID: NGVT2H0110&#10;HW: DVT2&#10;SW: genevn_factory-userdebug 13 T1TGN33.7 d5a45-e78dce release-keys&#10;AP Log: https://drive.google.com/file/d/1-I8MHqvwROxQwy7XEVP2LI1Nv30weR7U/view?usp=share_link"/>
        <s v="[s3]LTE B12 Low RX1(DRX) Leve;D20, Initial check:Display Flickering, WH159301&#10;analysis: 观察了是60Hz在严重闪屏，切换到90和120Hz闪屏消失。 怀疑为液晶电荷残留导致。80度加热半小时后，闪屏消失。（和博文沟通，还是ＤＶＴ２之前暴露闪屏问题，已有方案和对策）&#10;"/>
        <s v="[s3]Issue:SM6450 Device unable to boot after anti-rollback version is incremented&#10;Root Cause:1.VDD_QFPROM (connect to VREG_L23B_1P8) Power lost when TME  checking anti-rollback efuse.&#10;2 :It is difficult for SW to control VREG_L23B_1P8 in TME.&#10;Solution:1.w"/>
        <s v="[s3]ALPS两套屏共用一套参数"/>
        <s v="[s3]CQA测试过程中主机dump-IKSWT-54990&#10;Info: DVT2, Samsung 4+128 memory&#10;exp1: 交换memory --- issue follow memory ---&gt; 寄memory给三星分析"/>
        <s v="[s3] Mdu30,TMO safety 55℃"/>
        <s v="[s2]Cap/SAR sensor no function:C2(CH2)(15KV), DVT2B ALT WH159234 2nd&#10;RootCause: cap short demaged by ESD&#10;Exp1: add tvs on path,  to be verify by Hank&#10;Exp2: monitor in PVT ALT test&#10;Solution: Add TVS on cap sensor ch2"/>
        <s v="[s3]Final LTE band 5&amp;band13 TRP/EIS degradation exceeds 3dB After ESD testing&#10;Root Cause:1.Ant Holder Changed which easy to affected by ESD. &#10;Exp1：DVT2 Units change with PVT ANT Holder, Result: ESD Pass&#10;Exp2:  Exp1 Change back to DVT2 Ant Holder, Result: "/>
        <s v="[s3]Issue: Micron 6+256 found VCCQ2 Power Dip in Memory Log.&#10;        Clue:Micron Memory log shows low voltage happened. 4 units till now &#10;Root Cause:&#10;        1.VCCQ2 Power Dip due to  its Front Switching Power Supply S8E Power Dip when wake-up&#10;        2.A"/>
        <s v="[s3]Issue:DVT1 some not charging found in Factory PAT,FR 6%.&#10;Clue:Recovered after re-assembly Battery or Trigger HW Reset from Power Key.&#10;Root Cause:&#10;1. Charging Failure caused by PM7250B initial failed due to unstable power supply when the first Battery "/>
        <s v="[s3]Issue:EVT ATT tumble WH156483 1st,No voice.&#10;clue:Earpiece no function:D4(450),D11(300),D15-follow mainboard&#10;rootcause ：1. I2C line of smart pa damaged in innerlay on corner               &#10;solution ：1.line expand to 0.2mm  2. optimize Solder Paste to r"/>
        <s v="[S3]DVT1 Camera Power Noise Test ,RCN Value: Avg 9.2 ，Min 5 ，Max 13.&#10;Root Cause: Camera sensor analog gain 255 was not be correctly write into register&#10;Solution: SW corrects setting&#10;Lesson learn: check power noise as soon as possible in EVT phase, especia"/>
        <s v="[S3]EVT1 Main Camera Previous Freeze when Air ESD +8KV. recover after Quit camera&#10;Root Cause:&#10;1.1 Camera Module Hung after ESD Strike through Camera Deco.&#10;1.2 Camera SW not stable in Darkness mode.&#10;Exp1.2.1:upgrade new sw , Result: Issue not reproduce.&#10;Ex"/>
        <s v="[s3]Issue: EVT 滚筒实验反馈有4台机器开机键无作用。 &#10;CLUE：1.锁紧或者松开螺丝，故障可能恢复（暂时没找到锁紧还是松开更容易恢复和复现问题）&#10;2.出现问题的时候，测试开机键测试点，电压1.8V，按下开机键变成0V，松开又回到1.8V。所以推测：弹片接触没问题，上拉电源也没问题。&#10;Rootcause：应力过大，多次撞击导致屏蔽盖频繁拉动内层线路，导致PHONE_ON_N 网络在第8层 有部分断线 &#10;补充疑问：以往一般在L9就断了，L8基本没见过。 原因推测：L9 这部分铺地，比较强，力往"/>
        <s v=" [S3]EVT dead battery charging test ，can not charge on with battery cell Voltage 1.9V~2.6V  &#10;Clue：1. can charge ok with discharged battery package voltage to 0V  &#10;2. Cell voltage lower than 1.9V can charge to around 1.9V. higher than 2.6V can charge to po"/>
        <s v="[s3]EVT TMO tumble WH156479 1st,P-Sensor no function&#10;Clue:issue follow mainboard&#10;rootcause  ：1.P-Senser line on corner damaged in inner layer.&#10;solution：1.change line to next inner layer.  2.other rest line expand to 0.2mm&#10;DVT1 ok"/>
        <s v="[na]EVT2 wide Camera Previous Freeze when Air ESD +8KV. recover after Quit camera&#10;Root Cause:&#10;1.1 Camera Module Hung after ESD Strike through Camera Deco which lead to Previous Freeze.&#10;2.1 8M Camera Module Housing isolated GND duo to Cost Down before(0.x "/>
        <s v="[s2]Risk: EVT TDD Noise Risk&#10;Root Cause:Calling sw not ready.&#10;Solution:SW fixed and test performed"/>
        <s v="EVT  眼图调试完成 device mode"/>
        <s v="[s3] Issue:Geneva NA EVB/EVT待机过热问题&#10;Clue：&#10;1. 系统可以正常休眠，休眠电流正常 ，平均9mA，未发现硬件漏电问题&#10;2. 亮屏待机电流高，平均电流超过1.1A，导致发热厉害 （70%的屏幕亮度）,从log看是CPU 频繁重载导致&#10;3. 打开飞行模式后，CPU负载减轻，平均电流降到500mA，发热明显减少&#10;4. 需功耗进一步分解并优化，重点看下modem端&#10;Root Cause：&#10;1. 未导入校准参数，导致功耗异常高，主板发热厉害；&#10;Solution：&#10;1. 导入校准参"/>
        <s v="[s3] Issue:Geneva NA EVB HWID incorrect&#10;Clue:&#10;0. Geneva  ROW have same issue too &#10;1.GPIO38 B band detected as A . (when set pull up with exter pull down 10K , it read high ,VS normal is LOW .)&#10;2.Waveform check  : it stop at 1.25V ， so it is high .   suspe"/>
        <s v="[s3] Issue:After download adsp.img  phone power off&#10;Clue:&#10;1.after download adsp.img machine power off,off current is 48uA VS normal is 200+uA&#10;2.after 1 ,then first short press powerkey,no current  VS  normal current is 170mA&#10;3.Waveform check VPH_PWR Drop "/>
        <s v="Issue ： Dubai+ NA (TMO): NTO After MR0 OTA(IKSWS-176032)   ，total 3pcs  by 20230105"/>
        <s v="[s3]Issue:TMO Safety Test, CPU Heavy Loading+Max Volume + Max BrightNess+Charging+White Nosie，Result=53°C &gt;48°C.&#10;Root Cause: 1. Top Speaker Over Heating on White Noise.&#10;         Exp1:Using new Audio EQ ,when SKP Temp &lt; 80°C （Original 90°C）and using 1X1 mm"/>
        <s v="[s3] Issue: Tesla some times can not charge in DF (DVT2 &amp;PVT),Recovered after power cycle, 5 users reported.&#10;Root Cause:    &#10;1.not charge due to cc logic error,and can't detetect cable.&#10;Exp1:CC /Vbus Waveform Plot. Result: 1.CC Open 2.CC 5.1K  Conclusion:"/>
        <s v="Issue:Downloads drops from ~ 2Gbps to 50Mbps&#10;        Clue1:LV1 52°C Trigger  NR CA Off&#10;        Clue2:LV2 55°C Not Triggered in this case&#10;Root Cause:1.NR CA off not correct in Modem Policy Lev1&#10;        Exp1:Remove NR CA , Result:Downlink &gt; 5 Min . Conclusi"/>
        <s v="Issue:IKSWS-129202  Phone battery will not charge B2GID:320148798&#10;my phone will not charge from either the 30 watt usb-c AC charger or the Verizon turbo DC charger in the car&#10;Clue：1.HW： NDPA2G0018&#10;            2. From the log ，No Vbus detect from the 2 cha"/>
        <s v="[s3] Issue:Download Failure, FR 0.3%(12/4000)&#10;&#10;Root Cause:&#10;1. Downloading block by rank1 size check failure duo to write leveling calibration failure.&#10;Exp:Force Dual Rank Downloading , Result:Pass . &#10;2. ddr write leveling calibration failed duo to no expe"/>
        <s v="[s3] Issue:After power off, phone take long time to boot up, FR 3%(55/1759)&#10;Clue:ETT Mem Test Pass, Rd &amp; Wr Eye-Diagram Pass.&#10;Root Cause:&#10;1. boot up latency due to mr5/8 and ddr rank_size check failure and preloader reset repeatedly.&#10;Exp:log Result: show "/>
        <s v="[na] Issue：Edu 03 ESD test，4/6 OTA Performance Degrade.&#10;Root Cause：&#10;1.Tuner Damaged by ESD Through ANT seam in Bottom &#10;2.1 Wasin CES TVS can't stablly protect Tuner &#10;Exp:2.1.1 Change Wasin CESTVS to Panasonic ATVS , Result: RD validated, 1 failure of 3.&#10;E"/>
        <s v="[na]issue:Edu03 ESD test ,NFC no function after  8k air AD ,D1 units Recover after standing for hours；D2 recovered after battery removed and restart.&#10;         clue: issue reproduced after esd retest. &#10;Root Cause:&#10;1.NFC Ant 330pf 25V resonance capacitor C1"/>
        <s v="Issue：Edu 03 ESD test，D6 After - 15KV air discharge at zone12 (Aging 10),Cap/SAR sensor ch0 no function, unable to recover&#10;route cause：R4509 open &#10;solution：add tvs"/>
        <s v="[NA] Issue：  WH150730 DVT2 EDU03 ESD Test ,D6After - 15KV air discharge at zone12 (Aging 10),Cap/SAR sensor ch0 no function&#10;Root Cause:    1.R4509  is open，never seen before&#10;Exp1;Send Damaged Resistor to vendor for FA. Result:TBD&#10;Solution: 1.Monitor follo"/>
        <s v="[NA] Issue：  WH150730 DVT2 EDU03 ESD Test ,D1After -15KV air discharage Zone19 aging(10),mic3 no function&#10;Clue:Second Source Verification units&#10;Root Cause:    1.mic3(AAC) damage through mic FPC stiffener steel and Mic Hole on back housing&#10;Info: 1.noisy ri"/>
        <s v="[S3] Issue： WH150801 DVT2 EDU14 Surge Test ，1mA Leakage current is out of spec.D1(180V),D2(160V)&#10;Clue1：2nd source charge pump SC8541 verification FVC A2R&#10;Root Cause:&#10;1. VBAT Pin of SC8541 which leak 1mA.&#10;Info:1.first source TI BQ25960 300V Pass.&#10;Exp1.1:Ch"/>
        <s v="[NA] Issue：  Safity certification in Shenzhen Sporton , FOD test fail ,&#10;Root Cause:    FOD limit debug for certification&#10;Solution: SW  FW  update for FOD (change to 800)"/>
        <s v="Issue: DVT2 2 PCS Cap Sensor No function&#10;Clue：1.Main FPC BTB connector Pin burned in sub board side&#10;             2. Cap_ANT1 short to GND after burned&#10;Root Cause: ？&#10;Solution: ?"/>
        <s v="Issue: DVT2 Factory IF fail mostly when battery NTC pin connected  in IF fixture , IKSWS-83340&#10;Clue：1.EVT  have problem in Wuhan factory  but can not reproduce in XM WWTE  LAB . So monitor DVT1           &#10;Root Cause: &#10;Solution: 1.  remove  battery NTC Pin"/>
        <s v="[S3] Issue：Issue:Factory IF fail in DVT2 2nd source build ?  IKSWS-89240&#10;Clue：0.Phone can't power up after download sw&#10;            1.DVT2 1st source build ok  &#10;            2.DVT2 BB 2nd source component including 8+128 Hynix memory ,SC8541 30W charging IC"/>
        <s v="[S3]Issue:DVT1 APM current 13.3mA  no meet TMO request(&lt;5mA)&#10;Root Cause: 1. p-sensor polling interval time 50ms after awake. proper value=250ms. 1.5mA -SW On-Going&#10;2.Modem cannot be powered off due to RF different designs (0.43mA)&#10;3.Display RST 0.3mA Opti"/>
        <s v="[S3]Issue:DVT1 MP3 playback current  fail,70mA higher。&#10;Root Cause:&#10;1. DVDD_Core Cosume extra 34mA when Mp3 Play. CPU ocupied.&#10;    1.1 Why CPU not sleep? - SW &#10;2. Current Not Stable&#10;    2.1 Dolby Enabled&#10;    2.2 GMS Enable&#10;    2.3 Battery Tracer Enable&#10;   "/>
        <s v="[S3]Issue:DVT1 Video Playback (local storage) BSP current  fail,CD=340mA。&#10;Root Cause:&#10;1.Display Current Cosume &#10;     1.1 Fresh Rate Difference.&#10;2.SW configuration or backgournd Service.&#10;Exp:Test with Facotry Version 148mA = MTK Demo Phone 148mA.&#10;The platf"/>
        <s v="[S2]Issue:DVT1  Sensor not work after ALT？     1 in 15+2 in 9       total 3 in 24(only in 2nd mainboard)&#10;clue: &#10;Root Cause:&#10;1 I2C wire crack at BB shielding case Top left   corner &#10;2. PCB over Strain - ME Analysis.&#10;Solution:&#10;Proposal: 1. Modify Shielding "/>
        <s v="[S3]Issue:DVT1  Vibration not work after ALT  3 in 10&#10;Root Cause:1 VIB_RST wire crack at BB shielding case Bottom left   corner （layrer 2）&#10;Solution:&#10;1. Change VIB_RST to Layer 3 ，PVT import."/>
        <s v="[S3]Issue:DVT1 Cap Sensor not work after ESD.  &#10;clue:Sending Unit to Xiamen. 3/8&#10;Root Cause:1.No tvs Protect for this channel&#10;Solution:1.Add TVS on failed channel."/>
        <s v="[S3] Issue： 2% unit can not work on USB connect （No USB port ），CR IKSWS-84946&#10;Clue    1：power cycle cannot recover but Blankflash and Long time press powerkey can recovery&#10;        2.waveform ok onUSB D+D- test point but no signal on Type-C ---Analog switc"/>
        <s v="[S3] Issue：[Tesla][Factory][IF][PVT]WAIT_FOR_NETWORK_INTERFACE_ARRIVAL_POST_FLASH&#10;Clue：实验室复现类似问题，发现这时候，Ibus 一直是0A ，也就是没有抽任何电流， 需要SW 分析下log ，为什么&#10;rootcause：产线设置Vbus 6.5V触发chargepump 默认的OVP最低值6.3V. &#10;solution：产线设定Vbus电压到6.2V."/>
        <s v="[S3]Issue: Camera Power Noise Abserved in Darkness in DVT1 units.&#10;Clue:EVT not found duo to SW not ready.&#10;Root Cause:1.AVDD Power Noise&#10;2.Camera AVDD Capacitor need to fine tune&#10;Solution:1.update Camera AVDD Capacitor C4159 to 4.7uF+2.2uF. DVT2 import"/>
        <s v="[S3] Issue：  BB test ，CQA  battery temp=36 degree ，plug in charge ， battery temp jump to 43 degree 。when 26degree ，jump to 31 degree.&#10;clue ：1. Vbus charging current =3A 。plug out charge ，jump back to 36 degree （Vbus current impact battery NTC reading？）&#10;  "/>
        <s v="[S3] Issue：EVT  power off current  =424uA，too large ,VS normal project 100+uA&#10;Root Cause: 1.100uA current leakage on MT6685&#10;Solution:1. MTK will upgrade new version MT6685 , import in DVT1.&#10;2.测试DVT1主板(机器) 5pcs，4pcs power off current= 259uA~275uA,1pcs =325"/>
        <s v="[S2] Issue： EDU14 Surge Test WH147427 ,D1 Vbus test 150V,D2 test Vbus 100V ，power off current is more than 1mA.&#10;Root Cause:   MT6375  damaged （replace a new MT6375  ,power off current go to 0.4mA ，ok）                &#10;Exp 1: change OVP  point from 18V to 1"/>
        <s v="[s3]Issue:EVT Units auto boot up after power down on workaround version.&#10;Clue:1.No this issue with older sw .&#10;Clue:2.Not affect current usage. Closed.&#10;Root Cause:1.4 Power for DDR keep alive after power down which lead to reset and auto power on.&#10;Solution"/>
        <s v="[S3] Issue：EVT  unit Can't Download on First Board Validation.&#10;Root Cause:&#10;1.DDR5 Power Supply VDD2H not enable duo to MT6368 boot config to LP4.&#10;2.Audio I2s Circuit  Optimization which lead to affecting the config duo to Shared GPIO Usage，this change Poi"/>
        <s v="[S3]VMC_PMU  ，power for 16MHz  clk can not config to 1.8V yet (default 3V)&#10;SW  bringup ok"/>
        <s v="[S3]Risk: Deadbattery wireless charge with QC charger can not work&#10;Root Cause:1. QC charger will output 12V，and wireless charge output 10V ，which trig BQ25960 OVP 6.5V&#10;Solution:1. FW change ，WCHG_MODE_SEL pull down will output 5V。  FW 1.7  ，import from EV"/>
        <s v="[S3]Risk:Battery Connector/GSM PA/Spearker Placement of Dual Speaker Feature can't meet TDD Noise Design Rule.&#10;Root Cause:1.Speaker Interferrenced by magnetic field of Ground Current Flow in Receiver Mode.&#10;Solution:1.Move Battery Connector to the edge and"/>
        <s v="[NA] requirement:   气压计 sensor，  tdk的20100，目前反馈是spi 可以解掉OTP的问题，希望能把气压计挂到SPI上 ，系统资源是否可以？&#10;Solution:1.   厂家无SPI驱动，不往这个方向评估，close"/>
        <s v="2 in 23 pcs CPU damaged.  &#10;178512 ：Charging too slow。 CPU USB_HS_DM impedance abnomal.CPU damaged by ESD/EOS. &#10;178318：No Turn On.  QC analysis result CPU damaged，suspect is EOS/ESD from USB_HS_DM/DP cause it.  USB_HS_DM&amp;DP  TVS are both  short to GND too."/>
        <s v="[s3] Issue 1:  TMO test ，discharge capacity is too small . 2465mAh .&#10;root cause 1 : The discharge capacity test have problem . discharge test form 71% but not 100%  ，Log data in : old-power_supply_info（Total capacity is just 71%*5000mAh=3550mAh）,log link&#10;"/>
        <s v="[s3]Voice Echo found in DF with Car kit audio.&#10;Root Cause:1.Audio Car Kit input resistance below 5KΩ，which lead to apply earphone mode echo surpression.&#10;Solution:1.Shift Input Resistance Judge Point to 2KΩ ，Validated Pass.&#10;2.Carkit Audio mode params optim"/>
        <s v="[s3]Issue:ESD 3/8 units 8KV/15KV auto power off on Second Vendor FPS. Recover after boot up.&#10;Root Cause:1.Clk of FPS affected by ESD.&#10;Exp:1.add TVS on FPS_Clk , Result:No Issue on 1 units. &#10;Exp2.Repeat Exp1 on more units. on-Going&#10;Solution:Proposal:1.Add "/>
        <s v="[s3] Issue:FVCV29 capsensor ESD ，15KV air，100 times/zone1：Ch1 no function,unable to recovered 15KV zone1:D2&#10;Clue :1 . CAP C502 shorted to the GND&#10;Root Cause: electricity discharge through the signal between camera deco and the inlay fleeing into the anten"/>
        <s v="[s3] Issue:MILAN5G USB can not connect sometimes  IKSWS-25957 , Get 1 unit N5MV120284 that can reproduce.&#10;Clue: &#10;0. NEW cable can not reproduce  .  some old cable easy to reproduce.&#10;1. when it reproduce ，move Type-C  at phone side   , it turn ok &#10;2. when "/>
        <s v="[s3] Issue:MILAN5G  2nd source Ti BQ25890H  OTG easily to triged when connect some hub ，report by SW test team&#10;Clue: 1.change Boost limit from 1.2A to 2.4A ,it is better (some hub can work )&#10;2.SGM41542 is ok with 1.2A boost limit .&#10;3.test the current wave"/>
        <s v="[s3] Issue:FVCV19 capsensor ESD ，15KV air，100 times/zone1：Cap sensor no function,unable to recovered 15KV zone1:D2(40),D3(20),D4(70)&#10;Clue :1 . CAP C502 shorted to the GND&#10;Root Cause: electricity discharge through the signal between camera deco and the inl"/>
        <s v="[s3] Issue::DVT1 2nd  WH145578 fail (unable to power on：D1/N5MT1C0102(after desence)）&#10;Clue :&#10;Root Cause:1 .L7A short to GND which lead to power on failed.&#10;                      2.The short-circuit area was found inside the PCB&#10;                      Exp:L7"/>
        <s v="[s3] Issue::DVT1 edu03 WH145517 fail (Unexpected auto power off:C1(8kv air,Zone6),C2(15KV air,Zone6）&#10;Clue :1 .Unexpected auto power off:C1(8kv air,Zone6),C2(15KV air,Zone6&#10;Root Cause:FPS signal interference leads to system shutdown&#10;Solution: 1.FPS SPI MIS"/>
        <s v="[s3] Issue:DVT1 ATT Drop(WH145506) Cap-sensor CH2 no function&#10;Root Cause:1.&#10;Solution:&#10;1.ME will change screw holes to optimize structural stress&#10;2.Optimize cap sensor signal line width(0.05-&gt;0.2)"/>
        <s v="[s2] Issue:DVT1 ATT Drop(WH145506) Unable to enter system:D6(1m,top),D11(1.25m,right)/Unable to power on:D10(1.25m,back) &#10;Clue: &#10;1.The units enters the 9008 mode&#10;2.If memory pressed  by external force, it can be turned on.&#10;3.one unit Press Memory Display "/>
        <s v="[s3]Issue:Unable to power on after Pulse Transient Surge Test on 150V.&#10;（1）WH144512  DVT EDu14 - Pulse Transient Surge Test fail&#10;2.After 150V surge test, unable to power on,D3(486uA)D4(14.58mA)(Vbat）&#10;3.Initial Leakage Current:D1(240uA)D2(225uA)D3(220uA)D4("/>
        <s v="[s3] Issue:DVT1 EDU14 Second Vendor Verification Unit Vbus 1 unit 190V &lt;200V failed&#10;Clue :1 .EVT 2unit ，DVT1 2unit pass 500V&#10;2. The Variant is OVP Second Vendor&#10;Root Cause:1.OVP IC damaged&#10;Solution:remove SGM Second Vendor OVP from Milan 5G . Done from DV"/>
        <s v="  [s3] Issue:DVT1 2nd charging IC Ti BQ25890H , input current can not reach 3A.  （setting to 3A，test result is about 2.7A ）&#10;Clue :1 .Log check :IINDPM occurred . (suspect some Ilimit occurred . but why it  occurred ?)&#10;           2.setting to 3.25A（MAX set"/>
        <s v="[s3] Issue:DVT1  2nd barometer TDK 20100  pressure deviates from 10K Pa relative to 1st BMP580/Bosch&#10;Root Cause:1.Configuration Issue&#10;Exp:1.mode config check. Result:Issue Solved.&#10;Solution:1.SW bug fix&#10;"/>
        <s v="[s3] Issue:DVT1 2nd charging IC Ti BQ25890H , QC 3 can not work sometimes&#10;Clue :1 .D+&amp;D- can not out put 3.3V (similar to the EVT phone that without Dsel 47nf cap)&#10;2. Ic charging type detection it too slow. (similar to the EVT phone that without Dsel 47nf"/>
        <s v="[s3] Issue:Charging I2C bus error sometimes(Feature firstly ready on 10/22)&#10;Clue: 1.Reproduce 1 time when use 2A OTG , recovered after power cycle （press powerkey for 10S）。When Issue happen no charging status change can happen again：such as USB cannot wor"/>
        <s v="[NA] Risk：  CC SGM7220 current leackage is about 70uA when phone power off . （found by ODM project）&#10;Root Cause: VDD is VPH_PWR  ，and /EN design to GND . which means the SGM7220 is always on . &#10; solution : proposal 1:no change and accept 70uA current leack"/>
        <s v="[s3] RISK:Charging  IC EN GPIO control ，can it work when  Battery is very low (System not turn on)&#10; &#10;Solution:test and check can charge dead battery . so no risk"/>
        <s v="[s3]EVT Handset TDD  -60dB&#10;clue: Block the MIC hole，noise disappear&#10;Rootcause:  &#10;1.Spring on Sub board ?&#10;Exp:Check Spring.&#10;2.other noise auido come into mic.&#10;EXT: Remover C304,improve to -80dB&#10;Rootcause:The 100pf CAP vibrate on GSM max power , the special"/>
        <s v="[s3]Issue:WH144494 Rear flash light lens fusion:A1~A6,B1~B6(2)-TH/TC&#10;Root Cause:1.Flash on time set to S level,too long.&#10;Exp:1.Re-Config to the right parameter. Result:&#10;Solution：1.Fix config bug.&#10;"/>
        <s v="[NA] Risk： USB disconnect in GSM900 MAX power with long USB cable for Audio tuniing ，report by Xiaozh1&#10;Root Cause:    long USB cable easier to be coupled by RF energy.&#10; solution :     monitor ,EVT build no issue found . and this is not a user case        "/>
        <s v="[NA] Risk：Charging  IC   NTC design risk    ，Vendor  review&#10;Root Cause:   Need  to check with Vendor again and get a design for DVT1 build (pull up and pull down R ,and NTC  selection )&#10; solution :       1. Change to fix temp design for charging IC。 &#10;    "/>
        <s v="[S3]  Issue ：SOL LED light guide  performance not good&#10;Root Cause:   need to check the phone with ME&#10; solution : ME own          &#10; "/>
        <s v="[NA] Issue:   1 EVB2  board  RT9246 fuelgauge  Device ID read error&#10; "/>
        <s v="[S3] Issue: RT1715  PD  fail sometimes . found by SW Chailu&#10;Clue1: 1.I2C go keep low most of the time . 2. power on with charge plug in and it can work 3.Resester reseted found by vendor.&#10;Root Cause:  I2C SCL  keep low cause RT1715 reset . (reset function"/>
        <s v="[S3] Issue: 2nd charging IC  RT9467 bringup found ,the phone power up when no USB plug in sometimes . &#10;Clue1: 1.log show power on reason is charger power on&#10;     2.  RT9467 REGN = Vbat some time (without USB plug in)&#10;     3.checked ，REGN will on 500mS whe"/>
        <s v="[S3] Issue:    Keys can not work  in Fastboot mode &#10;Clue1: 1.it is ok in normal mode. 2. it is first time connect V+ to PMR735A  .    3. Corfu 5G DVT1 meet same issue&#10;Root Cause:1. suspect pull 1K to 1.8v for PMR735A GPIO is too large .  &#10;Exp1.  change pu"/>
        <s v="IKSWR-143124&#10;SM8350// Yukon // R //Phone is OFF. Connect the usb cable, the phone keeps turning off&#10;关机界面的瞬间，插入USB，关机后不会自动进入关机充电界面&#10;1.not  a real issue"/>
        <s v="&#10;[NA]   Yukon  DF  DP issue   IKSWR-137479&#10;cable issue &#10;change a cable and ok"/>
        <s v="电量计：充电到68% ，关机后，一段时间开机变成56%.  IKSWR-139932&#10;高通 case：Case Number        05446277 [View Hierarchy]&#10;Action：外加检测电阻用电源侦测一下，看实际电量和UI 偏差到底多少。 10/13 前&#10;Root cause：SW config issue。&#10;Solution： change SW "/>
        <s v="&#10;[S3] WH144198 D3 ESD capsensor ，After -8kv air discharge,capsensor ch4 no function and recovered after reboot, 15kV ok.  &#10;Root Cause:1.  monitor&#10;Solution:  Pilot ok"/>
        <s v="【故障来源】PVT MXc03跌落试验。&#10;【复现现象】敲击主板的时候图像卡住，重开相机可恢复。测量连接器各个引脚阻抗、连接正常。&#10;【历史线索】产线也有发现几台主摄异常，有发现U1000 和J3150-15印刷少锡。&#10;【推测原因】U1000 MIPI引脚缺锡断裂，震动时断路，MIPI信号终止，CQA图像卡住。&#10;【Next Plan】&#10;1. X-ray查看锡量。=====&gt; 无异常&#10;2. 安排切片查看U1000和J3150引脚是否锡球断裂。===&gt; 发现J3150连接器底部出现开路情况（报告待更新）"/>
        <s v="Issue Description: &#10;     PVT ROW 8+256 bom wrong &#10;Root Cause analysis: &#10;PCM CR @ DVT2 after DVT2 BOM released,Manual Changed variant BOM at DVT2，but Lost update ROW 8+256 BOM when PVT BOM released. &#10;Solution: &#10; Add 8+256 memory configuration variant to sc"/>
        <s v="&#10;[S2] uplink has noise when handset calling&#10;clue: 1. When charging ,noise dispappear&#10;          2. When close calling arithmetic, noise disappear&#10;          3.  On idle calling mode,no noise&#10;          4.  On record mode,no noise&#10;          5. Volte MODE no n"/>
        <s v="&#10;[NA]   Yukon  DF  Device Rebooted - Stuck in Boot Screen   IKSWR-139460&#10;Clue ：1.L5E  LDO error in Ramdump log.&#10;QC CR：https://qualcomm-cdmatech-support.my.salesforce.com/5004V0000181Vef&#10;2. L5E is RF  Power for SDR&#10;RF Tracking this case"/>
        <s v="[NA]  found 1 WH143148  D1（NYKR270825） After-8KV air discharge at zone3,Display Flickering and Display color change ,30 minute recovery.(11:06 2021/8/26)&#10;clue: 1. &#10;Root Cause:1. suspect display module damage&#10;Solution:1.PVT ok"/>
        <s v="&#10;[S3]  TUV  certification ：battery output current =5.8A &gt;4.85A of CB in battery spec.   testmode : pull current from type-C &#10;Root Cause:1.   PM8350BH OTG  dont have OCP .  &#10;Solution: add a detection on Ibat to monitor Battery current . when it output &gt;4.8"/>
        <s v="[S3]Yukon intermittently notice Pluging/out after charger connected.&#10;Root Cause:&#10;1.Charger Reset Frequently&#10;2.CC GND Voltage &gt;0.43V &#10;3.Cable GND Mesh Broken ,165mΩ(Spec 83mΩ）&#10;4.2018 Cable&#10;Solution:1.Cable Team Own"/>
        <s v="[S3] Issue: 2nd micron memory stress test ，3/20@55°C ， 7/20@-20°C auto power cycle.&#10;Reproducing:Retest No Issue@55°C，  ，5/20@-20°C &#10;Clue1: 1.RPM_ERR and AOP Log show some LDOor SMPS fail.-Need RPM expert Double Check and confirm it.&#10;Root Cause:1.Memory Po"/>
        <s v="&#10;[S3] WH143213 C1 ESD capsensor ，After -15kv air discharge,capsensor ch2 no function without recovery. &#10;Root Cause:1.  C204 on CH2 short to GND， change C204 CH2 recovery  2.found crack on C204  &#10;Solution:  Factory check build process&#10;PVT  No issue found  "/>
        <s v="[NA]   EUT found 1 charger+cable cannot charge &#10;clue：1. it is 45W DVT1 charger sample + cable（without any mark on calbe）  &#10;           2.swap EXP check :issue follow Cable&#10;          3. issue happen when Iubs &gt;3A &#10;Rootcause：the cable R of GND is too high ca"/>
        <s v="[NA]  found 1  DVT2 unit go dead when sleep ， sometimes 1 day,Need press powerkey more than 10s to recovery.&#10;clue: 1. reflash some SW version but all reproduced .   2.  128GB Kioxia UFS&#10;exp：The fail is very similar to the Kioxia UFS issue . We update the "/>
        <s v="&#10;[S2] DVT2 WH143213 ALT A1这台有出现跌落后P/L sensor no function，重启后P-sensor 恢复，但是L-sensor问题还是存在，Loop5（NYKC2F0130）&#10;Clue：Issue：ALS can not go DARK status （maybe light leakage）&#10;Root Cause:1.   CG  tilted(CG翘起) increased ALS reading&#10;Solution:ME follow&#10;"/>
        <s v="[S3] DVT1  Mdu30 Failed on Charging Scenario(7.1°C@back,4.0°C@Front).&#10;Root Cause:1.SW Bug and Thermal config fine tune.&#10;Solution:1.SW Bug Fix and import New Charging Thermal Config.  RD Validated pass.&#10;"/>
        <s v="[S3] Issue: cap sensor can not work on CH0&amp;CH4  after ESD ， recover after charger Plugin.&#10;Clue1: D1、D2、D4 failed without chargers，D3 pass with a charger&#10;Clue2：recover after charging&#10;Root Cause:1. CapSensor Affected by ESD Through ANT.&#10;Exp1.   take another"/>
        <s v="[S3] Issue: DP Eye Diagram 4 lane fail on 8.1Gbps&#10;Clue1:Eye Height not enough&#10;Clue2:Layout Improved.&#10;Root Cause:1.Voltage level not enough or Pre-emphasis &#10;Exp1. Fine Tune voltage and Pre-Emphasis Parameter,Result: 8.1G mostly Pass while 1 lane failed a l"/>
        <s v="[s3]  Power off current =350uA  Vs normal project 200-uA&#10;Clue:1 NFC  boost is on when phone power off&#10;2. Lenovo MP project  DOOM   =320uA ，Qualcomm phone  QRD= 340uA &#10;  Root cause:  1.NFC  boost alwayse on  . 59uA ,should be off when phone  power off &#10;   "/>
        <s v="[S3]Issue:Camera Team feedback DVT1 unit,  RC adjust Value Avg=13, Over Spec 10 .&#10;&#10;Issue Check: After Test with more Units , We found Yunkon has Same Performance with Sierra .&#10;&#10;Furtherly seek if any chance to improve R/C adjust performance.&#10;Root Cause:&#10;1."/>
        <s v="[S3] Issue:  camera LED  torch  brightness differ with EVT&#10;Root Cause:1. EVT pcb LED CH1 leakage to CH4, CH2 leakage to CH3&#10;2.Async on Capture and light.&#10;Exp:1. camera tunning issue,Align Capture and light Timing  and adjust light width, Result: 8/3&#10;     "/>
        <s v="[NA] Issue:  ADR test can not read IT3 SIM (一种模拟SIM卡for test )&#10;Root Cause:1.     Data line without pull up   &#10;Solution: 1.ADDpull up  15K，retest pass . Import form DVT2&#10;             2. rework 2 more unit for ADR test"/>
        <s v="[S3] Issue: RS Pretestfail  ，uplink Over 13DB &#10;clue1: test 4 headsets with same result&#10;Root Cause:1.Audio Switch Modulation&#10;Exp1.ADD 1nf cap on headset MIC channel ，after Audio switch （C1817 ）  Result: 4dB improvement,Still failed 8dB&#10;Exp2: Modify Cap 2.2"/>
        <s v="[S2] Issue:Obvious line noise on 108M image preview in darkness.&#10;Root Cause:1.AVDD power  noise&#10;Solution: &#10;1.Optimize AVDD Power feedback routing,DVT1 Improved&#10;2.Optimize AVDD Grounding on DVT2"/>
        <s v="[s3]Issue:Flash Led  can not work    4/300 in EVT.&#10;Root Cause:suspect LED CH 3  control impact LED CH 2 &#10;Exp:   enable LED CH 2&amp;3  at same time  by adb command and it can work .&#10;Exp:     SW version enable LED CH 2&amp;3 both ,but fail . need more check&#10;Soluti"/>
        <s v="[s3]  Backlight not work sometimes , recover after power cycle .(found by Chenwt)&#10;Clue 1 .Log checked : Backlight Driver IC I2C read fail when initial . but  Other ICs on the same Bus I2C reading are ok.&#10;            Can not reproduce &#10;    solution :  clos"/>
        <s v="[s3] rear camera 2 test in CQA  will cause rampdump sometimes&#10;Camera2 Kernel panic https://idart.mot.com/browse/IKSWR-100409&#10; clue：can preview ，and video capture fail&#10;Root Cause：Speculation:SW issue&#10;Solution: temp SW continue build 107  checked ok .  clos"/>
        <s v="[S3] Obvious Audio noise in receiver when calling enable.  &#10;Clue1:400hz and Harmonic, Not TDD.&#10;Clue2:No noise with Wechat and Earphone&#10;Root Cause:1. Wrong audio path config  and noise import by sidetone&#10;Solution: Modify audio path config ,temp SW check ok"/>
        <s v="[s3]Dark  display 3 in 24 pcs in EVT build&#10;Clue: 1. display connector damaged . 2. Backlight  IC  burned . &#10;Root Cause:&#10;1.Display Connector Damaged which lead to IC Burned.&#10;2.Connector is not in the best place &#10;3.ME need one time to adjustment the accurat"/>
        <s v="[s3] SPK sound weak in EVT CQA test ，100% &#10;Root Cause:&#10;       1.Smart PA out N &amp; sns N swap&#10;Solution:&#10;       1.Fix current 32+3 units through Change R4650，R4651 to 0201  0R, done.&#10;       2.Fix Smart PA Sch in DVT1 Version,Done&#10;Tracking in DVT1 ，reopen it "/>
        <s v="[s2] Cap sensor  CH3 no function  in CQA test ，100%&#10;Rootcause： parameter not ready .  &#10;Solution: change parameter,New parameter tested  and CH3 can work.  by 6/22&#10;"/>
        <s v="[na]Issue:some user feedback  power drop when Video when battery on 4%.&#10;Root Cause:1.Battery Voltage drop to 3.0V.&#10;Solution:Proposal:1.3.2V Shut down voltage -&gt;3.4V , 50mA 1% power loss. "/>
        <s v="[s3]Issue:  CQA-BATTERY- USB  test result unknown,CR :IKSWR-110537&#10;Clue1: log check 4, BATT_ID_2 = 239720  ， Unknown battery detected, unknown_battery_behavior: 1 &#10;Root Cause:&#10;1.Batt_ID pull down R=243K +/- 1%， but reading 239.9K from SW log. SW check ： 2"/>
        <s v="[s3]Issue: &#10;USB Connector Temperature Detection 125°C mistriggered found.&#10;Clue1:No abnormal signal on NTC found.&#10;Root Cause:&#10;1.Speculation:ADC Not stable when sampling.&#10;Solution:&#10;1.Notice triggered only after Sampling 3 times each second and all over 75°C"/>
        <s v="[na]Anti -water Icon showed when DP insertion  in Factory ,recovered after unPlug for 1 Min，0.4% FR.&#10;Root Cause:1.LPD Mode Active when only one CC Ra attached in 200ms(Powered Cable without Sink attached).&#10;Solution:&#10;1:SW Workaround to re-verify cc status "/>
        <s v="[s3]Issue:&#10;DFer Feedback that LPD Triggered when Charged with 120W VIVO Charger.&#10;Clue:VIVO 120W has their own protocol and SBU used. &#10;Doc link:https://docs.google.com/presentation/d/1n0tqqY8eS7C6cWWbVOopxZkmtI4Qo3L22XRAebT7d2g/edit#slide=id.g4057557fca_0_"/>
        <s v="[na]Screen Keep Turn on/off  in about 10s when PD Charger Plugged(Display LG 2K Game TV) -Brazil DFer feedback .&#10;Clue1. Reproduced in third party Dongle.&#10;Clue2: No Issue without PD Charger Plugged.&#10;Clue3:No error found in log.&#10;Clue4:Verify about 20 differ"/>
        <s v="[s3]Issue:DP not work when Plug Charger with a 9 in 1 hub. -Brazil DFer feedback .&#10;Clue1:No issue with inbox dongle.&#10;Clue2:Buy Same Dongle to reproduce. Result:Tahoe using Parade PS5169 Redriver also have issue.Onsemi No Issue.&#10;Root Cause:&#10;1.PD Charger In"/>
        <s v="[na]Issue:DP not work when Plug Charger with a 3 in 1 Dongle. -Brazil DFer feedback .&#10;Clue1:No issue with inbox Dongle.&#10;Clue2:Buy Same Dongle to reproduce. &#10;Clue3:No any error found in log&#10;Clue4:No Issue with 1080p&#10;Root Cause:1.Speculation-Issue in HDMI P"/>
        <s v="issue：display stuck after 15kV air/6kV contact  discharge，recoverde by Slide screen&#10;clue1：remove deco board testing camera module，appear easily&#10;clue2：12kV air not appear when removing the copper foil on the back of the main camera&#10;Root Cause：camera mipi d"/>
        <s v="[s3]Issue: QC3+ can not work with 33W Saierkang Charger ,but ok  with 33W Kangsu Charger&#10;Clue 1. Different Charger Vendor .  &#10;Root Cause:1.  Saierkang   charger  can not output 6V when 2nd QC 3+ process .   The time form 1st QC3 process to 2nd QC3+ proces"/>
        <s v="[s3]Issue:Test Thermal @元神 keep 60FPS，46°C observed.  &#10;info: Mdu30 Pass.&#10;Root Cause:1.High Performance Game Mode.&#10;Solution:1.Optimize Thermal Config to meet thermal target.  on - going."/>
        <s v="[s3]Issue: 30W charging PD charging current low at last stage&#10;Clue:1. Code change at sm8250 baseline: &#10;296   /* This is for burton ONLY – specific to the battery configuration / 297   / Enable float voltage compensation (0x1071) and set resistance to 30 o"/>
        <s v="[s3]Issue: 30W charging UI100% point test result is 2A  VS 0.82A  in SW setting.  CR：IKSWR-94815&#10;Clue:1.  USB charing  result  100% in UI  VS  90% in Coulomb Counting .&#10;          2. charging current jump up for a few minutes when BQ 30W charging switch to"/>
        <s v="[na]Risk:33W Charging full power rate  Verification&#10;Exp:SW build a Open limitation of 33W and verify. Result: 6/2&#10;BB test done. No issue related power found. "/>
        <s v="[s3]Issue:DVT2 Mxc04 ,Can't Charging and Can't Recognize PC.&#10;Clue:Tester Enable USB Function though USB Port Damaged Informed.&#10;Root Cause:1.Observed ForeignMatter over most of USB Socket Pin Pad.- ME Analysis&#10;Solution:1."/>
        <s v="[s2]Issue:Mxc04 USB Corrosion 1/4 in EVT.&#10;Root Cause:Salt Water in USB Port and VBUS/CC/D+/D- Active in Plugin which lead to Electrolysis effect&#10;Solution:1.Import Salt Water ingression detection ,DVT import and Validated 12 units Pass.&#10;2.Proposal:Refer Sa"/>
        <s v="[s3]Issue:  Sierra Current abnormal （+100mA）when plugin A to C cable without PC or charger connected &#10;Clue1： There is 56K Pull up Resistor from CC to VBUS in A to C Cable&#10;Clue2： No issue with C-C cable which used as standard configuration in 30W PD Charge"/>
        <s v="[S3]&#10;Issue:WH137571, unit A1 Cap sensor no function after loop 5&#10;Clue:1. CH1 no function          &#10;Root Cause:1. M101 Spring collapse&#10;Solution:1.ME Improve"/>
        <s v="[S3]&#10;Issue:WH137608,unit B2(1) cannot enter front camera mode and unable to read SIM Card&#10;Clue:1. issue happened before loop1 drop test.&#10;Root Cause:&#10;1.SIM Card connector PIN cold solder joint&#10;2.camera BTB connector damaged by assembly&#10;Solution:1.Factory I"/>
        <s v="Issue:WH137571, DVT1 ALT loop4 one unit auto power off after drop test &#10;Clue:1. drop test in 4 areas（bottom,left,right,bottom right corner）,unit was blank screen,can power on normally without ramdump &#10; &#10;Root Cause: &#10;1.Battery connector assembly issue.Rete"/>
        <s v="[S3]Issue:DVT1A Instant 60mA Current Found.&#10;Clue:1.EVT found abnormal current in sleep mode, solved through QCN update. 2 units verified.&#10;Root Cause:&#10;1.L5A@S6A used for PCIE/UFS/USB/SDC PHY Consume 200mA Current which lead to extra 60mA@3.8V &#10;2.SPU Consum"/>
        <s v="[s3]Issue: RS  pretest fail. noise value over 15DB&#10;Root Cause:New .Analog Switch FSA4480UCX need new parameter&#10;Solution:1. SUB1,SUB2 add 100PF /REF,R,L change to 0R / REF,AUDIO_GND add 1NF, Validated Pass.&#10;DVT2 Import."/>
        <s v="[s3]Issue: -90dB Noise found when in talking/recording mode on Earphone when display off.&#10;Root Cause:1.Analog Switch FSA4480UCX 's Power supply Vbob lower down frequency from 40Kto 2K  in PFM mode when display off which lead to  noise in earphone.&#10;Solutio"/>
        <s v="[s3]Issue:charging curve not correct ,need check why it jump to 500+mA from 1.8A .  &#10;        Analysis: Log share to SW ,  SW analysis ongoing&#10;Root cause:SW related . Need solve the bug"/>
        <s v="[s3]Issue:When charging ，Battery NTC data is higher than Battery ，Over 46 degree  ，impact charging performance&#10;Clue：2-3°C Gap.  (Ref RIO-H 30W Charging Design)&#10;Root Cause:wired  NTC additionally heated by Battery Protection Board and Mainboard &#10;Solution：A"/>
        <s v="Issue:SM8250 can not support QC3+（33W charger running change）with  3rd part chaging IC&#10;Root Cause:1.Qualcomm announced no support plan on SM8250 duo to software development complexity and high couple with SMB.&#10;Solution:&#10;1.SW Develop 33W QC3+ "/>
        <s v="Issue:Blank Display when ESD strike on Display,1 of 6,Recovered after power cycle.&#10;clue:can't reproduce on failed one.&#10;Root Cause:1.Display Issue,Inform risk to Display Team."/>
        <s v="CR： SIM 2 can not work&#10;Rootcause：connector design issue : UIM2 power and GND  not connect &#10;solution：1. rework UIM2 power and check SIM2 function ok&#10;                   2.change EVT Main board and main FPC "/>
        <s v="CR： VIB，SPK，DP，Capsensor...can not work ， &#10;Clue：1. share 1 I2C 2.remove Capsensor and ok &#10;Rootcause： Cap sensor not power on before  I2C Bus work may cause I2C  issue.&#10;solution：1.  change cap sensor power L8C to always on ，need to check SW ok or not  1/27"/>
        <s v="CR： Camera No power&#10;Rootcause：I2C error (SDA &amp;SCL swap)&#10;solution：1. rework LDOs IC  I2C  -Done&#10;                   2.change EVT PCB --SCH  -Done"/>
        <s v="CR： USB  can not work&#10;Clue：Main board ok，sub board issue。&#10;Rootcause：OVP GND not connect&#10;solution：1. rework  the Vbus（short output and input of OVP） &#10;                   2.change EVT PCB --SCH change done"/>
        <s v="[na]Issue:Audio Aux Detection Issue&#10;Root Cause: When insert the  AUX cable, trigger  PHP surge protect,  and the PHP Impedance test error.  The AUX is&#10;dectcted as headset.&#10;Solution:  workaround :When the impedance is dected as 0 ,Change the headset mode t"/>
        <s v="[na]Issue:DVT2 units Barometer Test Failed in TMO,Avg Data@4 Group @24units Exceed +/-36Pa.&#10;&#10;Root Cause:&#10;1.Precision of Reference Calibrator BMP388(calibrated by Drunk8100)  over Spec.&#10;2.SMT  Thermal Strain Not Released  when Calibrated which lead to over"/>
        <s v="[S3]DVT2 2nd source ATT drop, TP no function/cannot enter camera(FR 2/15)&#10;Root Cause:&#10;1.TP Signal and SAR_Int Signal Open near Screw post and and under shielding case corner duo to High PCB Strain&#10;Exp:1.1.Reduce SolderPaste on Corner of Shielding Case,PVT"/>
        <s v="[S3]Issue1:DVT2 ATT 12 RASS-Tumble   WH135516  48M failed (FR 1/15).&#10;DVT2 2nd source TMO drop, cannot enter camera(FR7/10)&#10;Root Cause:&#10;1.Camera RST Open under Shielding case corner duo to High PCB Strain.&#10;Exp:1.1.Reduce SolderPaste on Corner of Shielding "/>
        <s v="[S3]Issue1:&#10;Denver DVT1B WH135380 ALT ,P/L sensor no function：B5(4) 1 of 11.&#10;Clue:reworked units 6pcs 2nd display+5pcs 1st display &#10;Clue2:Can  not reproduce&#10;Root-Cause:Monitor"/>
        <s v="[S2]Issue1:&#10;DVT1 ALT ESD ，C2 After +15kv air discharge at zone 9(aging 10), headset MIC no function without recovery.(12/23/2020 18:30)&#10;Clue：1.EDU03  6units  pass &#10;   2. have add TVS and layout is ok.&#10;Root Cause: wating for the unit back to XM for analysi"/>
        <s v="[s3]Issue:&#10;1.Mic2 Drop during TMO&amp;ATT ,⅕ Loop2 ; ⅕ Loop3&#10;2Mic1 Drop During ALT ,1/12,Loop5&#10;Root Cause:&#10;        1.unti-pcb strain lower than pcb strain&#10;              Exp:increasing space between Mic2 and PCB by more solder Paste workable?&#10;          2.lower"/>
        <s v="[na]Denver WH134702 Tumbling on Second Vendor(including PCB Vendor Found)&#10;Issue 1: 1:7 of 9 Capsensor no function :D1/D3/D8(100),D4(450),D5(300),D7(500)D9(300)    &#10;Issue 2:4/9 P/L sensor no function :D1(500),D3(450),D4(400),&#10;Issue 3:1/9 Boot Failure.&#10;Clue"/>
        <s v="[S3]Issue1:&#10;Denver found Auto Power Off/System Hang Issue on EVT/DVT1 on 10% Reproduce Rate each day.&#10;Root Cause:&#10;1.PBS_WD_TO/GP_FAULT2 duo to SPMI Hung which lead to Power Off/System Hung&#10;2.SPMI Hung duo to CPU/RPM Hung &#10;3.CPU/RPM Hung duo to Dip found i"/>
        <s v="[s3]Issue:Hand-Free Mode Mic -65dB,Spec -71dB&#10;Root Cause:1.Mainboard Mic Routing&#10;Solution:1.Modifiy Mic Routing,DVT1 Verify.&#10;20201218:updata DVT1: -76dB ok"/>
        <s v="[NA]陈文亭机器：遇到一次按开机键开不了机，插QC快充充电器，没反应，SOLLED 也没反应。&#10;clue:1. 前一天充满电，然后放在抽屉里面&#10;   2.SW 版本 denver_retail_userdebug_11_RRE31.1_e3622e_intcfg-test-keys_retail_US&#10;   3. 电池  断掉一次后故障现象暂时不复现。开机显示电量96%。&#10;合并到 后续总issue里面"/>
        <s v="[s3]Issue:power off current =240uA ,normal should be 100+uA&#10;clue:1. VDD_1P8_SYS =80uA &#10;2.QC release reference design with solution of power off current issue. &#10;rootcause： PMK8003 current leakage &#10;solution：add 10K pull down on pin5 ，base on QC reference de"/>
        <s v="[NA]issue:USB 2.0 eye-diagram test,marginal pass&#10;Clue:tune1=default  ,marginal pass&#10;debug:temp change  tune=0x47 ,pass.  0x67 is better.&#10;  SW change done ，from 12/7"/>
        <s v="[s3] SM4350 will support UFS2.2&#10;&#10;物料上会有2.2和2.1两种，需要关注下FW升级问题。&#10;1.针对hynix料，ufs2.2的4+64和4+128都是新料，不存在FW升级问题。&#10;2. 针对三星，ufs2.2的4+64是新料，不存在fw升级问题。&#10;                   ufs2.2的4+128是目前nairobi上用的2.1的料，需要FW升级，三星不愿意单独区分料号。&#10;3.针对micron，ufs2.2的4+64和4+128都是目前nairobi在用的2.1的"/>
        <s v="[S2]Issue: Stingray Black screen making call issue ，after sale  &#10;Clue:&#10;1. CT higher than 400？IKSWP-105766  CT=600.&#10;2. Factory build CT up limitation is 350 now.&#10;&#10;Root cause: &#10;1. Proposal: with a screen protector that cause CT higher？&#10;2.Proposal: Build wit"/>
        <s v="[S3]Issue: 3 units in 13 EWG units, Blank display.&#10;Clue:&#10;1. #167400, VINT block damge.#167406,VLOUT3 DCDC damage. #167412,VGL FPC abnormal.&#10;2. No display permanent damage issue in 3T TCC ESD(Edu03) test.&#10;3. ESD and 5 ORTs , No Display Relative ESD Failure"/>
        <s v="[S2]Issue:Phone goes dark during calls&#10;Clue:1.Try to get the units. 8/23 (VZW will get the units on 8/23?- Syncing)-Ross &#10;Clue:Try to Reproduce- 8/26 Tony&#10;Root Cause:&#10;1.Proposal:Screen Protector?&#10;2.Proposal:CT&gt;400&#10;Solution:&#10;1.Proposal:User Abuse,Remove/Mo"/>
        <s v="Issue:FFRP ID 167653&#10;RTT function on the phone is physically off, make an outgoing call it shows up on my phone call, and the ppl on the other line canot hear me properlyl&#10;Clue:There is  screen protector .&#10;RootCause:&#10;1.Speculation: It will increase the CT"/>
        <s v="Issue:FFRP 167552  45 - Uninitiated actions        Powers off&#10;CR ：https://idart.mot.com/browse/IKSWP-101607&#10;RootCause:&#10;1.Speculation: &#10;Solution:&#10;1. "/>
        <s v="Issue:FFRP ID 167409&#10;SW-Kernel Panics&#10;Clue:Continues ddr error when MemTest.&#10;Clue:Samsung Involved, Result:??&#10;RootCause:&#10;Why Issue?&#10;1.DDR flip&#10;Exp:Log Observation Result:  ddr flip  Conclusion: R1 Confirm.&#10;Why R1?&#10;2.1 Speculation:Mememory Solder Crack&#10;Exp"/>
        <s v="Issue:FFRP ID 167457&#10;MOD Detect Failure&#10;Clues:&#10;UI shows “the Moto Mod isn’t lined up correctly. Make sure the connector is clean and try attaching again” when attach Mod.&#10;Analysis：&#10;        Experiment: &#10;1. Measure SPI &amp; CC pins with multimeter ----&gt; OK&#10;2. "/>
        <s v="Issue:FFRP ID 167513     01 - Does Not Power On at all        Device will not turn on&#10;Clue：Blank Display&#10;RootCause:&#10;1.Speculation: &#10;Solution:&#10;1. PM6150A  EOS ，monitor"/>
        <s v="Issue:FFRP ID 167519&#10;No Mic Audio &#10;RootCause: &#10;MIC brocken&#10;Solution:&#10;1. Audio team owe"/>
        <s v="Issue:Field unit:PVT:Stingray: Prox keeps on falsing and waking up during calls on earpiece&#10;IKSWP-99509&#10;RootCause:&#10;1.Speculation:Prox Keep bad performance  due to High Threshold Setting by calibration&#10;2.Speculation:recheck FFRP ID 167516 HW ： meet 0.3mm B"/>
        <s v="[S3]Issue:Motor Keep Vibrating or no vibration，60%+ failure Rate on AAH4 Batch after over 100K mass production. &#10;Clue:Failed I2C：Address High&gt;0.98V ，I2C Adress due to Address Low&lt;0.82V &#10;Clue: IC Work normally if 10M Pull Down &#10;Clue: Can read chip ID noram"/>
        <s v="[S3]Issue:Stingray CFC 发现76%直通率，出现问题时是掉口&#10;       Clue:1. 换一根 新的C  to C 数据线 就好了。&#10;                2. shelby ，shelby+ ，RIO 没有问题。&#10;                3. 更换USB 2.0 的下载盒子和数据线，有极大改善，到97%+&#10;                 &#10;    RootCause:     proposal 1：USB 连接器的铁壳比较短，由结构和较短的外壳限位，稳定性比较"/>
        <s v="[S2]Issue:Stingray 后拍录像播放卡顿异常反馈 ，视频 link&#10;       Clue:1.video 里面帧在不在？&#10;                 2.卡顿出现之后，声音和 视频 是否同步&#10;                3. 手机稳定拍摄 背景动态   和  手机 动态 拍摄 静止背景。&#10;          4.[‎2019/‎5/‎21 11:48]  Shunyong SY6 Xu: 有概率出现录的时候也会卡，大部分是播放的时候卡&#10;         5.通过视频观察：停顿时，"/>
        <s v="[S2]Issue:&#10;       CQA found some units auto Black Display ,CR：https://idart.mot.com/browse/IKSWP-84566&#10;analysis：1.when it happen ,current =30+mA . Need long press powerkey to power on the units.&#10;              2. power on current some units more than 300uA"/>
        <s v="[S3]Issue:&#10;   1 unit auto power off when make call in China Mobile SIM .&#10;     Clue ： 1.USE CMCC SIM  ,it is ok&#10;                   2.open the Display module with 90 degree , It is ok. Close the Display module ,it reproduce&#10;                   3.Not Reproduc"/>
        <s v="[S3]Issue:&#10;  Issue 1.Accessory_On_Current_Board_1, True Failure, &#10;     Clue:April &#10;     Clue:Several 7.5V 100ms burst on VBAT will reproduce U2400 Failure.   &#10;     Clue:Battery_Off_Current_Board_1 ,1-3Mon 0%, 4/1 - 4/25 0.22%,  4/25-5/7(2 stairs Power Sup"/>
        <s v="[S3]Issue:&#10;    Mods  USB SS Drive Strength level  change from 925 mV -100% to  253.6 mV-27%, Data ThroughPut = 51Mbps&#10;&#10;   Clue1: While Shelby Plus finalized 261mV duo to failed on DF when use 219mV&#10;   Clue2: 5G Mods Fixed on 290mV.&#10;&#10;Root Cause:&#10;        1."/>
        <s v="[S3]Issue:  Cap sensor  impact  Active pen &#10;Root Cause: Both Cap snesor &amp; Active pen Woring Freq 25Khz &#10;Solution:  Evalute change Cap snesor Woring Freq to 41Khz , there some bug ,need to be fixed &#10;     Can not use 41KHz ,No time for the SW update."/>
        <s v="[S3]Issue:  Cap sensor  Bug when tempreture change too quickly&#10;Root Cause: &#10;Solution: FW  update？, there some bug ,need to be fixed.   No time for the SW update."/>
        <s v="[S3]Issue:  Some times can not power on , Track ID NNBA2K0001   ,NNBA2K0008(DVT2B)&#10;Root Cause:suspect 9008 mode issue &#10;Solution:Rework these 2 units and sent back to user（CXD Matias ） monitor  from  3/26 to 4/4&#10;           No problem by 4/22 ，close"/>
        <s v="[S2]Issue: Unit Stuck on Andriod Logo Screen after Power On. CR : KSWP-69943&#10;    1.DVT2B 1 unit failed /183 ,PVT 18 unit failed /319&#10;    2.Issue found on IF,Assembly,CQA,ALT&#10;Root Cause:1.Sequence of Register Dump Process for Log Error when Error Correctio"/>
        <s v="[S3]Issue:  DVT2A thermal test  camera related fail&#10;Root Cause:&#10;        RC1: camera power consumption &amp; performance need balance&#10;Solution:&#10;         1.Proposal:SW29.64 import 1st  mitigation Strategy for camera  ，waiting for TCC retest  &#10;               PQM"/>
        <s v="[S3]Issue: Unexpected auto power off after ESD CD on MODS area, recovered after reboot.  TM display&#10;RootCause: Display error&#10;1.Display TE check failed and carry on recover procedure.&#10;2.Display pwr_mode register meet error after power down and on.&#10;3.AP hal"/>
        <s v="[S2]Issue: Cannot detect MODS after ESD&#10;Front camera(and Front flash) is ON,After +8KV air discharge at zone16 (zap16),The 360 mods I used had the constantly sound of devices connected,Then changed the turbo mods and it completely undetectable in CQA test"/>
        <s v="[S3]Issue: Phone stopped at &quot;Android&quot; sreen after ESD testing&#10;Clue: After +8KV air discharge at zone16, then check the CQA function at CQA screen,wait for about 30s later,phone auto entered the &quot;Android&quot; screen.Then wait for about 7 minutes,the unit enter"/>
        <s v="[S3]Issue: Phone dropped call after ESD testing&#10;Clue: After +8KV contact discharge at zone8 (Aging10) , Phone dropped call. When the issue occurred, you can re-call the phone without restarting the phone. &#10;Root cause: &#10;1. SW analyse logs.&#10;2.All the call i"/>
        <s v="[S3]Issue: &#10;   CR :IKSWP-63410&#10;PPF29.78&#10;Rahul calls suba with phone on his earpiece&#10;Prox triggered correctly and display was off for 1 minute while in call over earpiece&#10;After one minute of in call, the prox suddenly triggered again bringing the display o"/>
        <s v="[S3] Stingray_TCC_ALT:1 unit auto power off after drop test  ，CR IKSWP-53809&#10;  DVT2A   1time in Loop3 （total  3 groups of ALT ） ，DVT2B  1time in Loop4&#10;monitor"/>
        <s v="[S3]Issue:Kernal Panic - DDR Flip found on NNBV120029,DVT1a on Rack Test&#10;RootCause:1.ESD Relative&#10;        Exp1:Correct ESD Issue&#10;        Exp2:DVT2A and after Data&#10;        Exp3:Reproduce 10 times Crash on DVT1A udner ESD -&gt;Result:ESD Relative&#10;Solution:&#10;   "/>
        <s v="[S3]Issue: DVT1 some user feedback auto power off。IKSWP-55128,IKSWP-56795,IKSWP-58803,IKSWP-54896,IKSWP-56798&#10;Root Cause:&#10;        RC1:  Jtag ESD  Risk   &#10;        RC2:  Short tisk between Jtag &amp; rear housing .&#10;Solution:&#10;         1. change to DVT2A units an"/>
        <s v="[S3]Issue: BSP Target 32.1 Hrs，Current 29.8 Hrs. EBL on DVT1A 20Hrs&#10;Current BSP on NA version,32.8Hrs  "/>
        <s v="[S3]Issue: MDu44 fail . especial U2400 right bottom corner&#10;            1.DVT1B use 2nd PCB   &#10;            2.DVT1B  display easy to separated &#10;            3. use 1st PCB  ,From DVT2A  (remove 2nd source PCB) .   MFAL check if there is difference&#10;          "/>
        <s v="[S2]Issue: 产线装配发现硅胶套装偏导致 sensor 被遮挡的&#10;Action：请整理相关信息关注ME action落实情况，ME Informed to HouXiRong&amp; XianQing"/>
        <s v="[S3]Issue: An error message appears when restarting the mod&#10;Root Cause:&#10;        RC1: Mods B_plus dont have a good enough discharge path.when the mods restart ,the B_plus should go down and restart to make mods restart . but it dont restart,and it cause mo"/>
        <s v="[S3]Issue: &#10;ANT LowB performance degraded after ESD @Calling@Bottom Ant in DVT 2A WH112926 6 Fail/6 units -8dB loss@ B5/B12 Root Cause: RC1:QAT3550 Tuner U200 Broke&#10;-Pin CIO，SW3，SW4 &#10;-Internal C1 Damage also found &#10;RC2:ESD Protection by Varistor not enoug"/>
        <s v="[S2]Issue: shelby 售后不开机主板，分析CC1和CC2 pin 损坏比例较多，评估是否能改善&#10;6150 CC1,CC2 耐压22V，Better than 660 which is only 6V.&#10;Iteration:Review"/>
        <s v="[S2]Issue:Mods DP no display&#10;Clue:&#10;1.Mini DP Qualcomm not ready until 11/15&#10;2.DP over Tpye-C can work with no HDCP DP-&gt;HDMI Adpator;Aux and DP HW Verified.&#10;3.HDCP Error found,QC feedback that should be TZ issue. HDCP1.x Key and deploy，$0.01,Using new test"/>
        <s v="Issue: caizhiyi机器反馈原来ok 机器，胜男拆机返工CTP后（P-sensor油墨孔改成跑道型），之后打开蓝牙灭屏后就像自动关机了 &#10;clue： 1. 开启蓝牙或者WIFI ，然后进入休眠，自动关机（没有关机画面），都关闭就不会 &#10;             2. Action：a.拆除LCD 是否能复现？” b.能复现，测量L10A的电压变化，同时关注电流变化，同步找一路参考电压。c.关机状态测量L10A的阻抗变化 &#10;             3. L10A 外部加电源后，没有问题。  &#10;4"/>
        <s v="[S3]Issue:&#10;1.DisplayPort Aux Communication Failure,Over 50%&#10;Root Cause:&#10;1.Aux Signal Integrity Issue&#10;Exp1.1-Clear Log and Start Mods on passed one and failed one on two unit，Log and send to SW for analysis&#10;Result:Passed with no error;&#10;Failed with all Aux "/>
        <s v="Issue:SW 反馈有人报Foles通话不容易灭屏的问题（caizhiyi的机器）&#10;clue： 1.SW caoyi 告知，手机左手拿着，P-sensor 位置比较容易跑到耳朵意外的区域，导致读值很低，不能判接近。&#10;           2. 右耳朵也会出现，那应该是0距离状态下的&#10;Root Cause:1.左耳朵飘出耳朵范围 &#10; Solution Action：1.DVT2B 旋转P-sensor 180度，将发射灯更靠近手机中心。（硅胶套同步更改）"/>
        <s v="Issue: Black Card Performance Can't Meet requirement &#10;Root Cause:1. Double Holes window on CTP&#10;Solution：1.Change Double Hole  to Singe Oval Type Hole ,Verify on DVT2B  ：&#10;           Samsung Display PVT  100+pcss&#10;            TianMa Display   DVT2B    TBD   "/>
        <s v="[S2]Issue:Mods Camera not Bring up,Block on Lanes Overflow&#10;Clue:&#10;1.AP CSI2 worked with Front Camera&#10;2.APBA Lane2 Signal detected,25Hz/21Hz&#10;4.&#10;RootCause:&#10;...&#10;RC6.SM6150 CSID Can't Decode CSI Low Speed Data?&#10;       Exp6-1.Using Front Camera,Wiring to CSI2,S"/>
        <s v="[S2]Issue: &#10;          Factory Download 50%+ can not connect to 9008 (enumerated 9008 with &quot;！&quot;)&#10;Clue:&#10;          1. No Issue with Computer USB &#10;          2.Error code:Windows cannot load driver for this hardware.The Driver may be corrupted or missing.(Code "/>
        <s v="[S3]Issue:MDu30 Thermal Test Fail-WH111596&#10;Clue: 1.Camera 4K torch，flashlight area overheating&#10;           2.wifi streaming with charging，mods connector area over 3℃&#10;           3. Processor loading overheating&#10;           4. Gaming with charging，mods connec"/>
        <s v="[S2]issue:BB test ，P-sensor  oil test fail in EVT and Black cardtest fail in DVT1A&#10;Clue: Rubber EVT =0.25mm, DVT1A=0.65mm&#10;Root Cause:1.Isolite Rubber Thickness  need balance between Anti-Oil and Black Card Test Performance.&#10;Solution:1.Change Rubber to 0.5"/>
        <s v="Issue: caizhiyi机器反馈原来ok 机器，胜男拆机返工CTP后（P-sensor油墨孔改成跑道型），之后打开蓝牙灭屏后就像自动关机了&#10;clue： 1. 开启蓝牙或者WIFI ，然后进入休眠，自动关机（没有关机画面），都关闭就不会&#10;             2. Action：a.拆除LCD 是否能复现？” b.能复现，测量L10A的电压变化，同时关注电流变化，同步找一路参考电压。c.关机状态测量L10A的阻抗变化&#10;             3. L10A 外部加电源后，没有问题。 &#10;     "/>
        <s v="Issue: DVT1B 火生1台机器不识别快充，需要分析。&#10;clue： 1.关机一段时间后，再开机会回复正常。多次插拔充电器后，又fail&#10;             2.Fail 的时候，链接电脑，USB也不能正常链接（提示不正常的设备）&#10;Root Cause:1.AP not release USB Channel When QC 3.0 Lead to Pmic fail to intercommunicate with Charger.&#10;Solution:1.SW Update according"/>
        <s v="Issue: DVT1B high possibility Power off when ESD test&#10;Root Cause:1. Jtag signal affected&#10;Solution:1.DVT1B Jtag shielded with Copper and isolation film，Evaluated Pass.&#10;DVT2A PCB Has been modified .&#10;Same Issue with : DVT1 some user feedback auto power off。I"/>
        <s v="Issue: DVT1B ESD Evaluate, BT Drop &#10;clue： 1.Change SW no affect&#10;Root Cause:1.Side Key Fixing Clip Discharge by ESD2.Grounding on Sidekey FPC not Stable 3.Key Signal Affected 4.BT Signal Affected&#10;Solution:1.Isolate Side key grounding pad with Clip. Validat"/>
        <s v="Issue:WH111665 1.After +10KV air discharge  at zone 6(Aging10),P sensor and light sensor no function,restart recovery.&#10;Clue: 点胶和封胶 是否没做好，直接打到P-sensor本体了？  （点胶不完整，打击P-sensor区域，会出现软性失效）&#10;RootCause: 1.P-Sensor Affected by ESD&#10;Solution:1. SW recovery ,RD Valid"/>
        <s v="[S3]Issue: Factory feedback SOL LED too dark &amp; sometimes no function&#10;Clue: Factory  mode &amp; CQA mode with different Lightness ."/>
        <s v="[S3]Issue: DVT1A WH111559 Tumbler 200 times , D1 &amp;D4 front &amp;Rear camera can not work&#10;Clue：1.SDA wire open （SCL ok） D1 &amp;D4  2. NFC IRQ，ANT_cap_sensor_CS1_N &amp; REF _cap_sensor_CS1_N,wire open. 3. CPU shielding case seem lift up and SH118 seem lift up too. 4."/>
        <s v="Issue:&#10;1.Zone 11(Aging10) proximity sensor no function then unable to enter system after reboot,recovered after reset(fastboot -w).&#10;2.Light sensor and proximity sensor no function，recovered after reboot:D5(contact 6KV)&#10;3.+8KV contact discharge  at zone 14"/>
        <s v=" Issue:Unit 1 +15KV air discharge at zone 6/zone 9/8&amp;10 (Aging10),The phone lock up,recovered after long pressed power key to reboot.&#10;Clue:1.System Halt&#10;2.Reproduce ,Log&#10;3.AP or Display Driver?&#10;RootCause:Proposal:TX Error?&#10;Solution:1.Jtag Removed,Validate"/>
        <s v="Issue:Unexpected auto power off During ALT Drop Test ,CR IKSWP-42633&#10;DVT1A NA SKU ALT(WH111516)(PA/PSA Anyone） A3(1):Drop right side &#10;DVT1A NA SKU ALT(WH111848)(total 9units） A3(1),B4(1):drop back side A4(1):drop left side&#10;Root Cause:1.JTAG Short with Edg"/>
        <s v="Issue:The phone automatically reboot,then recovered:D1(contact 4KV) The bluetooth no function, recovered after reboot:D1(contact 4/6KV)&#10;Clue:&#10;1.Unplug Side Key FPC and Pull out, ESD Pass&#10;2.Unplug Side Key FPC and Keep in the original Position, ESD Fail&#10;3."/>
        <s v="Issue:The phone drop call,recovered after call again:D1(Air 8KV)&#10;Clue:&#10;1.HandFree Confirmed &#10;2.Proposal:Log Analysis&#10;3.RF Tranceiverin bottom&#10;4.Proposal:Frequency? +2 unit1&#10;Root Cause:1.if Hand Free, TP Ghost Point Issue&#10;Solution:TP FW update,Validate OK"/>
        <s v="[S3]issue: RT516 damaged in DVT1A assembly, fail rate 0.53%= 4/750&#10;Root cause:1.RT516 Crashed When lockdown Side FPC&#10;                     2.Conflict with Fixture,No Issue after Optimize Fixture in DVT1B&#10;Solution:1.Optimize Fixture, DVT1B Validate Pass.&#10;2."/>
        <s v="[S2]issue: In TCC ESD test, touch screen no function with large probability,recovered after pressed power key.&#10;Clue: Issues appeared when the Display panel faced down, and ESD dischaged on the back frame.&#10;2.Proposal:Touch Screen OK withough ESD?&#10;Root caus"/>
        <s v="[S2]WH111662 A3 ALT Loop2 Drop on left side , P-Sensor No Function. 12/12&#10;Root Cause:1.FPC wire open on strain corner lead&#10;2.FPC foldered in abnormal state&#10;Solution: Change FPC GND and Open  Area，on-going"/>
        <s v="[S2]issue:on Dec/2 WH111848 ALT Loop2  B2:After drop top left corner,P sensor is always in enable status,light sensor is always in dark status, recovered after reboot&#10;Clue:Plan :1.PI Get log  and check what the status CR  IKSWP-44583.  &#10;2. Follow up the L"/>
        <s v="[S3]issue:WH111516_B4_NNBA120190 After loop2 drop right side,1 units' P sensor&amp;Light sensor have no funciton,but restart can be recover&#10;Clue:Plan :1.LOG in CR  IKSWP-43026   2. CTP not assembly good&#10;3.Proposal:Try to Reproduce，Can't Reproduce，Monitor othe"/>
        <s v="[S3]Issue:ALT WH111516 ESD C1 样机Standby模式，+8KV空气放电 ，打TP Lens底部缝隙区域（Zone 3），CQA模式下检查指纹发现Fail，手动关机后不能再开机&#10;Root Cause: 9008 state ，No  HW dameged. Not a real issue"/>
        <s v="[S2]Risk:Mods Factory test plan: DVT1A dont start mods test&#10;Root Cause:SW not ready&#10;Solution:Inform SW*NPI"/>
        <s v="[S3]Issue:[Jira iDART] (IKSWP-40058) Can not charge, shows discharging when connecting charger(1user,often)连接充电器无法充电 B2GID:304434411&#10;Clue:14号，ppf29.10版本启动了。目前硬件的相关的可能只有这个。连接了usb没有充电，拔插后拧一下插头才能识别到。另外fastboot 模式也出现识别不到，也是拧usb口才读的到。&#10;Root Cause:usb-c connecto"/>
        <s v="[S3]Issue:Sleep Current Drain  27.5mA&#10;Root cause: &#10;1.Max3108 6.5mA&#10;2.Memory 6mA&#10;3.Display 1.2mA&#10;4.after SW Merge All upgrate: Base Current =7.2mA@3.8V,Gap:2.2mA&#10;5.Moto Action&amp;Maya: -1.5mA -&gt;5.7@3.8V , Gap:0.7mA&#10;6.Proposal:Boot up with BP-Tool Mode -&gt;Syste"/>
        <s v="[S2]Issue: Remove Max3108（I2C-&gt;Uart）,Current Drain reduce 6.5mA&#10;Clue:1.L19A 2.7V 1mA&#10;Root cause: &#10;1.UART Mode Config as Hi-z，improve 6mA&#10;2.Disable Internal PLL, improve 0.5mA&#10;Solution:1.Uart Mode Config -SW&#10;2.Disable Internal PLL-SW&#10;&#10;"/>
        <s v="[S2]Issue:&#10;1. 1/6 unit D6 cannot boot, stuck at MOTO logo, current leak and heat, after ESD test.&#10;2. 2/6 units D3,D4 cannot boot after ESD test.&#10;Root cause: &#10;1.1 D6 Stuck on Moto Logo when boot Due to Cap Sensor Damaged Through CH1 Sensor on Top Left. &#10;2."/>
        <s v="[S2]Issue:1/7 unit Front camera fail  after ALT  WH110271 B2&#10;Root Cause:1. 1. CAM_R_I2C_CLK in Layer 9 break&#10;                      2. Shielding Case Corner Strain　　&#10;               &#10;Solution:1.Proposal:Adding Foam - ME&#10;2.Proposal:Solder Open limitation - B"/>
        <s v="[S2]Issue: DISP_VIO change from L13A to L15A,SW Downward Compatibility ok?&#10;Root Cause:1. Camera IOVDD need  separate from DISP_VIO&#10;                      2. &#10;Solution:1. follow HW ID to detect EVT and DVT1,L13A change to L15A Compatibility is ok&#10;          "/>
        <s v="[S3]Issue: Black Screen with 3/15 times during boot up &#10;Clue:&#10;1.Reproduce when Assembly in phone ，No issue when place display plat, Found issue on Plat place too.&#10;2.Issue Follow Dedicated Display &#10;3.Hardly reproduce when insert converter FPC.&#10;4.MIPI Test "/>
        <s v="[S2]Issue:Receiver TDD Noise   failed.&#10;Clue: 1.Codec affected,&#10;RootCause:1.Mic Side Tone Coupling&#10;Solution:1.Proposal:Resolve Mic up link Tdd Issue&#10;2.Side Tone Coefficient Adjust"/>
        <s v="[S2]Issue:1/4 after EVT MXC06  200times WH110432 D4,Display can not work &#10;                  2/8 after EVT MXC06  200times  WH110726 D3,D4 ,Display can not work&#10;                  1/1 after EVT MXC06 200times WH109891 D3,Display can not work&#10;Root Cause:1. D"/>
        <s v="[S2]Issue:CH1 get stuck when wifi OFF&#10;Clue:1.Not occur when WIFI ON    2. Average value getting bigger gradually when WIFI off&#10;RootCause:1.CH1 not share the ANT with RF, and no capacitor to Gnd. so Gnd is independent from the system.&#10;Solution &#10;     1.CH1 "/>
        <s v="[s3]Issue:Rear &amp; Front camera halt sometimes when preview&#10;Root Cause:　　　　　　　　　　　　&#10;Proposal:SW Issue.1.  dvt1a sw OK"/>
        <s v="[S2]Issue:Fuel Gauge,No Charging Current Detected&#10;Root Cause:1.Proposal:Current Register Mismatch - SW On-Going&#10;SW update display config file ,Solved."/>
        <s v="[S2]Issue:&#10;1 of 8 unit P sensor not found in QsensorTest after ALT WH110272 B1.&#10;Clue:&#10;        1. Change FPC, P sensor still not found&#10;        2. Updated software, P sensor still not found&#10;        3. P sensor Connector is soldered ok to the mainboard&#10;     "/>
        <s v="[S2]Issue:1/8 unit A+G fail  after ALT  WH110272 B2&#10;Root Cause:1.SPI_CLK in Layer 9 break &#10;                      2.Shielding Case Corner Strain&#10;Solution:&#10;1.Enhance Shielding Case on Bridge Corner ， DVT1B action According to DVT1A S1 result &#10;2.Solder Open "/>
        <s v="[S3]Issue:MIC TDD Noise -40dB &gt;-71dB failed.&#10;Root Cause:&#10;1.poor Cirrus Mic Anti-TDD , &#10;1.1 Validate ACC+ Shielding Case pass; &#10;1.2 Proposal:Estimate Knowles Mic. Exp: Interposer FPC Sampling to verify.&#10;2.Near field power strength- Antenna&#10;2.1 Proposal:val"/>
        <s v="[S3]Issue:1/4 units Surge Test Fail on 50V &#10;Clue:&#10;1. no turn on，PMIC U2000 damaged，vbat leakage current 80mA，USB_IN leakage current 120mA&#10;2. D500 damaged that had 110mA leakage current ， caused PMIC wasn't under protecting when surge test.&#10;3. Surge test w"/>
        <s v="[S3]Issue:  Charging current 1.3A sometimes which should be 3A  ,&#10;Clue：&#10;        1. USB on PC can not work when 1.3A charging&#10;       2.Connector USB to PC and power on ，it always ok（test 10+ times）&#10;Root Cause:&#10;        1.SW issue  --on going haijian&#10;Solutio"/>
        <s v="[S2]Issue:  front camera preview fixed on +6KV ESD CD on Receiver Deco &#10;Root Cause:&#10;     1.     Receiver Deco Grounding problem ,Need further check with ME &#10;Solution &#10;     1.Receiver Deco Short to Metal Housing, RD Evaluate ok,DVT1 Validate Pass.&#10;     "/>
        <s v="[S2]Issue:  system reboot in camera preview mode on +6KV ESD CD on  Rear Camera&amp;Mods Connector&amp;Deco&#10;Root Cause:&#10;     1.display te affected（solved by adding 2K Resistor）&#10;     2.LCM Grounding not good . Greatly improved by optimized GND.&#10;     3.Recovery not"/>
        <s v="[S3]Issue: ALT WH10272 Loop1 Drop top side 2units B2(1),A4(1) P-sensor no function ，&#10;Clue：1.No Gromet on P-Sensor incase LCD impact.&#10;Root Cause:1 .temp ALT units（ME ALT for Display glue verification）  No Gromet  ，not match design&#10;Plan: not ture issue for "/>
        <s v="[S3]Issue:  WH109872 DVT EDu04 Eval - Reverse Polarity  fail&#10;Root Cause:1.Shotkey Diode Don't Reserved after 3902 Removed.&#10;Solution:1.Adding Shotkey Diode - Lab Unit Modification - on-going&#10;                 2.BB internal Test pass by jump wire&#10;           "/>
        <s v="[S2]Issue: WH109891 MXc06 滚筒 D3 200次后 cannot not power on（可以开机有电流反应，初判主板导致无显示 ）&#10;Root Cause:Proposal 1.Display&amp;Camera Signal in Layer3 around Screw Hole Open.&#10; 2.Can't dig further due to unit broken&#10;Solution:1.Re route affected signal to keep far away scre"/>
        <s v="[S2]Issue:Display Bringup not complete. ELVSS Keep -4.0V&#10;Root Cause:1.Proposal: PM6150A not correctly config &#10;Solution:1.SW Resolved."/>
        <s v="[S2]Issue:Display Bringup not complete. AVDD over voltage. &#10;Root Cause:1.PM6150A not correctly config ,  &#10;Solution:re configuration PM6150A,Verification Pass &#10;"/>
        <s v="[S3]Issue: NFC I2C probe fail&#10;Clue:&#10;1.NFC I2C is OK when remove MAX3108, MAX3108’s RST pin is low.&#10;2.MAX3108 VCC has no power supply.LDOEN pin is low.&#10;3.External supply 2.5V to VCC and Pull LDOEN to high,NFC I2C work.&#10;Root Cause:&#10;1.Max3108 Hold I2C Bus &#10;2"/>
        <s v="[S2]Issue: 1. EVT with umcp cannot download &#10;Root Cause:1: There is no LUN in Blank umcp, ufs needs to be provisioned before download.&#10;Solution:provision UFS First"/>
        <s v="[na]If QUP config to UART,Stingray will have not enough AP  SPI for Audio codec. &#10;Root Cause:  SM6150 not enough AP  SPI&#10;Solution: &#10;1.use LPI  SPI (LPI Qup2)for Audio codec Firmware download , Update 8/8 ,SW can’t realize bridge AP to ADSP. Drop&#10;2.Using I"/>
        <s v="[S2]Issue: EVT SCH&amp;PCB design battery connector with 5CA9A6MXRG ,but the correct one should be 28014040001&#10;Root Cause:  Component Team Not align with ME Team,In-consistence between the PartNumber&#10;Solution:1.  Carding the Component Selection Flow During Co"/>
        <s v="Issue2:Phone enter 9008(EDL) after download images. QC case number: 03648171&#10;Root Cause:Download issue, miss some download file.&#10;Solution:Use moto baseline download tool."/>
        <s v="[S2]Issue:I2C fail to read again sometimes (would happen in 1 hours ,sometimes just in 10 minutes ) &#10;Root Cause: SW I2C control issue. Detail need SW update&#10;Solution:1. QC feedback some Cord change  link&#10;Plan： 1. 2 units Stress test 19 hours ok.  2. SW ch"/>
        <s v="[S3]Issue:Not Enough Uart with Flow Control in AP for Mods APBA.&#10;RootCause:1.SM6150 AP QUP Limitation&#10;Solution:1.I2C Uart Bridge Using Max3108 ，&#10;update 8/28 SW Bringup on Demo Pass.&#10;2.I2C Uart Bridge Using FPGA&#10;3.USB Uart Bridge IC CP2102/FTD234&#10;Plan:1.Ma"/>
        <s v="[s3]Issue:No SPI Port for Mods  &#10;Root Cause:  SM6150 not enough AP  SPI &#10;Solution: add 1 Switch to solve it &#10;Action：Done. Already designed in Stingray and completed development. Update the design diagram here."/>
        <s v="[S3]Risk:Als Design,No Feasible Place for Ambiant Light Sensor on Front Side.&#10;Root Cause:Full Display&#10;Solution:1.Place ALS on Edge ,2. turn to ALS under OLED ，under evaluation by SME team &#10;plan： 8/1 check use AVAGO9307 or  AMS 3701 。  9/30 check if we can"/>
        <s v="[s2]Risk：Stingray P-sensor design ESD Risk&#10;Root Cause:P-sensor ESD Risk is high for the current Solution&#10;Solution:&#10;1.Non-Conductive Grommet Around P-Sensor&#10;2.Conductive Grommet Around P-Sensor- Update 0.3$,Further investigate Low Cost Conductive Grommet.&#10;"/>
        <s v="[S3]Risk:ESD May Damage USB-C on revised shorter metal shell&#10;Clarification:1.EVT Validate 2.Pin anti-ESD capability validate on shelby. Only D+/D- Pin have risk while other pins have good ESD durability.&#10;Solution:1.Keep Shelby Solution on D+/D- Protection"/>
        <s v="[S3]Risk:ESD May Damage Mods Pin&#10;Clarification:1.EVT Validate 2.ESD failure mode analysis&#10;Plan:1.Bettery Layout Protection&#10;         2.Better TVS with big capacitor and lower clamp voltage"/>
        <s v="[S2]Risk:ESD May Damage Speaker Audio Amp and cause system halt.&#10;Clarification:1.EVT Validate 2.ESD failure mode analysis&#10;Solution：Add Varistor near the SPK pad and double check if the TVS due to this issue&#10;Plan:1. Add varistor near the SPK pad and test t"/>
        <s v="[S3]Issue:Proximity Design,No Feasible Place for P-Sensor&#10;Clue:Stowed Mode&#10;RootCause:Full Display Lead to No Space for P/ALS Sensor&#10;Solution:1.ME Manage to place it on Front Camera&#10;Conclusion:1.Turn to NUD Mangement，Closed"/>
        <s v="[S1]Risk:Buttonless Design are not mature enough to introduce to Product"/>
        <s v="[S2-&gt;S3] Issue:1.Qualcomm feedback SM6150 Reference Design on 8/13, &#10;Update 8/17：Qualcomm Upload on Create Point on 8/17&#10;Root Cause：1.Qualcomm Design Spec Release not follow Schedule, &#10;Solution：1.Follow up Qualcomm"/>
        <s v="[S2]Chiron BSP 24.2Hours/Latam UMTS, 21.6Hours in China UMTS on 7.0 User Mode on 3300mah.&#10;Solution:1.3600 maH now"/>
        <s v="[S2]Issue:CE FM mode CS/RS (EN55035) test Fail&#10;Clue:&#10;Root Cause:FM IC demodulate the AM radio&#10;Solution:1.&#10;Conclusion:Sportan cancel the test item.Closed&#10;"/>
        <s v="[S3]Risk:CE ESD Usb Link Fail&#10;Verification:on-going &#10;EVT pretess ok"/>
        <s v="[S2]Issue:&#10;SM6150 Can’t support Mods Projector on Original Architecture&#10;Root Cause:&#10;1.SM6150 Only Deploy 1 X4 Lane DSI&#10;Solution:&#10;1.Lattice ICE FPGA DP -&gt;My DP Convert Solution  - Will Verify on 10/20 if SW ready.&#10;2.Discrete Solution without Lattice ICE,Pr"/>
        <s v="[S3]Issue:BSP 7.0 Simulation Shows 23.9Hrs on Latam UMTS&#10;Root Cause:&#10;          1.No Space on Y+ for Battery because of Camera&#10;          2.No Space on Y- for battery because of Mods&amp;CPU+Memory &#10;Solution:&#10;Narrow down PCB Bridge and expand battery on X+ by 1"/>
        <s v="[S3] TOF&amp;NFC   do not work sometimes on sofia+ B2B SKU&#10;Clue: 1.   TOF&amp;NFC share same I2C ，and  SCL or SDA   hold LOW when issue reproduce&#10;          2.   issue happen after NFC reset (found by our reproduce)，also found on normal read operation（SW Reproduce"/>
        <s v="[S2] DVT1B Sofia ALS-PS wheel test fail   sometimes IKSWQ-39589  IKSWQ-39294       &#10;Clue: 1.   90 degree report 103 (device 3 ) &amp; 241 (device 2)while it should be  5000+&#10;Root cause:&#10;1.  &#10;Solution:&#10;1.   "/>
        <s v="[S3]PVT sofia NA Display missing pixels,unable to recover.&#10;Clue: &#10;1. -15kV AD on FPS area, with display panel facing coupling plate.&#10;2. Not appeared in all of sofia na and sofia plus EDU03 tests before. fial rate 1/68.&#10;3. There is display issue in sofia r"/>
        <s v="[S2] DVT2 Sofia NA ALS-PS no function   after ESD ESU03&#10;Clue:1. sensor damaged. INT pin =26R &amp;500R  VS normal xMR&#10;          2.check with ME the Glue width maybe different with Normal one&#10;          3. &#10;Root cause:&#10;1. proposal :Glue width is too small  .   "/>
        <s v="[S3] WH120786 DVT2 (2 fail/6 units),  WH121714(2 fail/4 units) PVT Sofia Plus unit cannot power on after ESD @15KV Air&#10;Clue:1.Unit always enter 9008 mode; cannot recover .&#10;         2. According to UART log, boot config error&#10;         3.CPU bootconfig pins"/>
        <s v="[S3]sofia some 3rd part charger can not charge(not standard QC 2.0 or QC 3.0 Charger)&#10;Clue:&#10;1.  waveform check charger output   12V in QC3.0 Authentication process （which should be 5V  in normal charger).&#10;2.  External OVP open when Vbus get 10.3V ，and the"/>
        <s v="[S3]Issue: After +8KV air discharge at zone16 (Aging 10 ), fingerprint reader no function,recovered after reboot.&#10;Clue:&#10;Root cause: Egis sensor dead-loop after ESD.&#10;Solution:1. Enhance GND;  &#10;PVT TCC test Pass"/>
        <s v="[S3]Issue:&#10;WH119393 EDU03 In final EIS test, LTE band5,band12,band13 div antenna degradation exceeds 3db, and TIS value is also out of spec.&#10;Root cause:&#10;1. ANT DIV tuner damaged.&#10;2. Layout is not the best design. Varistor + 0ohm. DVT2 optimize and monitor"/>
        <s v="&quot;[S3]Issue: &#10;DVT2 bulit CQA test SX9338 function abnormal: CH0/2 always triggers, CH1 never triggers&#10;Clue:&#10;1. Factory SW works well for SX9338 units in Xiamen &#10;2. Function ok when change back to SX9331.&#10;3. Samples for factory and Xiamen download firmware "/>
        <s v="[S3]Issue:  DVT EDu13 - Battery Performance at Various Temperature        WH119426&#10;             D1 auto power off after 1 hour -10C discharging(run Auto Cycle), the voltage is 3.66V&#10;Clue:&#10;The discharge time is judged according to the log time, but it fail"/>
        <s v="&quot;[S2]Issue:  WH119836 ALT light sensor and P-sensor no function  B3( 5）&#10;Clue:&#10;Root Cause: P-Sensor fall off&#10;Solution: ME own further analysis"/>
        <s v="[S3]Issue: &#10;WH119393 EDU03 light sensor and P-sensor no function,unable to recover.D3( +8KV air Zone10, left side of unit)&#10;Clue:&#10;1. Not reproducible on other 2 units, with 100 times 15kV AD on zone10 and in calling mode.&#10;2. P/L sensor shares the same volt"/>
        <s v="[S3]WH119444 Sofia NA SS DVT1B ALT   B3(4)     &#10;    Weak vibration.    WH119693 sofia +AT&amp;T D8(400)&#10;Clue:&#10;1. Fail follow PCBA&#10;2. waveform check it should be inductor PL6502 issue&#10;3. open shielding case and found inductor is glued on shielding case inside."/>
        <s v="[S3]Issue:  WH119444 Sofia NA SS DVT1B ALT A5(4)        A5:Drop bottom left corner&#10;Volume + button no function.&#10;Clue:&#10;1.  check Sidekey FPC , press V- ,net open to gnd.  FPC issue&#10;2.FPC Wire crack (check finger to SMT pad open)&#10;3. 2nd source Helitai FPC.&#10;"/>
        <s v="[S3]Issue:  WH119444 Sofia NA SS DVT1B ALT B3:After TH/TC&#10;USB charging is normal, but fail to connect computer.&#10;Clue:&#10;1.  can not power on when get the phone .&#10;2.plug in USB  and press V- can go into Fastboot mode. But not usb port found.&#10; 3. Failure foll"/>
        <s v="[S3]Issue: Sofia NA cannot read SIM after DVT1B Tumble Test WH119323  D5(275)&#10;Clue:&#10;1. SIM_RESET wire broken.(remove CPU)&#10;Root Cause:&#10;    1.Inner Layer PCB Delaminated &#10;    2.1 Proposal :RF Shielding case pseudo soldering &#10;    2.2 High PCB Strain on Shiel"/>
        <s v="[S3]Issue:Sofia + NA FPS no function after DVT1B  ALT WH119628，A2(5),A5(5)&#10;Sofia  NA FPS no function after DVT1B  ATT Drop WH119363，D10(54)&#10;Clue:&#10;1. issue unit &amp; good FPS module, FPS no function; issue FPS module &amp; good unit, normal FPS function. Bad MB!&#10;"/>
        <s v="[S3]Issue: Sofia NA FPS no function after DVT1B Tumble Test WH119323  D7(150)，WH119323 D5（300）&#10;Clue:&#10;1. issue unit &amp; good FPS module, FPS no function; issue FPS module &amp; good unit, nomal FPS function. Bad MB!&#10;2. D7 MISO,MOSI,INT, 3 signal pins on MB BTB c"/>
        <s v="[S3]Issue: Sofia+ DVT1 DVT MXc03 - Power Cuts Impact Test ,WH118750 D2 ,  WH118615  D2 ,after right 2500 times:Gyroscope sensor fails Parametric test &#10;Clue:&#10;1.WH118750 D2 Gyroscope-sensor channal 0&amp;1 ok , channal dont change.  &#10;2. Sofia NA no such failure"/>
        <s v="[S3]Issue: Sofia DVT1 build P-sensor  some units CT too high ,data? 2/ ?  DVT1A, 4/? DVT1B   ?/? DVT2&#10;Clue:&#10;1.  Re Assembly Display,Disapear&#10;2.  Is it a real Issue? Check 6Sigma Distrubution Range.-Xiong&#10;3.  Some DVT2B units with high CT really has proble"/>
        <s v="[S3]Issue: Sofia+ 2 pcs stylus stylus detected as plug out when full insertion during CQA.&#10;Clue: fail follow FPC&#10;Root cause:1pcs  FPC  ，no hall IC on FPC ，FPC Vendor hongxin  issue .  the other one check :seems same issue now&#10;Solution:FPC Vendor hongxin  "/>
        <s v="[S3]Issue: Sofia+ 3 pcs/50pcs stylus detected as plug out when full insertion during CQA.&#10;Clue:&#10;1. issue follow stylus&#10;2. X-ray show magnet distance deviation 0.16MM /-0.15MM compare with normal one&#10;3. 7mm insertion detect, 5mm normally&#10;Root cause:&#10;1. spe"/>
        <s v="[S3]Issue: Sofia+ unexpected auto power off after ESD(8kV CD) on camera deco.&#10;Clue:&#10;1. Flash LED and TOF are high risk component, which are nearest with camera deco.&#10;2. remove Flash spr, issue could still be reproduced.&#10;3. remove TOF and reserve interpose"/>
        <s v="[S3]Issue: DVT1A Soifa NA (WH118735) :Unable to power on A5(1),B2(1),B3(1)&#10;  A5,B2,B3:drop back side.&#10;Root cause: 1.PMIC Crack，all of 3.&#10;Solution:Feedback to ME"/>
        <s v="[S3]Issue: DVT1A Soifa NA (WH118493) :Unable to power on.A5(4)  (Unexpected auto power off first A5:drop back side&#10;,and then after drop right side,can not power on)&#10;Root cause: Solder Crack&#10;Solution:Feedback to ME，ME Follow"/>
        <s v="[S3]Issue: DVT1A Soifa NA (WH118794) :Unable to power on.B1(2)&#10;Root cause: 1.Pmic Crack Vertically&#10;Solution:Feedback to ME，ME Follow"/>
        <s v="[S3]Issue: DVT1A Soifa NA TMO drop(WH118494) FVCT11&#10;Sofia NA:Unable to power on.D10(28)&#10;Root cause: 1. PMIC Crack&#10;Solution:ME Follow&#10;Action:"/>
        <s v="[s3] why sofia na using 3+4+3 PCB Layers while sofia row using 2+6+2 which lead to cost up 0.4$-0.5$?&#10;clue:Sofia NA PCB design is compatible with Sofia+ NA/row&#10;clue:NSMD on Memory and CPU in Sofia Row&#10;RootCause:1) PI/SI Simulation not Pass&#10;2)SMD"/>
        <s v="[S3] Sofia NA 54 Pin VS Sofia Row 40 Pin&#10;&#10;Root Cause:1.FM+Audio Jack&#10;2.1ME : Ensure Audio Second SPKer on top&#10;2.2 Proposal:PCB Compact Design&#10;3. Sofia Row Reference Sofa NA ,Have some Improvement later.&#10;&#10;Solution: 0.006$"/>
        <s v="[S3]Issue:  Sofia+Unable to power on- WH118591,  B3(5)&quot;B3:after shaker back side.&quot;&#10;Clue:&#10;1. AVDD of PM6125 is reducing,off current is 0.13mA&#10;2.Press PM6125 ,AVD hold at 1.8V ,and can power on&#10;Root cause:&#10;1.  PM6125 solder crack &#10;2. ME stress to high on PM"/>
        <s v="[S3]Issue:  Sofia+ Unexpected auto power cycle on- WH118591, A3(4),B1(4),B3(5)&quot;A3:drop back side.B1:drop right side.B3:after shaker back side.&quot;&#10;Clue:1.check with log，shows XVDD_SHUT down，maybe battery is absence or VBAT or B_PLUS short to GND&#10;          2."/>
        <s v="[S3]Issue:  Sofia+ headset abnoraml when used 02b sub board&#10;Clue:1.  The mic which striked form sub board is ok&#10;          2.  The mic hold on the pcb is &#10;Root cause: proposal 1 ,ME design no buffer with Audio BOX in EVT  causing D501 crack&#10;Solution:1. DVT"/>
        <s v="[S3]Issue: Soifa+ uplink no signal on headset mode used 02b sub board&#10;Clue: The mic which tear down from board is ok.&#10;  Root cause: The mic hold on the 02b sub pcb is blocked off, PCB vender process error."/>
        <s v="[S3]Issue:  &#10;EVT ESD Sofia NA(WH117724) &#10;1）didn't test front side since easy to auto power off while testing it except display area&#10;2）unexpected auto power off：D4(+8KV Air Zone16）&#10;&#10;Root cause: &#10;1. JTAG is interfered by ESD. In detail, a loop made up of JT"/>
        <s v="[S3]Issue: TP no function after ESD.&#10;Clue: &#10;1. +8kV AD on TP IC area, and -15kV AD on FPS area, with TP facing down.&#10;2. NO INT signal to AP when touching. SPI is well functioning.&#10;Root cause:&#10;1. TP enter big palm mode, and filtering any input outside.&#10;Sol"/>
        <s v="[S3]Issue:  Edu04 Reverse Polarity Test Fail in EVT WH117718&#10;Clue:1.  fail units D501 crack  2.RD units test pass &#10;Root cause: proposal 1 ,ME design no buffer with Audio BOX in EVT  causing D501 crack&#10;Solution:1. DVT1 ME check  gap between Audio BOX and D"/>
        <s v="[S2]Issue: can not open flash led during test in the factory sometimes&#10;Clue:1. when the issue happens, need to take off the battery. Root , power off b no help &#10;          2. Usb_in_mid voltage is 5V  ok (VDD_flash),but Flash_led1 0V，no output&#10;Root cause: "/>
        <s v="[S2]Issue: Unexpected auto power off- Sofia+(WH117750）B3(1) &#10;Clue:1. It can be turned on normally.but Display abnormal&#10;          2. The log shows can't  read the ID of display, and advise me to update SW&#10;Root cause: &#10;       1. proposal: update  SW to the "/>
        <s v="[S3]Issue:  Sofia   auto power  power off  1 time , WH118417 D4,D10 （TMO Drop） ，top side drop&#10;Clue:1. Can not reproduce&#10;Root cause: &#10;Solution:1. &#10;Action:"/>
        <s v="[S3]Issue: Unable to power on-WH117715 (sofia na) A6（4）  post shaker inspection. IKSWQ-4345&#10;Clue:1. always Auto power cycle   ,check by chenwt 8/1 .SW  checking log  (power about 28S and then  power cycle)&#10;Root cause: 1.Speculation modem or wifi block pro"/>
        <s v="[S3]Issue: Loudspeaker noisy. Sofia Na EVT ALT WH117715 ,B1(1)&#10;B1(1)：&#10;Root cause: &#10;1.Audio AMP Boost Broken(because of damaged boost inductor).&#10;2.Boost Inductor laminated duo to partially glue between inductor surface and shielding case in drop test.&#10;Solu"/>
        <s v="[S3]&#10;Issue1:  Front &amp; rear main camera no image  (Display Blank,unstable)  ALT WH117715B1(3),B2(4) ,A1(5) &#10;Issue2:  Front &amp; rear main camera no image  (Display Blank,unstable) ALT WH117750(sofia+)：A2(4) after drop    &#10;&#10;Clue:B1:(N2SR010084) ,A1:(N2SR010083"/>
        <s v="[S3]Issue: L-sensor no function after ALT EVT ALT Sofia NA(WH117715)，A1(5),B1(5)&#10;A1：Can not reproduce &#10;Clue: LCD module is  tilted&#10;Root cause: &#10;Solution:  &#10;&#10;B1：reproduce &#10;Clue: ALS can work, but reading data in Qsensortest is very small. The reading in of"/>
        <s v="[S3]Issue: P-sensor no function after ALT EVT ALT Sofia NA(WH117715) ，B 3（5），B4（5）&#10;&#10;B3：Can not reproduce &#10;Action： TCC for red dye test,unit broken，close.&#10;&#10;B4： Can not reproduce&#10;Clue:LCD module is  tilted(checked by ME Guilin) &#10;Root cause: &#10;Solution: 1.ME "/>
        <s v="[S3] Issue: rear main camera not work  after EVT Tumble Test WH11717, D4&#10;Clue: 1. Main Camera I2C resistor abnormal. Should be wire crack&#10;Rootcause：&#10;    1.rear Camera can't work duo to I2C_SCL crack in inner layer under shielding case corner because of pc"/>
        <s v="[S3] Issue:   wide&amp; rear main camera not work after EVT Tumble Test WH11717, D5&#10;Clue: 1. Main Camera I2C resistor abnormal. Should be wire crack&#10;Rootcause：&#10;    1.rear Camera can't work duo to I2C_SCL crack in inner layer under shielding case corner becaus"/>
        <s v="[S2]&#10;Clue: Front &amp; rear main camera reuse a mipi switch U5000.&#10;Root cause: &#10;1.Proposal:U5000- CSI2 MIPI Solder Crack/U5000 VREG_L12A Solder Crack&#10;Action： Cross section will be done ，Plan TBD&#10;&#10;Solution:&#10;1.Proposal:Glue U5000&#10;2.Proposal:Reduce PCB Strain&#10;Du"/>
        <s v="[S3]7/31 TDD Noise Found in EVT &#10;Root Cause:&#10;1.SPK Coil Couple by Electro Megnetic Interference&#10;  Exp:Isolate and Loop Back SPK Coil P/N and Test  . Result:Noise heard. Conclusion:R1 Confirmed.&#10;  Exp:Move SPK out of Phone, and Observe .Result:No Noise . C"/>
        <s v="[S3]Issue:  EVB  test , phone shoutdown when test ,face up ,Without charging&#10;Clue:   1.can not reproduce With charging 2.face down ok&#10;Root cause: ESD couple through Jtag connector with ground plan  because a backhousing hole.  &#10;EXP: cover this hole ,RD re"/>
        <s v="[S3]Issue: Unexpected auto power off-WH117750 (Sofia plus NA) ：B3(1),A4(2) &#10;Clue: https://idart.mot.com/browse/IKSWQ-3900&#10;&#10;B3:drop right side. Units broken for TCC other test,can not try to reproduce.&#10;Clue:1.SW log check ：1 user power off found  , but No "/>
        <s v="[S2]Issue: Unable to power on- WH117750(Sofia plus NA)  A6(1),B6(1),A5(3)after drop &#10;&#10;Issue1：B6:drop left side.&#10;Root cause: &#10;1.Internal Reference Voltage Regulator AVDD Abnormal which lead to unable power on&#10;2.PM6125 Crack observed duo to PCB Strain&#10;Solut"/>
        <s v="[S3]Issue:  EVT build sofiaNA found 4pcs  Display  abnormal ,failure follow Main PCBA&#10;Clue:&#10;1.  Blacklight Driver inductor Or Diode damaged (3pcs inductor ,1 pcs diode )&#10;2. Check Backlight circuit:&#10;1).The inductor  PL5300 1.1A typical, 1.3A max,   The ind"/>
        <s v="[S3]Issue: Phone auto power off after ESD at rec deco&#10;Clue:&#10;1. There are 3 parts that could be affected by rec deo second ESD: P sensor, LCD, receiver.&#10;2. After removing P sensor, issue reproduced.&#10;3. LCD recovery well fuctioned.&#10;4. Receiver not GND to MB"/>
        <s v="&#10;[S3]Issue: P sensor no function(permanent) after ESD at rec deco&#10;Root cause: rec deco sencond discharge on P sensor IC&#10;Solution: &#10;Proposal 1: cut rec deco edge to keep away from P sensor IC;&#10;add discharge tip to LCD metal plate. Validate Pass. &#10;but will "/>
        <s v="[S2]Issue:  EVB ：When in charging mode ,Battery NTC report about 45 degree   ，but Battery module real temp is 30 degree.&#10; Clue:  Vbus OVP heat when charging , maybe impact NTC detect.&#10;Root Cause:&#10;1.  Vbus OVP heat when charging impact NTC temperature&#10;Solu"/>
        <s v="[S3]Issue: There is noise on the board when Display on,EVB  board+EVB Display module&#10; Clue:1. remove Display ,no noise.  It maybe  Bias current working noise. or Backlight driver noise.&#10;           2.The noise only exist when use 2p8s panel,when use 3p6s p"/>
        <s v="[S3]Issue: Sofia NA Cost VS Sofia Row,8$ Gap. Passive,Dll 0.56$, Sensor Gap 0.1$,PCB Gap:1.77$&#10;RootCause:&#10;    Passive ,DLL Gap 0.56$&#10;1.1 Cap Sensor LDO, -0.0176$&#10;1.2 FPS LDO ,-0.0176$&#10;1.3 Cap Selection(BB), -0.087$&#10;1.3 Buck Boost  ，-0.1$&#10;1.4 Total Gap lef"/>
        <s v="[S3]Issue: EVB SIM can not work:     &#10;RootCause:1. No VSIM 2.NFC power supply design issue cause no Vsim output to SIM card&#10; Solution:  1.NFC change  2. Reserve  0R  for Vsim because there maybe not NFC in some sku.  (will be done by RF)"/>
        <s v="[S2]Solution Risk:&#10;    Doha DVT  issue:  GPIO97  config to INT function will cause CPU can not sleep .  QC case：04068560&#10;RootCause: QC  SM6125 problem ,QC reply other Designer face the same problem , No solution From QC by 6/27&#10; Solution: change AUD_DSP_I"/>
        <s v="[S3]Solution Risk:&#10;       USB OVP  2 ball input and output , 3A  charging current ok?&#10;Solution:check with Vendor ， the test data show it is ok . "/>
        <s v="[S2]Design Risk: Nomad Uplink performance .  &#10;    Clue:Nomad=4.3 &gt;4.0 , Test Pass. No Risk.&#10;RootCause:&#10;    1.Mic Uplink noise lead to nomand loss&#10;   Exp1.1: Rioh test result &#10;    2.1 Audio Codec Ground and Earphone GND Voltage Level difference&#10;   Exp2.1:R"/>
        <s v="[S3]Design Risk:Upper limitation and low margin in DDR Routing Impedance&#10;Clue:Micon 4+64 Pass Simulation&#10;Root Cause:&#10;1.Impedance control can't be with good margin due to  distance between layers.&#10;2.Thickness Locked to 0.716mm duo to Cost Balance.&#10;Solution"/>
        <s v="[S2] Solution Issue:&#10;PM prefer Sofia NA BSP Target=72Hours@50th but currently Sofia BSP=56.1 @50th&#10;Root Cause:&#10;1.BSP Output&#10;Solution:&#10;1.PM Sync the Actual BSP. "/>
        <s v="[S2]Solution Risk:&#10;     Pesnsor/REC Deco ESD &#10;RootCause:&#10;1.Rec Deco Floating&#10;2.P-sensor Closed to Deco&#10;&#10;Solution:&#10;1.Proposal:Extend Rec Deco GND more close to Display Shielding Can. EVT Verify.&#10;EVT test fail ，new issue list，DVT1A go with reserved solution"/>
        <s v="[S2]Solution Issue:&#10;Use I3C  A+G that cost up 0.2$&#10;&#10;Root Cause:&#10;1.No SPI Interface support in SM6125 lead to use I3C&#10;2.HIFI AR Core Require High Speed Data Bus.&#10;3.Moto G Support HIFI AR Core Requirement to support Google App.&#10;&#10;Solution:&#10;1.Keep I3C Design&#10;"/>
        <s v="[S2]Solution Issue:&#10;Discrete P-Sensor Solution totally Cost up 0.5$ &#10;Root Cause:&#10;1.Discrete P-Sensor Cost up 0.3$,  CTP Cost up 0.2$&#10;2.Narrow Gap on the forehead suggest by ME&amp;SME&#10;3.Normal 3in1 P-Sensor Can't Fit.&#10;4.FPC Can't Afford enough space.&#10;Solution"/>
        <s v="[S3] Issue: EVB build always enter 9008 mode&#10;Clue:9008 can blank flash ,but can not enter fastboot mode&#10;root cause: GPIO118 pull high to L9A ,cause the Boot mode incorrect. &#10;solution:1. DNP  R5006 for EVB build  -done&#10;                 2.  EVT sch  delete "/>
        <s v="[S3]&#10;1.4 pin 版与2 pin 版的利用率 （方正使用2pin可以提高）&#10;2.打孔的数量&#10;3.贴片效率&#10;4.打板的数量，华为4次，oppo 2次 ， 影响他的交付，&#10;5.混搭大板和小板&#10;5.阻抗线低于40um的，LDK，355D，射频要求45um以上，285."/>
        <s v="[S2]Issue:Game performance, Asphalt 9 high quality Display setting, FPS=22fps  ,VS 30FPS of Redmi K30&#10;Clue:1.CPU big core almost not work ,just Small core working.  Vs Redmi K30 Big core working more.&#10;        2. GPU working with full Frequence and usage ."/>
        <s v="[S3]Issue:Second Vendor Micron 6+64, TombStone Issue found on 1 DVT1 unit from DFer. &#10;clue:&#10;1.Total 661 pcs produced in 3T , Plan on 7/20 shipping request 2K.  Hynix is first vendor .&#10;2.Memory FW 106&#10;&#10;Root Cause:&#10;1.UFS communication issue found through Lo"/>
        <s v="Issue: Build PROX_SENSOR_UNCOVERED_RADIO :CT  too large ,over SPEC&#10;Clue: 1. CT  OVER SPEC issue  follow  LDA module (front housing+p-sensor+CTP)&#10;           2. 1 unit component Vendor checked component is ok. &#10;          &#10;Root Cause:  suspect 1 : assembly i"/>
        <s v=" Issue: Thermal ,RF power limited in certification. &#10;Clue:  1.High temp test fail （should be Thermal config limited  RF power) &#10;Root Cause: &#10;Solution 1： "/>
        <s v="Issue:ESD，PVT ATT SKU  WH127075   ，D2                            &#10;1：The charging LED is always on after 15KV air discharge:1台  Zone 13&#10;Clue: 1. Zone 13 ：face down ，upside&#10;          2.  SOL_LED  work sync with it Power input VREG_BOB. suspect PM7150L damag"/>
        <s v="Issue:ESD，PVT ATT SKU  WH127075                       &#10;2：unable to power on after 15KV air discharge：1台 Zone1 &#10;Clue: 1.           a&#10;Root Cause:  P-sensor power(L10A) abnormal impedance（ 660R）&#10;Solution ： ME follow the glue quantity between front rim and fr"/>
        <s v=" Issue:  VZW  ,EN55035 ,CS  fail&#10;Clue:   &#10;Root Cause: &#10;Solution 1： change Volume. changed  by adb and retest pass"/>
        <s v="Issue: DVT1  AR Core certification fail: calibration fail.&#10;Clue: 1.calibration including camera &amp; A+G  sensor&#10;           2.A+G sensor should be Invensence (2nd source which only build in DVT1 unit)&#10;           3.Depth camera change in DVT1, the test phone "/>
        <s v="[Monitor]  Issue: PVT EDu03【WH127058】&#10;light and proximity sensor no function:D1(NNIE430147) (15KV, Zone1）&#10;Root Cause:P-sensor  INT abnormal  ，Component damaged &#10;Solution 1：ME follow the glue quantity ( 0.33mm-&gt;0.5mm)"/>
        <s v="[s3] Issue:Factory rework Umcp &amp;CPU  ,PCBA go into 9008 dirrectly  and can not download  （3 pcs  in 3pcs）&#10;clue:1.Blankflash tool log show UFS initial fail ;2.uMCP is KM5V8001DM-B622  （didnt rework other memory）&#10;3. AB swap(uMCP )， fail follow uMCP; 4. rewo"/>
        <s v="[Monitor]Risk:Nairobi Thermal on 5G Scenario&#10;Clue:Heat Feedback on WeChat Video Talk and Teams Meeting etc.when 5G working on both Downlink and UpLink,5W+.Over 45°C when long time used.&#10;Clue:Mdu30 Pass ,Except 5G Scenario duo to lack of 5G Environment in "/>
        <s v="[Closed] Risk:liberty Backlight damaged issue &#10;Clue:DVT1-DVT2 no Issue feedback. Run in 100 units，No Issue. &#10;Clue:Exp: PVT Run in 1000 , Monitor 6/? &#10;Potential Root Cause: &#10;1.Temperature,Over Heating on PM7150L or Switching Inductor? &#10;Exp:Run in on 50 °C "/>
        <s v="[S3]issue: Nairobi Thunderbolt USB port detect fail issue(SM7250)    。 &#10;具体issue：Nairobi 5G项目，在部分电脑 雷电口可以识别USB， 部分电脑 雷电口不能识别USB。（目前测试 Lenovo 2台T470S ，还有1台T480电脑， 都有问题。 只有1台T490 电脑ok.） SW QC CR：Case Number 04621321 &#10;Clue: 1.  SM7250平台的Racer 5G 同样的表现&#10;       "/>
        <s v="[Monitor]Issue: Adaptive brightness mode，brightness shows 0%,screen flash sometime&#10;Clue： 1. Backlight current=(hal/4095)*CABC duty circle*25mA，brightness 0%,hal=19，Cabc duty=79% ,backlight flash.  hal=19, backlight current= 0.0916mA/sink， hal=34, backligh"/>
        <s v="[Monitor] Issue: DVT1 EDu03[WH124614]Kernel panic;D3(15KV zone6）&#10;Clue：1.Cap-Sensor No Function   2.Duplicated&#10;Root Cause: &#10;             1.Cap sensor ATVS  VR100 damaged duo to EOS .&#10;             2.Speculation:ATVS Rated Voltage Margin not enough&#10;         "/>
        <s v="[Monitor] Issue: Build found some M-sensor surface scratches &#10;monitor  SMT process from5/11  by  NPI"/>
        <s v="[Monitor]  Issue: DVT1 EDu03【WH124662】&#10;light and proximity sensor no function:D4(15KV, Zone3）&#10;Root Cause:P-sensor  INT abnormal （35R to GND） ，Component damaged &#10;Solution 1：ME follow the glue quantity ( 0.38mm-&gt;0.5mm)，DVT2 import ，DVT2 EDU03 WH125964 pass"/>
        <s v=" Issue:    DVT2 ALT WH125967   D4,D5  P/L sensor no function &#10;Clue：  1.CQA  Psensor can not enter, Lsensor no data&#10;Root Cause:  1.Speculation: P/L sensor crack issue.(same AS issue found in DVT1).ME  follow&#10; "/>
        <s v=" Issue:    DVT2 ATT WH125966   D2 cap sensor no function &#10;Clue：  1.CQA  All channel unknow ,reboot can not recovery&#10;Root Cause:  SW issue &#10;Solution ： Fixed ,from 5/15"/>
        <s v=" Issue:    DVT2 ATT WH125967   D4  headset no function&#10;Clue： 1. report checked All MIC no function with headset&#10;            2. MIC analysis show ALL mic ok . SO it is headset downlink issue.&#10;Root Cause:  Sub board crack (area near headset jack)&#10;Solution ："/>
        <s v="[s3] Issue: Build  BrdTest Station,&quot;TURBO_CHARGE_CONNECTED&quot; Test Fail, Retry pass,NTF. Fail Rate:10%? CR: IKSWQ-90483,SW: QPN30.13&#10;Clue：1. most of fail PCBAs are VZW SKU.&#10;       Exp：Stress test with 2PCBA to check if it can be reproduce--Can not reproduce"/>
        <s v="[Monitor] Issue:  Background Noise observed on V07 PCB during Car Audio charging  &amp; Aux in mode ，  &#10;Clue :1. follow up Main PCBA. V06 No Issue.&#10;Root Cause:  1.HS_REF is ground well but still was Affected by MainGround that mainly used as Vbus Power Return"/>
        <s v="[Monitor] Issue: HeadSet Downlink TDD Background Noise observed on V07 PCB&#10;Clue :1. follow up Main PCBA.V06 No Issue.&#10;Root Cause:  1.HS_REF is ground well but still was Affected by Layer 4 MainGround that mainly used as RF GSM PA Power Return Ground. &#10;   "/>
        <s v="[S3]Issue: DVT1 EDu03【WH124642】[NNIA1C0043 /D4]&#10;2. -15KV air discharge at zone15(Aging 10),Cap sensor CH0 unknown&#10;Clue：1.直接用ROOT权限操作CAP SENSOR IC，IC可以正常输出各实际状态&#10;      2.自测碰到三个通道都unknown的状态，应该是权限问题(Permission)导致&#10;      3.在同平台smith在4月29日有修改权限配置，应该是HAL层不同导致。但之"/>
        <s v="[Monitor] Issue:DVT1 EDu03【WH124642】[NNIA1C0043 /D4]&#10;1. +15KV air discharge at zone13(Aging 10),proximity sensor/light sensor no function,unable to recovery&#10;Root Cause: 1.proximity sensor/light sensor  INT abnormal （100R to GND），Component damaged &#10;       "/>
        <s v="[Monitor] Issue:  DVT1 EDu03[WH124614]Kernel panic;D2(15KV zone6）&#10;Clue：1)P-Sensor no Function 2)Cap-Sensor No Function&#10;Root Cause: &#10;1.Kernel panic and P-sensor/cap-sensor no function duo to VCC of P-sensor  shorted &#10;2.P-Sensor Damaged by ESD duo to  glue "/>
        <s v="[Monitor] DVT1  Issue:Edu03 ESD Test，cap sensor function normally on D4(NNIE130086) on 4/15, but no function after reboot&#10;Clue：&#10;1.Remove VR100 on CH2 and the cap-sensor returns to normal&#10;Root Cause: &#10;1.Cap Sensor CH2/Addr affected by VR100(ATVS LXES03AAA1"/>
        <s v="[s3] MDu30[WH124618]&#10;FVC E1D，QPN30.19 ,20W 充电器,无热管,Speaker位置增加散热膜，display 2nd IC display 90HZ 场景验证（充电下,wifi streaming 手动设置）&#10;1）Camera photo front 42：44.6&#10;2）LTE data call at Max power front 38：39.7&#10;3）Game with charging back plastic 42:51.6&#10;4) Processor load"/>
        <s v="[s3] Issue: Build TEST L2AR Station,M-sensor fail，DVT2 10% (13/130)，NTF &#10;Clue：1. can not  reproduce with manually test (6 in 6,By  huaiyu &amp; Online ME Liuxiang)&#10;            2. other sensor  NTF too.&#10;           3. When issue happen the USB port is connected"/>
        <s v="[s3] Issue: EDu03【WH124662】&#10;1）the phone lock-up,restart to recover：D1(6KV contact，zone7）&#10;Root Cause: should be ramdump issue. monitor in New SW from 30.23"/>
        <s v="[s2] Issue: Build  CQA1,In CQA app, check battery information, find battery level jump,CR: IKSWQ-91703&#10;Clue：1.  NNIA1C0039 issue ,other can not reproduce&#10;2.Fail log:temperature jump too .t=25,-40,39  in one second!       &#10;3. Fail log:Battery remove and th"/>
        <s v="[s3] Issue: WH125660 A5，B1 auto poweroff 1 time&#10;Clue：Ramdump show it not  poweroff but ramdump too&#10; Root cause ：same as IKSWQ-89850，a QC bug .  found in ESD test too IKSWQ-85825&#10;Solution:fixed in SW 30.22 . monitor"/>
        <s v="[s3] Issue:EDU13 WH124523  Power ：battery performace Run local video  less than 5 hours （~=2.7 hrs）&#10;Clue：1.sofia plus more than 5 hours 2. Nairobi power log show average current is 1.8A.3.Battery capacity checked no problem（70% of 25 degree）. 4. Problem ："/>
        <s v="[s3] RISK:WH124577 ESD :In final TIS test, LTE band7 main antenna degradation exceeds 3db, and TIS value is also out of spec on D4(NNIV120109) on 4/24,&#10;Clue：&#10;Root Cause: Sending to XiaMen ANT for further FA 4/24 ，Will Open after Ant Check&#10;针对这台B7的问题，ANT暗室同"/>
        <s v="[s3] Issue:Thermal  WH124559 Game with charging plastic 42:59&#10;Clue：Stale data，NA &amp; Close&#10;Root Cause: "/>
        <s v="[S3]Issue:DVT1-1 P sensor CQA test can enter but no reading 4/40pcs&#10;Clue: 1.log show phone in FAR(0) state 2. restart phone, test ok 3.can reproduce sometimes 4.Seperated I2C . 5.Reproduced once on Stress Test on 1 unit @Stay Still@Change Light Frequently"/>
        <s v="[s3] Issue: sleep current abnormal （25mA）after open and close camera APP&#10;clue:1.  remove all the camera module ，PCBA sleep current  is 25mA too&#10;Root Cause: 1.  AXI port Resource Request，No Vote Mechanism to exit and Continually Occupy resource which lead "/>
        <s v="[s3] Issue: 2 PCBAs go into 9008 always ,From RF debug &#10;clue: 1. have current leakage (1#100 mA ,2#300mA)    &#10;2. can blankflash but go into 9008 again   &#10;3.S4A impendence abnormal. 1#=13R ,2#=4R  &#10;4.remove CPU and S4A impendence ok 5.S4A is close to Vbus "/>
        <s v="[S2]4/12 DVT D1 After +15KV air discharge  at zone 13(Aging4),No Main display&#10;1.Grounding OK.&#10;Root Cause:1.Display Affected. Sending to XiaMen for further FA 4/14&#10;Solution:1.Dispaly damage, and KP further FA"/>
        <s v="[S3]Issue:  CQA P-sensor No Value，ALS Stuck，Restart ok&#10;Root Cause: Share Same Root Cause with Intrupt hung.&#10;Solution: SW Fix"/>
        <s v="[S3]Issue: Factory SW FB :NAIRO_IFLASH_DVT1_005_894.xml.zip  PS  can not enter .&#10;Clue:SW poblem,NAIRO_IFLASH_DVT1_004.xml.zip is ok. &#10;Root Cause: SW Power config issue  &#10;Solution:SW change  https://gerrit.mot.com/#/c/1536341/"/>
        <s v="[S3]Issue: L2站点有发现，ALS/PS rawdata偏小， 重启后依然fail&#10;Root Cause:麦拉遮挡PS 孔--by  Huaiyu&#10;Solution:Factory own"/>
        <s v="[S3]Issue: CQA  PS 正常，ALS 一直dark，不变化， 重启后依然fail&#10;Root Cause:ALS 校准bug有关(重新刷机可以解决)--by  Huaiyu&#10;Solution:SW own"/>
        <s v="[S3]DVT1-1 ALT(WH12455) A6(5) Magnetometer no function&#10;Root Cause:1.M-sensor crack  2.M-sensor too close to board edge&#10;Solution:1.V07 PCB  change M-sensor far away from board edge ,done。 monitor"/>
        <s v="[S3]Issue:EVT EDU14 WH124347，surge test fail ，D1 &amp;D2 Vbus At 150V&amp;100V fail（unexpected auto power off at plug in the power）&#10;clue：&#10;1.first project to use Will TVS for surge.   other project use NXP  TVS for surge&#10;Rootcause: 1.New Part WILL SF68C56226 Edu14"/>
        <s v="[S3]DVT1-A(V07) Magnetometer placement change cause SW parameter update&#10;Root Cause:1.M-sensor crack  2.M-sensor move from BOT to TOP on mainboard&#10;Solution:1.SW parameter compatible by HWID。&#10;2. HW of Japan SKU reserve 2 placements for M sensor to make SW c"/>
        <s v="[S3] Issue:EVT CE CS Pre-test Failed, Over 15dB@4.5MHz@UpLink&#10;Root Cause:&#10;1.CS Uplink failed due to Audio Ref Signal not balanced and Echo Suppression Algorithm Take Effect.&#10;Solution:&#10;1.Fine tune Coupling Capacitor and inductor on Ref on newest audio conf"/>
        <s v="[S3]Overheating risk are on speaker&#10;Root Cause:1.SPK Heating&#10;Solution:1.Add Graphite on SPK Box.Test Pass. ~0.15￥，No Volume loss"/>
        <s v="[S3] 1 unit NNIV040046 can not power on sometimes. unstable&#10;clue: 1.SW check it is related to a SW debug function D+ short to gnd  will run EDL mode ，then release D+ will enter 9008&#10;2.test R between D+and GND it is ok sometimes&#10;3.copper for mmw ANT cover "/>
        <s v="[na]Issue:EVT CQA Report Rear Camera Record Stuck,FR：4/53=8%（IKSWQ-80124）&#10;Clue： 1.Follow Mainboard 2.Only happen in RF connector  SMT in wrong direction 3.when in flymode there is no issue&#10;Root cause：1.MCLK Signal dispear after few seconds when camera sta"/>
        <s v="[S3]Issue：EVT ALT WH124343， A6(1) Flashled always on ， including power off mode.&#10;clue：1.Light unstable when knock the phone around Flash LED.&#10;Rootcause： &#10;1.Flash LED on due to spring M1811( Flash LED2+) and M1813(WLED_CAM) short which caused by cracked re"/>
        <s v="[S3]Issue：EVT ALT WH124343，No Turn On ,A1&#10;Clue:1.Turn on after changing Display. but PCBA cannot power on when unit arrive in XM&#10;2. Main FPC： B to B pin deformed，can not assembly well ，may cause pins short  when press B to B （will heatup when plug in char"/>
        <s v="[S3]Issue：EVT ALT WH124343，loop5，Display DIM:B6(1)&#10;Rootcause：4/2ME can not reproduce，waiting for KP check                       "/>
        <s v="[S3]Issue：EVT WH124356 ATT11+WH124357 ATT12 ，D1 ，not turn on（when unit arrived XM ME）&#10;Clue：1.enter fastboot mode but shut down within 5 sec.  &#10; 2.can Blankflash ,and enter fastboot mode and not poweroff ,but when flashall,phone reboot ,it will reproduce f"/>
        <s v="[S3]Issue：EVT RD ALT*2round evaluation，ALS/ps fail  3 in 6 (including 2 in 6 sol LED fail too)&#10;Rootcause： ME middle housing deformed  causing P-sensor component damaged and LED damaged too.    &#10;solution:  ME own.  ME action 1. ：enhance housing strength by"/>
        <s v="[S3]Issue：Nairobi 目前的SW 关机状态下，短按开机键 屏幕会闪一下,CR(IKSWQ-79283)&#10;Clue： 时序测试：现短按开机键时，mipi输出后，背光亮起的时间有差异。短按是mipi数据输出60ms后，背光开始输出，长按开机键，mipi数据输出500ms后，背光开始输出. 希望SW 分析&#10;Rootcause：SW reply 结合代码走查，发现了个code的BUG,预计解决 by  4/2&#10;check ok with SW 4/8"/>
        <s v="[S3]Issue：EVT ALT WH124343，No Turn On ,A1&#10;Clue:Main FPC connector deformed.&#10;Rootcause： assembly issue&#10;Solution: ME Own 1.correct Allsmbly  in DVT1.   2. checking if need to change Main FPC for better Allsmbly "/>
        <s v="[S3]Issue：EVT ALT WH124343，loop1，Cannot enter front camera mode:A2(1)&#10;Rootcause：ME FA   B2B Issue  ，should be assembly cause connector damaged  4/2"/>
        <s v="[S3]Issue：EVT  ATT drop WH124356， Proximity sensor and light sensor no function:D1(27,T,1.25m),D3(12,B,1m),D4(45,T,1.5m)&#10;Rootcause：ME middle housing deformed  causing P-sensor component damaged,same as ME evalution test. ME own the issue tracking"/>
        <s v="[S3]Issue：EVT  ATT drop WH124356， Cannot enter rear 4 camera mode：D1(3,F,1m),D3(21,F,1.25m)&#10;Rootcause：Macro camera fail.  B to B connector dissasembly.ME own the issue tracking"/>
        <s v="[S3]Issue：EVT ALT WH124343，loop2，unable to power on after top right corner drop:A1(2)&#10;Rootcause：DISPLAY FPC在近主板B2B的弯折区有严重变形，并且display module的B2B 边框区域有明显塌陷，图片已上传GD&#10;主板没有问题，更换display module后可以正常开机。ME&amp;KP own the issue tracking"/>
        <s v="[S2]Issue：EVT ALT WH124343，loop2， P/L sensor no function after top side drop:A1(2),B5(2) &#10;Rootcause：-sensor component damaged,same as ME evalution test. ME own the issue tracking"/>
        <s v="[S3] Risk：Ringlight driver  hotplug risk when assembly rear hoursing.&#10;Clue:Ringlight driver always output Vbat -0.3V  on WLED_CAM . it may short to Flash LED2+ when assembly. will it be a issue?&#10;Evaluation:   1. Very Low chance to misassembly rear hoursin"/>
        <s v="[S3]Issue：EVT ALT WH124343，B1(1) No display&#10;Clue:1.手机可以开机，无显示&#10;2.拆解后，没有发现明显Display B2B翘起，在重新扣合B2B后，显示恢复正常&#10;目前看到的2台机器，FPC弯折区都有明显往一个角度弯折&#10;Rootcause：  suspect Display module issue , KP own the further analysis"/>
        <s v="[S3]issue: 10.1.1 Nairobi EVB USB 2.0 eye test fail&#10;     Clue:USB phy tuning have 4*  8 bit register X0,X1,X2,X3 &#10;        QC default parameter :0xA1,0x43,0x2E,0x03&#10;solution:     parameter tuning to:     0xA1,0x03,0x27,0x03    .Test pass       .&#10;SWchange p"/>
        <s v="[S3] Issue：V03 FPC outline not match ME requirement  ，found by FPC vendor&#10;Rootcause：  1.get wrong V02 PCB  2. didnt complete ME check process before gerber out&#10;              Solution: 1.Update V03  FPCgerber&#10;                    lesson learn :1.Need CAD up"/>
        <s v="[S3] Issue：V03 sub ，panel and audio jack overlap （0.09mm*0.05mm）&#10;Rootcause：Panel check before Audio jack change done.              &#10;Solution:   EVT build :push audio jack before reflow ,and 100% check smt status after reflow&#10;                 DVT1 :Panel c"/>
        <s v="[S3]Issue： Camera control pin on PM7250 Voltage =3.8V ,not 1.8V (total 5 pins)&#10;Rootcause：PMIC MV GPIOs can config to hight voltage ot low voltage (1.8V)              &#10;Solution:   SW change PMIC MV GPIOs setting to Low voltage -done"/>
        <s v="[S3] Issue：Receiver Pads placement do not match ME LDS design&#10;Rootcause：1.Recierver Pads placement do not match ME LDS design&#10;                2.why review and design not match? TBD---zhihao&#10;Solution:   PCB04&amp;05 Phone :PCBA remove GND spring , ME add a cop"/>
        <s v="[S3]  Issue：Deepsleep current =20mA+ @ 3.8V,over spec about 15mA  on EVB-B V01 PCB&#10;Rootcause：&#10;1.VREG_S4A_1P8=14.6mA @ 3.8V,over spec 12.73mA due to mmW config. not ready&#10;   1.1 after calibration,VREG_S4A_1P8 down to 2.1mA &#10;   1.2 flash SW which add mmW co"/>
        <s v="[S2]issue: EVB WH123730 MDu66-Eval Product Bend Test not power on ,D4&#10;Clue:  WH123730 D4:&#10;1.Vbat=3.79V, can not charge up, with a power supplier no big current, 23 mA with powerkey pressed .&#10;2. PMIC shielding case seems been reworked &#10;3. reheat PM7250&amp;PM7"/>
        <s v="[S3]issue: EVB ALT WH123729 not power on A3 (Loop3). Other units fail too after some days.&#10;Clue:  A3: &#10;1.Vbat=2.78V ,can not charge up, can power on  with a Good Battery ,but suspect no charging current into Vbat（Can detect turbo charging） . No IC crack f"/>
        <s v="[S3]Risk: FPS soft fail after ESD.&#10;Clue: Because of ME design limit, FPS module GND is very weak, and no metal deco.&#10;Probable Cause:&#10;1. FPS driver deadlock after ESD, cannnot response to AP's command.&#10;Precautionary Measures:&#10;1. Add 100ohm series resistace"/>
        <s v="[S1]Risk: No solution for ANT ESD protection.&#10;Clue: &#10;1. ANT is exposed  at the gap of inlay.&#10;2.Murata A-TVS ESD protection performance is weak.&#10;3. Infenion's TVS has better ESD protection performance, but with large harmonic. ESD128 -20dB, ESD 103 -40dB.&#10;"/>
        <s v="[S3]Issue:  Jtag pin wrong&#10; Root cause:  copy racer sch but replace connector with sofia parts&#10;Solution: 1. EVB-B  wire out for bringup---done  ，bringup ok&#10;         2.EVT change SCH refer to sofia sch---done &#10;20200313 V04 PCB checked ok by Wangxf14"/>
        <s v="[S3]Issue: Macro camera bringup fail&#10; Root cause: Mipi design, CSI3 Lane0 P/N swapped.&#10;Solution: 1. rework to swap Lane0 P/N by flywire for bringup ok&#10;2. Correct connection in EVT sch&#10;20200312 V04 checkedok"/>
        <s v="[S3]Issue: A+G 上电时有个51mA VDD脉冲电流&#10;Clue：MISO 和 电流脉冲有周期性出现，可能有关系&#10;Root cause: PIN2/3(connected to GND) sink current&#10;Solution: PIN2/3 connected to VDD/VDD set to NPM mode at power up"/>
        <s v="[S3]Issue: 1.1.1 Nairobi Fastboot fail after Blankflash in EVB-B  build，about 50% units fail&#10;     SW QC CR ：04388408  ，ongoing ---王小峰&#10; Clue:1. 按开机键后VBAT 电流从几十mA到200+mA变化，未掉电&#10;           2. log  ：fail after QSEE load ，可能安全建制部分有问题导致系统触发reset&#10;           3. lo"/>
        <s v="[S3]  &#10; case ：From Chicago John Gorsica： in talking to CTO audio team (Marley integration),   have learned that Qualcomm's software implementation expects a separate bus for the EC (echo canceller) reference signal.  Our original plan was to use I2S TDM m"/>
        <s v="[S2] QC BB review：Recommend use normal GPIO MI2S instead of LPI MI2S for 3rd party codec. LPI MI2S may met jitter issue for 3rd party codec. We have CR2547793 for LPI MI2S 48kHz jitter issue, pls check with audio sw for CR status.&#10; QC SW answer： will solv"/>
        <s v="[s2]Issue:  试用机PVT ，wangqifu的机器，试用一段时间后，OTA SW 然后发现有时候充电慢。&#10;                   售后一台机器报功耗高，暂时合并分析（接口信号异常了，qifu的机器概率性测试到异常，售后的一直测试到异常）&#10;  Tahoe  power consumption abnormal （After sale），IMEI 354001150843951 &#10;Analysis &#10;Clue:1.  Vbus ，USB D+ ，CC1，CC2，SBU output "/>
        <s v="[s2]Issue:  售后2台故障机报充电自动重启和充电慢问题&#10;clue: 1.354001150743953         充电时自动重启，插电脑检测不到手机        　        D+:827Ω，D-:398Ω；&#10;354001151119179         有时偏慢，有时充不进电，有时电量无变化    D+:372KΩ，D-:820Ω；&#10;2.怀玉 在武汉拆机分析发现CPU端阻抗异常，TVS 阻抗也异常&#10;Action：EOS测试失效的机器，TVS 和CPU 也都坏了，比较拟合，EOS？"/>
        <s v="[s2]Issue:  售后1台故障机报充电速度慢&#10;clue: 1.  USB  D+和D- 插入充电器时没波形。  关机测量对地阻抗异常，在1K R 以下 。正常是几百KR&#10;         2. 拆机直接测试主板测试点对地阻抗，D- =2.2R ，D+ =800+R ，异常&#10;         3. 测试小板D+、D-对地阻抗，10KR左右， 也是异常的。而线路上对地只有TVS器件。推测TVS器件也异常了。&#10;Root Cause:    怀疑是EOS导致。  那EOS来源是什么？机器的防浪涌能力如何？&#10;"/>
        <s v="[s3]Issue:  Linxee claim 2 pcs new devices freeze and reset during charging. &#10;clue: 1. Linxee 借用试产机 及 购买量产机器用来做DP to HDMI cable 产线测试，一台手机会和上千条cable 适配。&#10;          2.有2台新购买手机（总共买3台），第一次测试，测试到没电后，插充电器充电，然后开机发现就死机重启。    机器走售后流程中。&#10;         3.试产机器也有1台出现问题，故障机US"/>
        <s v="Tahoe：&#10;原始issue：Tahoe EVT板级测试 test 出现概率漏电流异常，800uA左右 。 正常关机没有复现issue。&#10;分析：非正常关机导致，漏电流电源确认是PM7150L的AVDD电源（内部电源），提case 给QC ，QC答复是PM7150L（或者PM6150L）申请 系统19.2M时钟后没有正常关闭导致一直耗电  。----RD  Wu Xuemin，NJ SW xuwei9&#10;解决： QC 给了个patch，尝试在我们这种工厂关机流程中去关闭19.2M时钟的申请，然后DVT1 SW"/>
        <s v="CR：IKSWR-35501  photo mode-The flash is on to take pictures, and the phone is automatically turned off&#10;Clue：Low voltage battery+DP+Camera+Flash  ，auto power off  &#10;Rootcause&#10;solution：change Flash current from 2.4A to 1.5A ，recheck ok"/>
        <s v="DP compatible issues"/>
        <s v="[s3]Risk: ALT ESD C1  +15KV  Zone3/4/6/7/8 auto power off，adn enters the system crash interface. recovered after pressing power key&#10;clue: 1.   &#10;Root Cause:  &#10;Solution:not reproduce&#10; "/>
        <s v="[s3]Issue: there are some phone freeze and dark screen problem inDF&#10;clue: 1. &#10;Root Cause:  SW&#10;Solution:"/>
        <s v="[s3]Issue: Mdu30 , 1.LTE data call fail &#10;clue: 1. Pass last test, Retest Pass.&#10;Root Cause:  &#10;Solution:PVT Retest Pass.&#10; "/>
        <s v="&quot;[s3]Issue:Edu03 ,  DVT1 test WH132624  ,D4,After +8KV air discharge at zone6 (Aging10),the phone drop call(2020/11/20 11:02)&#10;Clue:  1.   zone6 is  upper side   &#10;            2. just happen 1 time  in DVT1 total 4 round test. (16 units)&#10;           3. real "/>
        <s v="&quot;[NA]RISK:Edu03 , VT1 test WH132624  ,D1&amp;D2 After -8KV contact discharge at zone18 (Aging10),the phone Unexpected auto power off &#10;Clue:  1. zone18  is camera deco  ,middle 2 cameras (upper 2 cameras is Zone17)&#10;            2. D1 Rear camera(and Rear flash)"/>
        <s v="&quot;[s3]Issue: Mdu30 ,SPK 最大功率fail 。&#10;Root Cause:      1. SPK 石墨偏上贴了。2.石墨片偏小些&#10;Solution:&#10;      1. SPK 石墨往下贴一些，并且石墨片加大。   手工验证 往下贴 改善1.5度，再加大后总的改善2.7度。   PVT导入&#10;PVT test pass&#10; "/>
        <s v="[na]AnTuTu Performance-&#10; 1.Tahoe Total Score 60W （61.5W Best ）     VS IQOO5 Pro 66W - @12/2&#10;2. Tahoe GPU 24W+ VS IQOO5 Pro GPU Score 27W&#10;RootCause:&#10;1.CPU/GPU Config to Performance Mode, increased to 63W . - SW&#10;2.Speculation:GPU Optimize , Supposed to incr"/>
        <s v="[na]Issue:Audio headset Downlink TDD Noise was audible.&#10;Root Cause:&#10;1.1 Href Signal in layer 7 Affected by Grounding Layer 6&amp;8 in which Big Current Pass through  &#10;1.2 Big Current Path on Layer6&amp;8 duo to different Grounding Via placement in Whole PCB Layer"/>
        <s v="&quot;[s3]Task:  Tahoe Antutu Score test  SM8250-AA   =58W;SM8250-AB  =59.6W;SM8250-AC  =61W &#10;竞品 :      SDM865 Android R 的竞品就看到 1+的机型 8T，SM8250-AA （从CPU主频信息倒推）memory 是 12GB+256GB，跑分59W&#10;  pass&#10;提升机会：Android Q 竞品  IQOO5 跑到66W，GPU到达27W VS  tahoe的 23W+ ，有一定提升机会。 SW"/>
        <s v="&quot;[s3]Risk:  Tahoe Add 1 Dock which may impact M-sensor&#10;Evaluation:      M-sensor simulation checked pass.  can accaptable. &#10; Tahoe+ need more check for this case, Risk(maybe tahoe+ need this Dock too?) "/>
        <s v="[s3] Issue: DVT EPr02 Eval - eCompass WH131414 测试结果为 10°，目标是5°，暂停，等待确认结果&#10;Root Cause:1.parameter related &#10;Solution: tune done,RD self test pass .TCC  DVT test  pass  WH132626"/>
        <s v="[s3]Issue:Edu03 ,2nd round test , 2units can not power on&#10;Clue: D3 failed point is near P-sensor&amp;SOL_LED ,D4 failed on the chin.&#10;D3：&#10;Root Cause:&#10;      1.SOL_LED of PM8150L  short to GND which lead to fail to power on.&#10;      2.Sol_LED Strike by ESD through"/>
        <s v="[s3]Issue:Edu03  2/8 units  unexpected power off, recovered after rebooting &#10;Root Cause:&#10;1.System auto power off due to FPS Striked by ESD.&#10; Exp1.1:Disconnect FPS Con, Result:Not Reproduce.&#10;2.CPU Affected by ESD Through SPI of FPS&#10; Exp2.1:Disconnect SPI S"/>
        <s v="[s3]Issue: SW test ，Connect Jiewang（500G） mobile hard drive to the OTG cable phone does not recognize,IKSWR-11737&#10;clue: 1.change This OTG cable to a hub ,it it ok&#10;        2.Racer turbo(SM8250) can not recognize too. but other projects can recognize&#10;      "/>
        <s v="[s3]Issue:sleep current 8.6mA , can we lowdown it?&#10;clue:高通的参考数据4.7-6.7，我们现在关闭sensor后8.6mA&#10;Root Cause:&#10;1.Action 1: RRT31.13 版本分解各个模块耗电&#10;2.breakdown 数据看，除Memory 容量差异样（6G VS 8G），主要在VREG_S4A_1P8 上存在3.3mA Gap，QC上的数据应该只测了单路SM8250 PX3，&#10;Solution:&#10;VREG_S4A_1P8 功耗相对"/>
        <s v="[s3]Issue: Tahoe TOF calibration fail issue 2%~3%&#10;clue:ToF I2C probe failed &#10;Root Cause: Power on frequence dont meet Spec &#10;Solution: SW change Power on frequence to 5ms delay , temp  SW check ok, import in SW mainline with 5ms delay from 11/02&#10;lesson lea"/>
        <s v="[s3]Issue:Edu03 1/8 unit can't power on ,15KV Air Discharge on chin.&#10;clue1:PMU Damage&#10;2:leakage current of AVDD of PM8150L is 340uA,normal is 1.5uA&#10;3:press power key,REF_BYP of PM8150L no output&#10;4:AVDD leakage current and REF_BYP output of PM8250 is all n"/>
        <s v="[s3]Issue:Edu03  15KV Air Discharge at  MIC3 ,System auto power off&#10;clue&#10;1:  6 units (2units TCC+4units new drivers) 15KV +200 times/unit ,Result :Pass&#10;Root Cause:&#10;1.  SW issue&#10;Solution:&#10;1.Monitor DVT1 TCC test pass"/>
        <s v="[na] Issue: BT test ，IKSWR-6070，[BRDTEST] BATTERY_OFF_CURRENT_BOARD_1 Fail ，800ua  VS target 300uA ,Retest Pass，NTF。9/21, 11.9%; 9/22, 14.1%&#10;Clue1:Attaching Display and Power Cycle 100 times. No Issue.&#10; 2:open kernal uart log and remove display ,power cyc"/>
        <s v="[s3] Issue: ALT WH131408，B6 ，unable to read memory card initial and recovers after TH/TC in loop2 but the same failure repeats after TH/TC in loop5.  &#10;A4(5), B3(5)        Loop5 can not read memory card.                 &#10;A2(0)        unable to read memory "/>
        <s v="[NA]Issue: some LPD mis triggered isuse found ，&#10;clue&#10;1: no issue in Without redriver boards &#10;Root Cause:&#10;1.should be Redriver impact it&#10;EXP1:remove redriver  and checked ok:&#10;EXP2:ADD pulldown R on SBU to check LPD limit :300~400KR .&#10;EXP3:check Redriver Au"/>
        <s v="[na]Risk:DP Signal eye height 98.6mV in worst case(850mV and 3.5dB Pre-emphasis , not meet 104mV spec in No Redriver Solution.&#10;Clue1:with Redriver,Eye Height=145mV(Cost Up0.8$).&#10;2:with 1.6m extension cable,DP link ok in No Redriver Solution&#10;Root Cause:1.I"/>
        <s v="[s3] Issue: DVT EPr04 WH131416 After making a call, the screen turn off,cannot recovered by itself &#10;root cause: parameter related ,need tuning  by 9/30 ,not blocking PCB &#10;solution:SW change . done . self receck ok by 10/13"/>
        <s v="[s3] Issue:thermal ，在正常CQA 闪光灯打开时温度过高     ,手在靠近闪光灯的时候烫手，请怀玉帮忙看一下是否可以调整&#10;Root Cause: 默认电流300mA.超过标准的200mA左右。 &#10;Solution:1. SW  tuning  torch  current setting"/>
        <s v="[s3] Issue:thermal ，在正常CQA检验过程中手机温度会比其他项目温度高&#10;Root Cause:  1. can  not sleep .more power .  SW  not very stable , will refer to TCC thermal test data"/>
        <s v="[S3]Task: USB 2.0 eye test  ， devices mode test done and pass"/>
        <s v="[s3] Issue: DP Audio no function&#10;Root Cause:  Audio get information that it is HDMI ，so audio output with HDMI.   config it to DP output ,it will ok. need to find out why HDMI information report to Aduio.&#10;Solution:1.  SW workaround  changed ,and SW checke"/>
        <s v="[s3] Issue: OTG  output 1.6A loading ，有0.7V的纹波，频率160KHz左右。 1A 时是400mV左右，和其他机器类似。还可以接受。&#10;Root Cause: &#10;Solution:1.  "/>
        <s v="[s3]Risk ：TOF FPC上 Xshut pin 直连到VDD（2.8V），是否有风险&#10;Root Cause:  结构空间只够5个弹片，Xshut 评估有机会FPC上直接拉高来省掉一个pin，达到5个pin的目标。但是FPC上没有留上拉电阻，而是直接接到2.8V。后来追查结构上空间也非常有限，很难加 电阻在FPC上，除非万不得已 &#10;实验:1. ST L3 demo 板上直连Xshut 和VDD ，接2.8V电源，发现只有5UA漏电，可以认为没有漏电问题，可以接受&#10;          2.裸片IC单"/>
        <s v="[s3] Issue:thermal ，目前布局热管对不上POP 的CPU。 需要确认下如何处理。&#10;Root Cause: -受结构限制问题 （特别是中框件不能动） &#10;Solution:1. 布局或结构中框调整，让热管尽量靠近CPU热源&#10;风险低"/>
        <s v="[S3]Issue:SIM2 不识别&#10;Clue:1.SIM2通道有正常信号访问&#10;Root Cause:&#10;1.软件采用的初始NV 数据直接参考Racer，导致无法识别.&#10;Solution：1.SW调整NV ， 可以识别."/>
        <s v="[S3]Issue:无法Provision&#10;Root Cause:&#10;1.SW直接采用Racer上的UFS3.0，Memory Type 设置不对，我们使用的是UFS3.1&#10;Solution:&#10;1.SW正确配置Memory Type&#10;"/>
        <s v="Issue:Can't Power On with Leakage Current in After Sale ,12/20 units of not power on .  0.0x%&#10;RootCause:&#10;1.USB_CC;PM660 ,Pin27 ;VOL_UP;PM660A,Pin97&#10;2.USB Vbus(5V) Closed to CC1,CC2&#10;3.CC1,CC2 Maximum Voltage =6V&#10;Solution:&#10;1.Accept the failure rate.&#10;2.SM615"/>
        <s v="[S2]  Shelby P-sensor :can not power on when LED current set to 150mA&#10;Clue: &#10;RootCause: 1.LDO OCP 2.Wrong Configuration&#10;Solution:1.Right Configuration&#10;"/>
        <s v="[S2]Issue:User Feedback that Black screen when talk&#10;RootCause:&#10;      1.P-Sensor TMD2725 has bug on calibration, It occurs when IR of Sunlight transition when Calibrate.&#10;      2.Easier triggered on high gain 4X ，Normal 100mA,2X,or 1X is ok on golden eagle,"/>
        <s v="&quot;[S3]Power users roam to China and found Shelby had a short battery life.&#10;Clue: &#10;1.Using VRZ Sim 2.Ask another Power User who are roaming to china,Battery Life is normal,He closed the data link. 3.Houdini also have GMS issue &#10;Root Cause: &#10; 1.Proposal:4G c"/>
        <s v="[S3]Als no function &#10;Clue:Connetion Bad&#10;RootCause:Spring Contact Issue,ME Analysis&#10;OK2Ramp Pass，Closed"/>
        <s v="[S3]1 unit found Missing Pixel with  Mods Projector&#10;Clue:1.BT Pass,2.With Projector Mods Fail&#10;Root Cause:1.Solder Joint on AP DSI4&amp;5&#10;"/>
        <s v="[S2]   Issue:ALT WH105378 A5 loop2 Magnetometer sensor no function&#10;Root cause: 1.M-Sensors Crack by cutting force Observed on FPCA  2.M-Sensor was cut by Sharp Edge in the Slot 3.M-Sensor need glue more &#10;Solution 1.Expand Glue on M-Sensor&#10;               2"/>
        <s v="[S3]Issue:DVT3 Edu02 Magnetometer sensor no function&#10;Clue:&#10;                1.Magnetometer Sensor no function also found during Assembly&#10;                2.EDu02 on FPCA samples 10pcs checked Pass by Hongflex. &#10;                3.PVT IQC Sort FPCA,No Failure"/>
        <s v="[S3]issue：Media volume maximum,  when rear camera take picture  ,there are some vertical line.&#10;clue：Audio smart pa and rear camera avdd 2.8v ldo use the same B_plus power supply,&#10;Root Cause:1.Smart pa consumes large current ,  so B_plus voltage has a big "/>
        <s v="[S3]MyDP I2S Bring up&#10;SW Own"/>
        <s v="[S3]QC CR：03374129  moto CR：IKSWO-65523 &#10;issue： Kernel panic while streaming music and using BT headset B2GID:301816190    1 time&#10;clue： QC log analysis show：  This issue is happening due to memory corruption. issue is only once so far. Lets keep this in m"/>
        <s v="[S3]CR IKSWO-71285  One Unit Haptic feedback has stopped working / Audio Lost B2GID:301980855&#10;Clue:1.Log show I2C issue,new type  2.Re-Boot OK 2.DVT2a HW Version&#10;Root Cause:&#10;Solution:&#10;Plan:1.NTF,Monitor&#10;"/>
        <s v="[S3]Samsung Display White after ESD Zone 16&#10;Clue:1.&#10;RootCause:1.EMI Conductive Fabric on LCD Driver Area Introduce the ESD Energy 2. ESD Energy Flow Through Sensitive Area of LCD Driver&#10;Solution:1.Better conductive EMI Conductive Fabric to GND 2. Using An"/>
        <s v="[s3]Soft ESD Failure on Second Vendor TianMa D6 Unit,Reboot OK （8KV Air discharge）&#10;Clue:1.Zone1- P-Sensor/SPK no function ,Reboot OK  2.Zone1 -System Halt ,Reboot OK.&#10;Root Cause:1.Codec Affected by ESD through SPK &#10;Solution:1.Move TVS Position to the SPK "/>
        <s v="[s3]DTV app shows signal low when inserts usb with wall adaptor.&#10;Clue:1.&#10;Root Cause:1.Charger Detection Invoke USB while it is used for Video Steam&#10;Solution:1.Disable USB Invokation in these scenario&#10;Plan: Support SW, SW solve it"/>
        <s v="[s3]60% HDK Projector test Fail on DVT2B&#10;Clue:1.Projector Mods OK 2.Slim Port Routing is ok 3.Eye diagram OK 4.DP Link error ok 5.Fine Tune Drive Strength ，No Improvement&#10;Root Cause:1.DSI MIPI Lanes Set to  2 ,It should be 4 Lane. 2.Some Cable can't supoo"/>
        <s v="[S2]Issue:1. Shelby_IF_QBOOT_BLANK_FLASH_01_true fail  In DVT2A EMEA &amp;Brazil SKU . &#10;Clue:1.Erase DDR ,Can't reproduce &#10;2.heat Unit 1 memory about 100，200,300 degree，can't recover &#10;3.heat memory up to 400 degree ，Recovered&#10;4.Found Dirt under memory after T"/>
        <s v="[S3]Epr04 test fail in DVT2A &#10;Root Cause: P-sensor gain is too high &#10;Solution:1.change gain PLDRIVE to 20,build a new config (tested in XM ok)&#10;Plan:1. retest in Wuhan TCC with new config  by2/24&#10;Verification：1. new WH104491 test pass  at 2/23.    will che"/>
        <s v="[S3]-6KV contact discharge at zone 16(Aging 10),Mods function intermittently, recover after restart.&#10;-6KV contact discharge at zone 16(Aging 10),Mods function intermittently, recover after restart.&#10;Root Cause:1. CC pin ESD Suppression Not enough&#10;Solution:"/>
        <s v="[S2]Power off when Import TianMa LCM&#10;Root Cause:1.Power sequence mismatch between First Vendor Samsung and Second vendor TianMa&#10;Solution:1.Fine tune Power Sequence to meet both of them&#10;Plan:Verifing"/>
        <s v="[S3]Risk:Cap Sensor I2C Risk&#10;Root Cause:&#10;Solution:1.Reset SCL When Error Found&#10;Plan:1.SW arrange Pressure Test"/>
        <s v="[S3] 1.Some Unit Cap Sensor function not stable 2. CQA Test Cap Sensor Fail&#10;Clue:1.Happend when Wifi Scaning each 70S.&#10;Root Cause:1.Wifi Scaning Mode 2.Cypress FW filter&#10;Solution:1.Cypress improve filter,Far away need 6S Response time，DVT3 validation Pass"/>
        <s v="[S3] DVT2A,3/2600,  Mods Projectors still can't work&#10;Clue:1.1 Unit can’t reproduce 2.Change Anx7805,can’t recover&#10;Root Cause:1.ANX7805 I2C error .2.ANX7805 Reset Sequence issue 3.U5041 C4&amp;C5 Solder Joint by X-ray&#10;Solution:SMT Lead-Solder Paste Resize ,DVT"/>
        <s v="[S2]Issue:1.Cap Sensor Detection distance cannot match  ANT SAR requirement in DVT1B units &#10;Root Cause：1.Cypress Solution may not meet requirement 2.Antenna Pad Too Small,3.loading capacitor too big 4.FW Parameter need fine tune&#10;Solution:1.Reduce Loading "/>
        <s v="[S2]Issue: Harsu Mods can't work&#10;Root Cause:1.CSI2 P/N Swap ，DVT2A Revised  2.SW do not ready&#10;Plan:1.Support  Jon Bring up 2.Pressure test."/>
        <s v="[S2]U5040 Solder joint&#10;Root Cause:1.Proposal:Soler Paste Over Volume&#10;Solution:1.Fine Grain Stencil&#10;Plan:Give Advice to SMT on Stencil Grain"/>
        <s v="[S3]Issue:1.DVT1B  Second Vendor 4+64&amp;4+32 Hynix memory build . 17pcs can not flash in IF  .&#10;clue:1.Blankflash Success , 2.Fastboot mode failed , &#10;Root Cause:1.Qualcomm SW Driver Issue &#10;Solution:1.4G Weak DQS Pull Up Patch-SW "/>
        <s v="[S3]DVT2a Tianma display compare result in Max brightness，+2.5℃ &gt; samsung display&#10;          Clue:1.Decrease Brightness ineffective&#10;          RootCause:The power consumption of Tianma is higher than that of Samsung &#10;          Solution:1.Adding Graphite und"/>
        <s v="[S3]Issue:Remove the Charge,charge icon not disappear&#10;Clue:1.Only happen on AICL Closed&#10;Root Cause:1. PM660 Issue 2.Same as 98&#10;Solution:1.Qualcomm feedback no solution except enable AICL mode."/>
        <s v="[S3]Issue:DVT1A ESD Test Usb Fail 3 units&#10;D2：After ±8KV air discharge,The computer can not identify the UUT,can not recover.&#10;D3,D4：After -15kv air discharge,The computer can not identify the UUT,can not recover.&#10;Root Cause:1.D2-D4 Usb Analog Switch Damage"/>
        <s v="[S3]Issue: can't boot in low temperature environment (-10C°）&#10;Clue:1.battery capacity drop to 0%, so can't boot up 2.Sencond Vendor Battery is OK.&#10;Root Cause：1.Qualcomm Fuel gauge Algorithm issue,ESR+Rslow&gt;2ohm under -10°C&#10;Solution:1.Fine tune ESR coeffici"/>
        <s v="[S2]Issue:1.DVT2A Build Projector Failed&#10;Root Cause:1.I2C read 0X42,and then Fail to Write 0X02 due to clk bit halt on 6th bit due to I2C Arbitary mode&#10;2.The Rising of V1.0 Power of Anx7805 affect the CLK during 1us.&#10;Solution:1.Retry Reading IO expander-V"/>
        <s v="[S2]Issue:CE ESD Usb Link Fail&#10;Clue:&#10;Root Cause:Usb Data Transfer interrupt by GND voltage drop when ESD&#10;Solution:1.Proposal:Separate Signal  &amp; Changing GND with Shielding GND 2.Proposal:Separate Shielding GND with Cable 3.Better TVS with bigger Capacitor"/>
        <s v="[S3]Issue:Vibration/Earpiece speaker/Alert speaker function intermittently during ALT&#10;Root Cause:1.I2C Abnormal lead to Function intermittently &#10;2.Anx7805 I2C Abnormal lead to this issue.&#10;3.I2C abnormal when Anx7805 Pown Down and V1.0 Power Supply exit.&#10;S"/>
        <s v="[S2]Issue:Alt test after ESD,GamePad Mods keypad no input&#10;Clue:&#10;RootCause:1.ANX7805 Usb Port Damaged 2.ESD Proect May not enough&#10;Solution:1.Optimize ESD Protection，DVT2A imported&#10;Plan:Monitor DVT2A Test Status"/>
        <s v="[S3] NTF BT ：DVT1B   AMPS_MSMGPIO14_INITIAL_LOW_STATE fail&#10;Clue：&#10;Root Cause：1.Power Sequence Issue&#10;Solution：1.Initial C-Wire first，and start to test &#10;Plan：Verify on DVT2A"/>
        <s v="[S2]DVT1a  2 units（total 1500pcs） JOT  AMPS_NO_LOAD_CALIBRATION_STATUS fail&#10;clue：1.SN: NS9A110077 change U710/U711 to a new one retest pass by  liguoa&#10;           2.SN: NS9C120127 is under analysis by Xianhua&#10;           3.No Signal When Calibrate 1A&#10;      "/>
        <s v="[S3]Issue:DVT1A Power Consumption exceed 2mA,Failed at Standby Mode (6mA while BT/WiFi is on)&#10;Clue:&#10;Root Cause：1.Mods Anx7805 IC 1.0V Power Supply is not shut down. 2.This IC share the same Power Source with WIFI/BT,Enable Pin share the 3.3V Power Supply "/>
        <s v="[S3]Issue:1.DVT1a U5040,U5041 Solder open issue ，SMT suffered failure rate of 0.5% &#10;Root Cause:1.Cold Pad Design lead to Solder Open&#10;Solution:1.Expand Solder Paste 2.using cold pad design 2.Reseve Glue Design on this IC by fine adjustment hole on shieldin"/>
        <s v="[S2]Issue: Ps/ALS  sometimes not work after 1.2M drop .  reboot ok .&#10;Clue:1. ME found that Position Over limit&#10;Root Cause:pop pin connect shortly open when drop ,recover after a short time.  cause p-sensor work abnormal&#10;Solution：Proposal 1. ME check desig"/>
        <s v="[S3]Risk:SD trace is too long (130mm length,More than   limitation 77mm)&#10;Conclusion: keep good pcb layout，protect the signal, keep equal tace length.&#10;Verification:EVT Test, 1.4ns,   0.96ns , Risk Turn to Issue.&#10;&#10;Issue:SD card Interface Signal Integrity Fa"/>
        <s v="[S3]Issue:ALT   WH103118        B1 can not power on with turbo charge mods. &#10;RootCause:1.Analog Mux Damaged lead to can't power on&#10;2.Proposal:maybe caused by ESD/EOS&#10;Solution:1.Optimize Mods Pin ESD Routing in DVT2.&#10;Plan:1.Monitor"/>
        <s v="[S3]Issue:Edu16 Charger Overvoltage Test 1/2 Fail&#10;Clue:1.D2, After 11V Charger Overvoltage test, the charge current changed to 1.5A（Initial 500mA ），can be recovered by restart, the test stop&#10;Root Cause: 1.It is not a OVP Issue,2.Why Trigger 1.5A Charging "/>
        <s v="[S3]Issue:DVT1A ESD Test Unable to power on&#10;D1：After -15KV air discharge,power off,unable to power on&#10;Root Cause:1.LCD Damaged lead to fail to power on&#10;2.Wrong Grounding Foam Position lead to ESD Damaged(Conclusion by Display zhuanghuajun)&#10;Solution:1.Enla"/>
        <s v="[S3]Issue:DVT1A ESD Test Display Missing Pixels&#10;D5：After-15KV air discharge,display missing pixels.&#10;Root Cause:1.Wrong Grounding Foam Position lead to ESD Damaged(Conclusion by Display zhuanghuajun)&#10;Solution:1.Enlarge Conductive Foam and Graphite Keep out"/>
        <s v="[S3]Issue:Cap Sensor Sensing Fail&#10;Clue:1.2 Channel Fail,Value 2000-5000 ,Normal value is 0.&#10;Root Cause:1.Antenna Switch output capacitance affection lead to sensing failure&#10;Solution:1.Add 82nH Inductor to cancel this affection&#10;Plan:1.Antena confirm the in"/>
        <s v="Issue:The eyes height is fail, compare with Eagle it is fail too. &#10;Rootcause:1.Maybe due to the MDK to increase the length of lines. &#10;Plan:1. Check if there are some opportunity to improve the pcb layout.&#10;         2.Check if can test without MDK&#10;         "/>
        <s v="[S3]Issue：4 units boot up failure after ALT&#10;Root Cause:&#10;        1 VREG_OLEDB Abnormal result in Boot Failure&#10;        2 OLEDB_EN Abnormal result in VREG_OLEDB Abnormal&#10;        3 PCB delamination under Mods result in OLEDB_EN crack&#10;Solution&amp;Verification：&#10;  "/>
        <s v="[S2]Issue:Shelby EVT2 can't compliant with Xiaomi 10W Type-C Charger.&#10;Clue:1.Factory Software 2.Moto 30W Charger is ok . 3.Verify Xiaomi 10W Charger OK(Include Low Voltage) 4.Compliance test is ok&#10;Root-Cause:Need issue confirmed&#10;Plan:1.Need to reproduce i"/>
        <s v="[S3]Risk: Flash Thermal Evaluation fail  at 1.5A which exceed LED's Junction Temperature , and will damage flash led&#10;Clue: 1.factory flash calibration set flash current  1.5A(cool)+0A(warm)/  0A(cool)+1.5A(warm)  2.Ibis use the same LED Flash,No defect in"/>
        <s v="[S3]Issue:WH102567 ESD Fail，Unit Can't Power On&#10;Clue：1.Restart Fail 2.disassembly and find no grounding for display module.&#10;Rootcause:1.Display damaged &#10;Plan:1.KP  zhuanghuajun Analysis. 2. grounding  display module in DVT1A   ."/>
        <s v="[S3]Issue: EN301489 RS Pre-test fail &#10;Clue：With this solution 1，#8#9Failed, Using Letv cable Pass -2018-1-13&#10;Root Cause:1.Mic Bead cause the unbalanced which easily affected by RS 2.&#10;Solution:1.Remove Mic Bead, Pass ，2.Add 2 1.5nF Capacitor on Mic Channel"/>
        <s v="[S3]Issue:Vibration/Earpiece speaker/Alert speaker  not work sometimes (function intermittently at 12/28) ,found by SW Yongbin. more units were found&#10;Clue:1. Log show I2C fail. 2.SMT suffered Solder open failure rate of 0.5% on U5040,U5041&#10;Root Cause：1.An"/>
        <s v="Issue:EDU04 WH102186 fail&#10;Root Cause:&#10;1. U550 Damaged by MosFET breakdown in over reversed polarity Voltage.&#10;2. U550 reversed polarity Voltage SPEC is -0.5v/2A, and measured Voltage is -0.382V/1A ,-0.432V/2A in SPEC.&#10;3. TCC retest 5PCS ,all pass. &#10;The des"/>
        <s v="Issue:Synaptics Need 3.45V LDO  &#10;Root Cause: SPEC  requirement &#10;Solution：1. 3.45V  LDO  use On&#10;                   2.  change power input of 3.45V  LDO from VBAT to OTG  power 5V boost  . Done&#10;                   3. Choose 3.5V LDO for second source availib"/>
        <s v="Issue:DVT EDu03 Eval - ESD Certification Test &#10;After +10KV air discharge at left side crevice in zone 16（Aging 10），Cannot open rear and front camera and vibrator no function,can't recover.&#10;Clue:1.LCD Grounding is not good &#10;Root Cause:Cap sensor damaged . "/>
        <s v="Issue:Unable to power on&#10;   Clue:A3(1),A5(1),B1(1),B5(2)&#10;Root Cause:battery plug incorrectly&#10;Action： Factory correct it in coming build   monitor  2nd ALT test result&#10;ME own"/>
        <s v="Issue:EvT2 can not recognize network in xiamen enginner lab&#10;Clue:1.Wuhan Fixture OK but Xiamen Fail 2 ADB can't Connect 3.EVT1 OK&#10;Root Cause:Limited Margin due to TVS used in USB D+,D- are 10pF&#10;Solution：Using New TVS with 1pF Capacitance"/>
        <s v="Issue:EVT1st ALT Charging abnormal        Clue:A4(3),B2(3)&#10;RootCause:Cause by Low Temperature, Analysis:Log Provide to SW for analysis；&#10;Battery Power low to 50% easy to cause power off in -10℃&#10;Solution：&#10;1. charge to 100% and make sure battery &gt;50%  during"/>
        <s v="Issue:Andriod CTS Camera test item PIP(picture in picture) Failed&#10;Root Cause:1.Rear Camera &amp; Front Camera Using the same CSI0 Data Channel 2.Share Same Reset Signal&#10;Solution:SW Disable parallel cameras for CTS test，  NO need to change HW CSI design"/>
        <s v="Issue:Noise when insert type-c earphones&#10;Root Cause: 1.Mic Bias 25Hz Switch&#10;Solution:1.Mic Bias constant open,Evalation OK&#10;Plan：DVT1A verify, &#10;Verify: OK"/>
        <s v="[S3]Issue: Alternate Operation Fail &#10;Root cause:1.Variant BOM can’t invoke Alternate Part &#10;       2.Alternate Part need same Symbol and Cells name. &#10;Solution:1.Develop tool to solve it . &#10;"/>
        <s v="Issue:Mods I2S Tx no out&#10;RootCause:I2S Tx ，Rx Switched in front of MUX input&#10;Solution:&#10;     1. Short TX,RX,  -liguoa---I2S verified OK&#10;     2.Switch TX ,RX on EVT-2  -liguoa - Done&#10;&#10;Verification:Verify on EVT2&#10;"/>
        <s v="[S1]Issue:With the charger can't turn it off,Will be automatically power on&#10;Clue:&#10;Root Cause:Mobile phone input ALT special instruction(fastboot oem off-mode-charge 0)&#10;Solution:Eliminate the instruction( fastboot oem off-mode-charge)&#10;"/>
        <s v="[S3]Issue:SDA Pin of a MOD connector short to GND&#10;Clue:&#10;Root Cause: The mod connector short circuit&#10;Solution:DVT2 will change the old connector&#10;Plan:"/>
        <s v="Issue：Power Consumption Airphone :29mA&#10;RootCause:   &#10;1.Mods  ANX7805 :20 mA  &#10;2. Cap-sensor :1.1mA&#10;3. TP: 4mA&#10;Solution：&#10;1.10/25 SW has been modified---weiweij&#10;2.Because there is no firmware version cause, need to get the phone debug. Will follow blaine ca"/>
        <s v="Issue：金手指厚度做成0.3mm，Spec is 0.2+/-0.02mm&#10;RootCause：some DFM mistake confirmation between CAD &amp; Hongflex&#10;Solution：&#10;1.grinding thinner 10pcs by hand- fanlf/liujjg  10/13 done &#10;2.Hongflex re make the sample (10/12)  chenwt "/>
        <s v="Issue：There is not U6160 in BOM(FPC2050 ,side FPS driver IC) &#10;RootCause：SCH  Variant BOM affected by old Info&#10;Solution：1.EVT board only not SMT  U6160.  chenwt Done 10/12&#10;2.Soler FPC2050 by hand for SW bring up . Chenwt 10/16&#10;3.update BOM generation proce"/>
        <s v="Issue：EVB Mods Bringup suffer much&#10;RootCause：1.Clock&amp;CS of SPI Swapped 2. M-PHY I2S Rx Missing 3.SPI Switch Signal LPI can't work&#10;Solution：1.Swap clock&amp;cs 2.jumper wire 3.replace LPI-GPIO with GPIO"/>
        <s v="Risk: SAR sensor design， Cap sensor can support 3 ANT？（1 up +2 down）？How to design it？&#10;Evaluation:Change IC  from SX9310 to SX9324. More compatible for High Path capacitor（From 100pf to 200pf，same cost）？&#10;Conclusion:1   Cap sensor can support 3 ANT （3 Bott"/>
        <s v="OVP design check,Moto has added OVP IC, Keep monitor"/>
        <s v="Risk：Usb Eye diagram may fail because of Type-C connector on FPC"/>
        <s v="Risk：IBIS Swiwming Water Proof Fail&#10;2017-8-28：IP68 Canceled on NPI，turn NA&#10;Solution：Reserved ADC on CC1 for anti-water research ,Research it on EVT"/>
        <s v="Risk: Thermal design check . there should be high thermal Risk ,need further check&#10;Evaluation:&#10;Conclusion：It is fine according to the latest Thermal Simulation&#10;"/>
        <s v="Design：Key Design to compatible with Option C1，Option C2，Option D，Option E before 9/5&#10;Conclusion: Design Changed&#10;"/>
        <s v="Issue：LPI GPIO can't use，Need xx more GPIO&#10;conclusion: Add IO Expander"/>
        <s v="Risk:NEW MODs connector SMT RISK( Can  pass Build and can pass ALT)&#10;Conclusion: here"/>
        <s v="Risk:Type C ，switch control logic is correct？&#10;Conclusion: It is ok"/>
        <s v="Risk:M-sensor placed on side of battery ,some Assembly risk&#10;Evaluation: 1. check with AKM porformance .  2. can we put it on main PCB?（base on new stacking）&#10;Conclusion:Place in the middle of Side Key FPC"/>
        <s v="Product Design:Charging solution 20W？27W  ？ charing IC solution is？(Impact thermal and placement)&#10;Conclusion: 27W Adpater +20W charging rate (not big switch solution) .  Thermal risk is   high.  Any chance change to 20W Big switch solution？&#10;Charging Solut"/>
        <s v="Risk:Barometer design ：ME requirement is for IP68？&#10;Conclusion:check with Bosh that no IP68 phone MP with Bosh Barometer .Barometer can not work because the air can not go into the phone.  &#10;Next Action: Any solution for air to go into phone but water can n"/>
        <s v="Risk:P-sensor  ，How to design it in Notch phone？&#10;Conclusion:Camera+SPK+P-sensor+camera,P-sensor on Flex ,now is ok.  needed further tracking if there is any change "/>
        <s v="Risk：FPS option 2-3 may have ESD risk&#10;Evaluation：&#10;Conclusion：Solution Canceled&#10; "/>
        <s v="Risk:Use typeC For earphone interface，How to design FM（ANT） ？&#10;Action:1.Inform Risk to RF,RF Own  -Done 6/16&#10;"/>
        <s v="[S2]Risk:WDC Memory may exceed erase endurance specification which may lead to no turn on&#10;&#10;Clue1:Roburst2 have several No Turn on issue in EWG and DF due to UFS issue &#10;Clue2:P/E Cycle(Programing or Erase Cycle) limitation should under 1M, For Roburst2 UFS"/>
        <s v="[S2]Issue:Display Flicker during Charging after Patched for Flicker when Loud Speak.&#10;Clue:Only when Battery Fully Charged&#10;Root Cause:&#10;Why Display Flicker when Charging?&#10;1.Input Charging Voltage Ripple 200mV Observed and ELVDD 120mV Ripple observed when Ch"/>
        <s v="[S3]Issue:&#10;     7/5 SW summary User Feedback that Shut Off Suddenly when using DouYin, Camera Capture with Music Background or Duo in Low Battery Status.&#10;    Clue:Stingray 4.6A, Quattro 29.59 6A, Quattro 29.45 5.5A&#10;RootCause:&#10;    1.  Shut Off Due to Suppl"/>
        <s v="[S3]Issue:29.59-2 Thermal Camera Test, 1°C Higher than 29.49 ,but in test Tolerance.&#10;Clue1:59-2 : 42.9°C @15Min ; &#10;         29.49 41.9°C@15Min ，39.6°C@10Min&#10;Clue2:Camera Power 3% increased observed.&#10;Root Cause:1. Power Consumption 900mA+@Camera Preview, W"/>
        <s v="[S3] Issue: Quattro Compatibility Test with M14（ThinkVision new generation Display）10% Display Low Resolution 640X480， about 1-2/10 Failure rate.&#10;Clue: 1080p normally&#10;Clue:External Adaptor with M14, No Issue&#10;Clue:Change Another Cable , No Issue.&#10;Root Caus"/>
        <s v="[S3] Issue: Display Missing Pixel after ALT Drop&#10;Estimate to drop this issue ,Due to wrong Test Method-Tear Down Crack Display cause Abnormal PCB Strain."/>
        <s v="[S3] Issue: Display FOD visible after ESD&#10;Clue: ESD at zone15, LOGO LIGHT area. Recovered after 2 minutes automaticly.&#10;Clue:&#10;Root cause:&#10;1.LHBM Reg Affected,&#10;1. Panel Abnormal , TE Lost, Panel Recovery Triggered and Recovered.&#10;Solution:&#10;1.SW recovered and"/>
        <s v="Issue:[S3] &#10;1.P sensor no function after ESD, with permanent damage.  （EDU03） WH116676 1 unit fail 1/6&#10;&#10;Clue:&#10;        1. ESD at zone 1, front camera area. ME Status OK.&#10;        2. In 8 TCC tests, 42 units in total before PVT, no this issue.&#10;        3. 8 m"/>
        <s v="[S2] Issue 2:  [Quattro] [Factory] [CQA1]  test  result:P-sensor is at Near status all time. &#10; &#10;         Rootcause： &#10;1.Near status caused by high CT due to Rubber  cover the IR LED cause reflection &#10;2. DVT2B Rubber  dimensions：Out of tolerance    &#10; 3. Wro"/>
        <s v="[S3] Issue:   sometimes Motoaction can not work outdoors  IKSWP-89083&#10;clue：1. When the IR channel data is too high，Pdata will increase and fluctuate.&#10;Root cause：&#10;1.Moto Action suspend due to P-Sensor report Near status(Pocket Mode),Observed from Log.&#10;2.Lo"/>
        <s v="[S2]Issue: 40℃高温关机充电4 hours，充入电量未达标准3.9V &#10;        Clue1:从log分析，高温充电下，充电thermal机制启动，充电电流降到300mA，Quattro 电池4000mAh，电量大，充电速度太低无法满足需求. &#10;        Clue2:thermal config 调整，最低充电电流提到700mA，自测Pass，实验室测试临界pass，与预期不符，从log分析，充电误进USB模式，导致充电电流只有500mA &#10;        Clue3：经过实验室压"/>
        <s v="[S2]Issue:  DVT2A  unable to power on after ALT complete&#10; Clue:  1. leak current: 15ma when power off&#10;             2. the voltage of DVDD(PM6150) is 1.5v ,the normal voltage is 1.8v&#10;             3. B_PLUS is 1.654V,the normal voltage is colse to vbat volt"/>
        <s v="[S2]Issue: DVT2A Quattro Thermal Failed 4.3℃ on Camera Photo &#10; Clue:&#10;           1.DVT2B re-test on camera 43.1°C,improve 1.2°C.&#10;Root Cause：&#10;       1.Camera Fine Tune Not Fixed and power consumes more &#10;       2.Thermal config Triggered but failed to mitiga"/>
        <s v="[S3]Issue:       standby U510( USB DP ss mux) current leakage 0.6mA&#10;Root Cause:       &#10;        U510 pin 18 EN is pulled up to L7C which is always on , when EN=H，U510 active current is 0.6mA.&#10;solution： &#10;Change the power supply to L17A  which is used for US"/>
        <s v="[S2]Issue:  DVT2A ALS Angular in Y axis is only 25 degree(Standard=33 Degree?)&#10;Clue:        1. Test in Vishay show ALS angle in Y axis only 25 degree&#10;                 2. if no silicone case, 27 degree in Y axis&#10;solution： By adjust LCD brightness response "/>
        <s v="[S2]Issue: Quattro No turn on issue after ALT drop-Link&#10;Clue1： U2400 Pin solder Crack in DVT1B &amp; DVT2A&#10;Clue2： U1600 Pin solder Crack in DVT2B&#10;Clue3 : all no turn on issues happened after display crack.&#10;Clue4:No issue in Tumbling Test.&#10;Root Cause：&#10;1.U2400/"/>
        <s v="[S3]Issue: FOD self test fail, but can recover withou rebooting&#10;&#10;Clue:1.  -15KV air discharge at zone 11(Aging 10),Fingerprint Self Test fail, then return to the previous menu,after executing the “Fingerprint performance Test“ test item,then run &quot;Fingerpr"/>
        <s v="[S3]Issue:User Feedback Quattro Got Hot using 65W Type-C Charger（T480 Note Book）&#10;Clue:Test 65W , Issue Can't Reproduce in XM SW,XM HW,BJ Thermal&#10;Root Cause: Need confirm Issue first."/>
        <s v="[S2]Issue:      DVT2A P-sensor TCMD unstable&#10;Clue:1. JOT Fixture may impact the test result ----ENG chen Huaiyu /WWTE Tang Muzong&#10;         2. SW  DVT2A_04   get the data different per test , should be some problem  ---SW  Huangjq9&#10;solution： SW&amp;WWTE Own"/>
        <s v="[S2]Issue: DVT1B ALT-WH115686 ， A1(3)        A1:TH/TC,USB charging is normal, but fail to connect computer.                        &#10;Clue： DM,DP common mode filter open , replace it and remove TVS on DP ,it is ok. &#10;Root Cause:       &#10;          -Why TVS&amp;CMF"/>
        <s v="[S2]Issue:&#10;        Factory IF QBlank Flash Issue ，1-3% NTF (Unknown Device,)&#10;Root Cause:&#10;        1.Soft Reset After Provision lead to multiple channel conflict.&#10;Solution:&#10;        1.SW Optimize Soft Reset by Adding 1S Delay between Provision and Bootloader"/>
        <s v="[S2]Issue: DVT1B ALT WH115309 ，Not turn on after ALT loop 5 (6 in 12)&#10;Clue：Cross section， not abnormal found between DVT1A &amp; DVT1B &#10;Root Cause:       &#10;        1.U2400 PM6150A Solder Crack Found , Confirmed by MDU44 &#10;        2.High PCB Strain Lead to Solde"/>
        <s v="[S3]Issue: TP no fuction - recoverable&#10;Clue:&#10;1. +8V air discharge at zone 3(Aging 10),touch screen no function,press the power key 10s times later power off,press the power key to reboot recovered.(4/15 10:55)(Front camera(and Front flash) is ON )&#10;2. Zone"/>
        <s v="[S2]Issue: &#10;          Factory IF QBlank Flash Issue ，1-3% NTF (Unknown  Device)&#10;Root Cause:&#10;          1.Proposal: Moto Multi-Downloading Tools +USB3.0 Issue? (No Issue feed back from other vendor of QC SM6150)&#10;              Exp1:Using Qualcomm Multi-Downl"/>
        <s v="[S3]Issue:DVT1A Quattro tele camera OIS_VDD and GRO_VDD are swapped&#10;Root cause:   OIS_VDD and GRO_VDD are swapped in camera module 2D drawing. &#10;Impact: All units before DVT1B Tele camera OIS cannot work（Not including DVT2A）.&#10;Solution:  change the OIS_VDD "/>
        <s v="[S3] Issue: P sensor no fuction after ESD, recover after reboot&#10;&#10;Clue: &#10;1. SW version is 29.15&#10;2. P sensor could get no fuction without ESD, just covered by finger.&#10;&#10;Root cause:&#10;1. P sensor fuction bugs in SW 29.15&#10;2. ESD recovery works well in SW 29.16.&#10;"/>
        <s v="[S2]Issue:  DVT1B, NqTL1Q0095, fail to open every camera&#10;Clue: No data read from A+G sensor in CQA test&#10;Root cause:&#10;1. Camera software combines A+G sensor in its algorithm, if  sensor  is inactive, camera will fail to be launched.&#10;2.Question:Why A+G Faile"/>
        <s v="[S3]Issue: Phone drop call after ESD&#10;&#10;Clue: &#10;1. +8KV air discharge at zone 12(Aging 10),Dropped call.(4/15.14:25-14:35)(In a call)&#10;2. zone12 is bottom side of battery door.&#10;&#10;Root cause:&#10;Unreproduciable after 200 times +-15kV AD, with phone keypad hidden&#10;U"/>
        <s v="[S3]Issue: System stucked after ESD&#10;&#10;Clue:&#10;1. +8KV air discharge at zone 11(Aging 10),Picture jammed,press the power key 10s times later power off,press the power key to reboot recovered.(4/15 10:55-11:05)(Rear camera(and Rear flash) is ON )&#10;2. Zone 11 is"/>
        <s v="[S2]Issue: DVT1B +8KV air discharge at zone 10(Aging 6),Drop call,picture jammed,restart cannot be recovered,&#10;Re-pair Bluetooth headset recovery&#10;Clue: 1. zone 10 includes cap sensor ant, div ant and bluetooth ant.&#10;2. From DVT1A to DVT1B, bluetooth ant's G"/>
        <s v="[S3]Issue:DVT1B Display go black when calling with DVT1B ，7 pcs&#10;Root cause:1.P-sensor Rubber change in DVT1B&#10;Exp:Temp parameter  check ok by 4/4 ,Done&#10;Solution:  &#10;1.Provide BAT to update new Parameter.&#10;2.SW ready by 4/8   PPH29.9&#10;Lesson learn : need to fo"/>
        <s v="Issue:Quattro DVT1A FVC L1A MXC06（WH114507）D3, alt camera no flash&#10;RootCause:Proposal:&#10;Proposal:1.48M （rear main camera）Connector Release， Lead to CQA rear 1  viewfinder torch on  flash ledTest Failure&#10;软件逻辑上用camera id识别camera关系，48M的camera id正常为0，连接器松动，初始化"/>
        <s v="[S3]Issue:Quattro  DVDD Ripple when work，（哪个camera？什么情况下面出现）&#10;Root cause:Camera Current Drain&#10;Solution: DVT2A  Reserve 1 LDO."/>
        <s v="[S3]Issue:The video was stucked(Picture jammed) during ESD testing&#10;Root cause: 1. SW bug(IKSWP-73588)&#10;Solution: SW version update"/>
        <s v="[S2]Issue: DVT1A  Tianma Display Flicker found under gray Scale.&#10;Root Cause:   1.Tianma Display can't endure 5mV dynamic ripple of ELVDD.&#10;                         2.ELVDD Power Ripple 5mV when Power Mode Switching on non PSRR mode.&#10;Solution:1.SW set 0xde7"/>
        <s v="[S3]Issue: DVTA ALT WH114449  A1 ，Auto power off 1time in loop3(1 in 12)&#10; clue:         1.after Loop4 ，it always power off after drop&#10;                  2.Press Top  PM6150 Shielding case ，Reproduce case&#10;                  3.remove rear housing ，reproduce （"/>
        <s v="[S3]Issue:&#10;DVT1A Not turn on after tumbler test WH114467,D1&amp;D2 （2 in 5）&#10;Clue:&#10;1.D1 &amp;D2 Power on current 110~130mA ,can go into 9008 mode with V+ key,but can not download. (should be memory issue)&#10;2.found  Shield case is too weak ,and more than 25% unsolde"/>
        <s v="[S3]Issue: Front camera preview fixed after ESD test. Recovered after reopen camera app.&#10;Root cause: &#10;1.No GND for front camera&#10;2.After grounding, issue not reproduce.&#10;&#10;Solution:&#10;Add Grounding area.&#10;After enhancing GND, this issue is not reproducible in D"/>
        <s v="[S3]Issue: P sensor no function after ESD test. Recovered after reboot.&#10;Root cause:&#10;1. Air gap around P sensor IC.&#10;Solution:&#10;1. need SW recovery ,Tracking &#10;2. ESD recovery works well in WH115318"/>
        <s v="[S3]Issue:P-sensor no function &#10;Clue: &#10;Root Cause: Rubber skewed&#10;ME will be in charge of this issue."/>
        <s v="[na]Simulation:High Strain on BGA4 0.43%,BGA3 0.58%（pixworks&amp;Audio codec ）&#10;Root Cause:&#10;1.PCB Strain&#10;2.Drop Crash&#10;Solution:1.Monitor DVT1 ALT ， Red-Dye Data &amp; tumbler test result&#10;               2.Reserved DVT1B underfill ，need to check how to build DVT1B"/>
        <s v="[s3]DP over Usb-c didn't work on AR Prototype of  nReal（若太科技）&#10;Clue:1.Work on DP Display&#10;RootCause:&#10;1.USB SS&amp;DP Coexistance Config?&#10;Exp:Get USB+DP Hub to verify the co-existance&#10;2.Not Fit with This AR(Need Customization)&#10;&#10;"/>
        <s v="[S3]Issue: DVTA Factory  IF 9008 and fastboot mode can not get USB3.0&#10; clue:it is ok when board Power on &#10;Root Cause:Switch power  L7C not turn yet in Fastboot mode and 9008 . &#10;Plan:&#10;9008 mode ：not support USB 3.0 on Quattro&#10;Fastboot mode ：SW issue ,Yueca"/>
        <s v="[S3]Issue:No Main display after Shaker right (WH114449 B3 loop1)&#10;Clue: &#10;Root Cause: &#10;1. can't turn on caused by side-key FPC Dome invalid.&#10;&#10;ME will be in charge of this issue."/>
        <s v="[S3]Issue:Display  blink some time ，Worse with Adaptor FPC&#10;Clue: change mipi 1.09 G from 1.14G  ,improved   . but fail too with Adaptor FPC&#10;Root Cause:  Pw8368 insertion loss &#10;1.EMI filter impact?  Exp1:Replace EMI with 0R Resistor 2/28  No improvement&#10;2."/>
        <s v="[S3]Issue：Board ESD Evaluation  Display easy to go dark&#10;Clue: The system is well functioned.&#10;Root Cause: &#10;1. No ESD recover strategy in current SW version.&#10;2. No TE signal after screen blanked. Panel IC died.&#10;Solution: Pixelworks FAE may provide ESD recov"/>
        <s v="[S3]Issue：USB  3.0 SS ，flip test fail ( 1 side can work )&#10;RootCause: SW Config&#10;Solution:SW re-Config"/>
        <s v="[S1]Issue：SPK Degrade&#10;Clue:1.&#10;Root Cause:1.Cause by ESD?&#10;Solution&amp;Verification:&#10;Plan:&#10;FuPan:"/>
        <s v="[NA] OK2Pilot ESD Fail,SPK Noise&#10;Issue:ESD Fail on Zone1 -15KV on Alt ,1/2.&#10;Root Cause:Find that Conduct Foam Grounding not good ,100Ω，out of spec 3Ω&#10;Solution:Press Conduct Foam on FPC to ensure the grounding，and then Assembly on back Housing.&#10;Verificaion"/>
        <s v="[NA]Issue:TMO Thermal Pre-Test Fail ,Gap 5°C&#10;Root Cause:Can't Meet TMO Standard&#10;Solution: Waiver With TMO&#10;Plan:&#10;1.TAM Dialog with TMO on this case by TBD"/>
        <s v="[S3]Issue:Sku2 EUT with second source Charger,CE 301489 RE test has 2.1dB margin,FCC 15B RE has &gt;3dB margin&#10;Root Cause:Andy NA EUT Dvt2 A ,Assemble parts mix with first and second source,impact the RE Level&#10;Solution:Use the First source assemble parts&#10;Pla"/>
        <s v="[S3] Sensor No Function found in ALT .&#10;Issue: Andy NA DVT2B Alt 2pcs fail:Sensor no Function        &#10;Root Cause: P-Sensor Solder Short between IC &amp; interposer board&#10;Solution:PE Lead (eminent change SMT line which with SPI )&#10;Plan:PVT SKU2&amp;3 use new samples"/>
        <s v="After +15KV discharged at zone9(camera&amp;flash&amp;MIC2),Mic 2 no function:C2"/>
        <s v="[S1] ESD Fail,SPK Degrade&#10;Issue:ESD Fail on Zone1 -15KV on Alt ,1/2."/>
        <s v="P - sensor anti-fog test, at the same time arranged SKU1 and SKU3 SKU1 fail, but SKU3 pass"/>
        <s v="ALT/AT&amp;T -Boot up Failed"/>
        <s v="Andy CE Certification RE Test Failed"/>
        <s v="Bad 5W（1A)） charger issue. change SW  and pass"/>
        <s v="Issue:RF Buzz Noise&#10;Condition:NS Cancel ，Mic_GND Connect to Pmic_GND&#10;Result: -46dBV/-48dBV "/>
        <s v="EVT ESD Fail,P-Sensor No Function"/>
        <s v="Andy EVT Edu14 surge Failed"/>
        <s v="[S3]Issue:psensor no function in ALT loop5   -Chenwt &#10;RootCause: PAD crack were found on Both PCB &amp; Module .There may be some crash during assembling since silicon rubber case assembled well and no obvious deformation observed. &#10;Solution: Monitor to see i"/>
        <s v="[S2] DVT2b ESD Fail,Headset Pop Noise&#10;Issue:ESD Fail on Zone15, PVTA&amp;PVTBEval Pass&#10;Root Cause:1.Codec Damaged by ESD through SPK &#10;Solution:1.Move TVS closed to Signal Pin&#10;Plan: Update ESD Design Rule with high priority -yangwla"/>
        <s v="[S2] DVT2b ESD Fail,SPK Noise&#10;Issue:ESD Fail on Zone1, PVTA Eval Pass but PVTB Re-Test Fail 1/4.&#10;Root Cause:1.Codec Damaged by ESD through SPK &#10;Solution:1.Add 2 TVS on SPK Channel 2.Switch Semtech Part nearby contact Pin with will part ,Eval 4 pcs with Pr"/>
        <s v="[NA]Issue: Cap Sensor Detection Partially Fail on BT&#10;Root Cause: 1.No update issue belongs to CQA Software Issue  .2 No output issue need to furtherly Analysis&#10;Solution: Update Cap Sensor Configure Data Avoiding Trensient Response Pending&#10;Verification:Pas"/>
        <s v="[S3] Issue:EN301489 ESD Failed on Data Link(Phone to PC) -Yangwla&#10;Root Cause: PC Side USB Module Affected. Cable shielding Issue.Andriod big version update on usb Data transformation  which cause the data verification capability S3 down and the procedure "/>
        <s v="[NA]  George NA DVT2A MDu30 Thermal Test,game+charge,Front side 44.2℃ VS 42℃&#10;Issue:    Pass B standard(45℃） but fail in A standard（42℃），quality update a stricter request and block it.&#10;Root Cause:  cost down solution cause 1℃ up （42.9℃ DVT1B），and charge cu"/>
        <s v="[S3]  George NA DVT2A XM99620 1pcs(Loop5) no turn on&#10;Issue:    no turn on&#10;Root Cause:  PM8940 U1205 Joint Crack by Strain,&#10;Solution:  Under Fill U1205&#10;Verification: Pass"/>
        <s v="[S1]  after ALT(for EDU06) ( loop3 1pcs D2,Loop5 1pcs D10)  No signal&#10;Issue:    LTE No Camp&#10;Root Cause:  U5500&amp;U5600 Solder Crack&#10;Solution:  1.Glue U5500&amp;U5600  2. Single strech Shielding Case&#10;Plan:  https://docs.google.com/spreadsheets/d/11us2BUCEQluIthH"/>
        <s v="[NA] Can not power on after ALT(for EDU06) ( loop4 TH/TC done )  D7&#10;Issue:    VPH_PWR short to GND.  C2110 component issue.  remove it and the phone ok.&#10;Root Cause:  PE lead the fail analysis&#10;Solution:   PE lead&#10;Plan:  TBD "/>
        <s v="[NA]Issue:ALT DTF test ,3*Loop5 ，1 pcs no power on&#10;Analysis/RootCause:From cross-selection Analysis,U1205(pm8940) had cracked on the board side of solder joints&#10;Solution/Verificaiton:ALT and tumbler test were pass until now.&#10;Plan:FolS3 up the next ALT and"/>
        <s v="[NA]Thermal materials cost down solutions risk &#10;Issue:Decrease half size of copper could cost down ￥0.2，the temperature should rise 0.5-1℃；&#10;Analysis/RootCause: LTE Data call(15dB） fail，RF correct the measure  method after align with TCC because the wrong "/>
        <s v="[NA]Red Dye test After ALT, Found MCP functional solder had partial crack but function was ok&#10;Verification:ALT and tumbler test were pass until now.&#10;Follow up the next ALT and tumbler test,if the same failure happen, add underfil is the available backup s"/>
        <s v="[NA] MSM_therm  not correct (EDU08)&#10;Issue:   MSM_therm too S1t . more than CPU&#10;Root Cause:    R1208 not mount&#10;Solution:  R1208 change to 0R from DNP&#10;Plan:  change From DVT2B ,done.   Retest with rework units by chenwei ,ongoing.WH99980 ,pass"/>
        <s v="[NA] LCD damaged Flickering after ALT ESD  here&#10;Issue:1/2sets Zone 3: air discharge -15KV fourth times, top display flickering, and can not recover.LCD damage.      &#10;Root Cause: housing resistance, the value is 21.6ohm, while spec should less than 1ohm.ME"/>
        <m/>
        <s v="[NA]Thermal DVT1a failed&#10;Issue:1.WCDMA Voice Call 1.2 °C while no charging&#10;           2.Wifi Stream (Front 0.9°C ，Back 1.2°C) while charging ,here&#10;Solution：1.Decrease PA Power&#10;           2.Charging Rhythm Modification&#10;Verification：Dvt1b Pass"/>
        <s v="[NA]Isuse:sensor Vision test limit need update&#10;Solution:Delta limit need to change from 580 to 300( refer to Andy),and folS3 up DVT2A test &#10; DVT2A check ok ，close"/>
        <s v="Cap sensor noise&#10;Place Cap Sensor IC as Closed as Possible to Sensor PAD,Shielding Sensor Line&#10;Ant had confirmed performance is ok .&#10;DVT1B PCB change：Place Cap Sensor IC as Closed as Possible to Sensor PAD,Shielding Sensor Line"/>
        <s v="discharge on low voltage battery&#10;the sample don't charging on low voltage battery，but normal voltage battery is ok&#10;sw problem,charge is ok after sw update&#10;charge is ok after sw update"/>
        <s v="ALT issue: After loop2 post drop inspection, phone heat up: B2&#10;1.off current more than 500mA&#10;2.EOS problem.Not happened then in the next ALT test."/>
        <s v="Board Test Issue:2 PCS Board Fail&#10;1.Vr1421 TVS  damaged;（0.5mA current increase） &#10;EOS damage from FA report of vendor:&#10;2.U1205  PM8940 chipset damaged;(MPP2 pin damage)&#10;3.Not happened then in DVT1 build&#10;need vendor analysis report."/>
        <s v="[s3]Issue:&#10;    DFer Report 2 units black screen for 1s observed and recovered , 1 or 2 times each day when use whats app browser. &#10;        Clue:1.No relative black screen issue found in edu04 during 3T test.&#10;        Clue:2.ESD Test on failed unit, 12kV 50"/>
        <s v="Issue: 6k contact discharge ,flash light unexpected off,recoverd after  triggering on/off button again&#10;Root Cause:1.FA&#10;Solution:1.Accept"/>
        <s v="Issue: sound become lower on headset mode&#10;clue: 1. FAS4480 (audio switch ) change to wrong path switch which connect mic to gnd, gnd to mic.&#10;          &#10;Root cause: 1. PD report typec_accessory_mode 4 when headset is working and that make FSA4480 to switch"/>
        <s v="Issue: Miami Ramp 2 units CQA test wireless charge no function   （2pcs  in 15000pcs）&#10;Clue：1. Facotry ABA analysis check the fail follow U2750（MEP：CPS4019， wireless charge IC  ， SC98D48834 ，Vendor： CPS）&#10;        2. when test CPS4019 GP2 (  RXN ) with multim"/>
        <s v="[s3]Issue: NIAR220212 CQA test : wireless charge  disconnect and connect repeatedly&#10;Clue：1. Facotry ABA analysis check the fail follow U2750 （CPS4019 wireless charge IC）&#10;         2.after one day this unit report CQA unstable  ， wireless out coil ,it fail "/>
        <s v="[s3]Issue: DVT1  some Board  IF fail&#10;Clue：SW log 手机会在开机阶段，GPIO01会拉低，检测到上键被按到，如果设置了factory mode,会进入fastboot mode的问题&#10;Root Cause:  &#10;Solution: 1. temp：SW config GPIO01 of PMR735A （V+） 在判断key之前，先把gpio01设置为pull up&#10;              "/>
        <s v="[s3]Issue:WH152361  ,EDU 14 ,D 3 200V  fail on Vbat test point&#10;Root Cause:  2nd source main charge IC SC89890H .(refor to Rodhe 4G project analysis)&#10;Solution: 1. SC89890H IC improve ,sample will ready 6/10 ,DVT2 . will verify in DVT2&#10;                   2."/>
        <s v="[s3]Issue:WH150848 EVT EDU03 Test, D4 Cap-sensor CH3 no function(15KV)&#10;Root Cause: ANT C303 short circuit by ESD&#10;Solution:&#10;1.ANT 3 add TVS&#10;"/>
        <s v="[s3]Issue:TDD Noise Found in EVT&#10;Root Cause:1.Reciever Affected by Magnetic Field of GSM-PA Ground Path to two spacing Battery Connectors.&#10;2.1 Two spacing Battery connector duo to charging thermal request&#10;Solution:&#10;1.accept the result on 33dBm.&#10;2.backup a"/>
        <s v=" [s3] Issue: factory BT fail in 2nd charge IC SC89890H build&#10;Clue：1.Factory use SDP port for BT test&#10;2.SDP that need rerun BC1.2 by charge IC(ignore the 1st BC1.2 result） .&#10;3.can not get rerun INT (from Log ).&#10;4.waveform test checked there is not rerun BC"/>
        <s v="[s3] Issue: power off current =8mA .vs 0.2xA target&#10;rootcause：Audio switch current  leakage&#10;solution：change Audio switch power from VPH_PWR to LDO （not on when power off ）"/>
        <s v="[s3] Issue: Bringup ，SIM  detection can not work &#10;Clue：&#10;Miami Sub Board is designed based on dubai+ NA Sub。&#10;INT does not need external pull-up resistance on MTK platform, QC platform requires external pull-up resistance.&#10;&#10;Root Cause:  SIM INThas no pull-u"/>
        <s v="[s3] Issue: Bringup ，charging type  detection can not work &#10;Root Cause:  USB connection to charging IC incorrect &#10;Solution: 1. change PCB for EVT. done  2.EVB rework PCBA for charging related case bringup&#10; "/>
        <s v="[s3] Issue: Bringup ，Wireless charge can not work on power off mode&#10;Root Cause:   AP GPIO49 pull down FlangN when power off ，cause RXN high to stop wireless charge&#10;Solution: 1.  add a Nmos on GPIO49 &#10; "/>
        <e v="#REF!"/>
        <s v="No Highlight Issue"/>
      </sharedItems>
    </cacheField>
    <cacheField name="Doc" numFmtId="0">
      <sharedItems containsBlank="1">
        <s v="link"/>
        <m/>
        <s v="IKSWW-163405"/>
        <s v="RPA FA link"/>
        <s v="CR ：IKSWW-10183"/>
        <s v="实验汇总表"/>
        <s v="IKSWT-92072"/>
        <s v="IKSWT-91107"/>
        <s v="IKSWT-95557"/>
        <s v="IKSWT-51733"/>
        <s v="lin'k"/>
        <s v="IKSWS-25957"/>
        <s v="Analysis  link"/>
        <s v="IKSWR-130146"/>
        <s v="https://idart.mot.com/browse/IKSWR-101718&#10;"/>
        <s v="Test summary link"/>
        <s v="slide link"/>
        <s v="here"/>
        <s v="Photo  link"/>
        <s v="photo link"/>
        <s v="TCC 摸底测试link"/>
        <s v="CR  IKSWR-55445"/>
        <s v="collection"/>
        <s v="ME link"/>
      </sharedItems>
    </cacheField>
    <cacheField name="Owner" numFmtId="0">
      <sharedItems containsBlank="1">
        <s v="SW/chenwt"/>
        <s v="肖志浩/Chenwt"/>
        <s v="xiaozh/chenwt/chenhy"/>
        <s v="肖志浩/李燚"/>
        <s v="陈文亭/吴学敏"/>
        <s v="肖志浩"/>
        <s v="陈文亭/肖志浩"/>
        <s v="陈文亭"/>
        <s v="范立锋/chenwt"/>
        <s v="陈文亭/陈怀玉"/>
        <s v="廖哲霖"/>
        <s v="文亭"/>
        <s v="李果"/>
        <s v="嘉琨"/>
        <s v="芳梅"/>
        <s v="敏敏"/>
        <m/>
        <s v="SMT yanlin"/>
        <s v="小熊"/>
        <s v="院长"/>
        <s v="德太加"/>
        <s v="xuwei"/>
        <s v="川叔"/>
        <s v="范南"/>
        <s v="韩凯"/>
        <s v="邦邦"/>
        <s v="liguoa"/>
        <s v="wuxm5"/>
        <s v="chenbang"/>
        <s v="chenwt"/>
        <s v="浩总"/>
        <s v="xiongsn1"/>
        <s v="Hankai"/>
        <s v="邹仕海"/>
        <s v="林峰"/>
        <s v="太加"/>
        <s v="xiongsn"/>
        <s v="吉吉"/>
        <s v="浦喆"/>
        <s v="艳红"/>
        <s v="威姐"/>
        <s v="靓仔"/>
        <s v="礼森"/>
        <s v="森森"/>
        <s v="Yangwla"/>
        <s v="huangls"/>
        <s v="wuxm5/Chenwt"/>
        <s v="Xiaozh1"/>
        <s v="chenwt/Lvgl"/>
        <s v="Linfenga"/>
        <s v="pengsp/chenwt"/>
        <s v="chenwei24"/>
        <s v="FAE"/>
      </sharedItems>
    </cacheField>
    <cacheField name="Assistant" numFmtId="0">
      <sharedItems containsBlank="1">
        <m/>
        <s v="敏敏"/>
        <s v="芳梅"/>
        <s v="文亭"/>
        <s v="范南"/>
        <s v="院长"/>
        <s v="李果"/>
        <s v="小熊"/>
        <s v="川叔"/>
        <s v="xuwei"/>
        <s v="廖哲霖"/>
        <s v="Chenyc4"/>
        <s v="shihai"/>
        <s v="艳红"/>
        <s v="韩凯"/>
        <s v="德太加"/>
        <s v="嘉琨"/>
        <s v="liguoa"/>
        <s v="邦邦"/>
        <s v="邹仕海"/>
        <s v="锦康"/>
        <s v="林峰"/>
        <s v="怀玉"/>
        <s v="小范"/>
        <s v="吉吉"/>
        <s v="文亭 &amp; 李果"/>
        <s v="森森"/>
      </sharedItems>
    </cacheField>
    <cacheField name="Sheet" numFmtId="0">
      <sharedItems containsBlank="1">
        <m/>
        <s v="IKSWW-75804"/>
        <s v="issue 汇总页面"/>
        <s v="IKSWW-59901"/>
        <s v="IKSWW-51092"/>
        <s v="分析PA"/>
        <s v="IKTM-13189"/>
        <s v="RPA分析"/>
        <s v="RPA 分析链接"/>
        <s v="IKSWW-19238"/>
        <s v="IKSWW-16177"/>
        <s v="QC CR ：7969230"/>
        <s v="IKSWW-8971"/>
        <s v="IKSWW-8419"/>
        <s v="IKSWW-9596"/>
        <s v="CR 07893610"/>
        <s v="QC CR：7848684"/>
        <s v="QC CR：7847941"/>
        <s v="link"/>
        <s v="IKSWV-66067"/>
        <s v="外部open 的link"/>
        <s v="IKSWV-28598"/>
        <s v="WH180780 TCC FA  link"/>
        <s v="WH180794 TCC FA link"/>
        <s v="TCC FA link"/>
        <s v="wrangler usb typec屏蔽壳接地方式评估"/>
        <s v="glory 无法快充分析"/>
        <s v="可能漏电器件汇总"/>
        <s v="IKSWU-124341"/>
        <s v="https://idart.mot.com/browse/IKSWU-126081"/>
        <s v="IKSWU-81779"/>
        <s v="TCC analysis"/>
        <s v="IKSWU-34055"/>
        <s v="实验汇总表"/>
        <s v="故障list汇总"/>
        <s v="IKSWT-126520"/>
        <s v="故障汇总"/>
        <s v="https://idart.mot.com/browse/IKSWT-116698"/>
        <s v="IKSWT-113215"/>
        <s v="FPC vendor PBH  analysis report"/>
        <s v="MTK  CR"/>
        <s v="IKSWT-66439"/>
        <s v="QC CR：07311754"/>
        <s v="TCC sheet"/>
        <s v="IKSWU-53713"/>
        <s v="IKSWU-41681"/>
        <s v="IKSWU-28732"/>
        <s v="link2"/>
        <s v="https://idart.mot.com/browse/IKSWT-82029"/>
        <s v="IKSWT-83174"/>
        <s v="IKSWT-74127"/>
        <s v="TCCFA"/>
        <s v="TCC FA"/>
        <s v="IKSWS-127586"/>
        <s v="IKSWS-129202"/>
        <s v="CR  IKSWS-83340"/>
        <s v="CRIKSWS-89240"/>
        <s v="CRIKSWS-102720"/>
        <s v="change link"/>
        <s v="EWG sheet"/>
        <s v="视频link"/>
        <s v="here"/>
        <s v=" "/>
        <s v="SW NEW CR https://qualcomm-cdmatech-support.my.salesforce.com/5003A00000t2cYrQAI &#10;"/>
        <s v="test data"/>
        <s v="CR  link"/>
        <s v="RPA analysis report link"/>
        <s v="SCH change link"/>
        <s v="liberty tech review link"/>
        <s v="https://idart.mot.com/browse/IKSWQ-90483"/>
        <s v="test result"/>
        <s v="IKSWR-11737"/>
        <s v="IKSWR-12689"/>
        <s v="BB Analysis"/>
        <s v="ME  Analysis "/>
        <s v="Simulation"/>
        <s v="CR"/>
      </sharedItems>
    </cacheField>
    <cacheField name="Change?" numFmtId="0">
      <sharedItems containsBlank="1">
        <m/>
        <s v="1.SCH"/>
        <s v="6.No Change"/>
        <s v="5.SW/ME/RF/ANT/Component/MFG/Vendor"/>
        <s v="3.BOM"/>
        <s v="4.Parameter"/>
        <s v="2.PCB"/>
      </sharedItems>
    </cacheField>
    <cacheField name="Project" numFmtId="0">
      <sharedItems>
        <s v="0.Copperfield"/>
        <e v="#N/A"/>
        <s v="L.Prado"/>
        <s v="K.Houston"/>
        <s v="J.Wrangler"/>
        <s v="G.Manaus NA"/>
        <s v="F.Manaus Row"/>
        <s v="E.London NA"/>
        <s v="H.Boston"/>
        <s v="D.Geneva NA"/>
        <s v="B.Dubai+ NA"/>
        <s v="A.Milan 5G"/>
        <s v="9.Yukon"/>
        <s v="8.Sierra"/>
        <s v="7.Denver"/>
        <s v="2.Stingray"/>
        <s v="4.1.Sofia NA"/>
        <s v="5.Nairobi"/>
        <s v="6.Tahoe"/>
        <s v="1.Shelby"/>
        <s v="3.Quattro"/>
        <s v="0.Andy NA"/>
        <s v="0.George NA"/>
        <s v="C.Miami"/>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L40" sheet="Miami"/>
  </cacheSource>
  <cacheFields>
    <cacheField name="Report date" numFmtId="166">
      <sharedItems containsDate="1" containsString="0" containsBlank="1">
        <d v="2022-08-15T00:00:00Z"/>
        <d v="2022-07-15T00:00:00Z"/>
        <d v="2022-06-23T00:00:00Z"/>
        <d v="2022-08-17T00:00:00Z"/>
        <d v="2022-06-22T00:00:00Z"/>
        <d v="2022-05-14T00:00:00Z"/>
        <d v="2022-05-12T00:00:00Z"/>
        <d v="2022-05-05T00:00:00Z"/>
        <d v="2022-04-25T00:00:00Z"/>
        <d v="2022-03-30T00:00:00Z"/>
        <m/>
      </sharedItems>
    </cacheField>
    <cacheField name="Phase" numFmtId="0">
      <sharedItems containsBlank="1">
        <s v="C.RAMP"/>
        <s v="B.PVT"/>
        <s v="7.DVT2"/>
        <s v="5.DVT1"/>
        <s v="4.EVT"/>
        <s v="3.PEL"/>
        <m/>
      </sharedItems>
    </cacheField>
    <cacheField name="Block" numFmtId="0">
      <sharedItems containsBlank="1">
        <s v="6.Display/Touch"/>
        <s v="12.EMC"/>
        <s v="4.Audio"/>
        <s v="3.Charging"/>
        <s v="1.Platform"/>
        <s v="7.Sensor"/>
        <m/>
      </sharedItems>
    </cacheField>
    <cacheField name="Source" numFmtId="0">
      <sharedItems containsBlank="1">
        <s v="5.6 User Feedback"/>
        <s v="6.Issue"/>
        <s v="4.Build"/>
        <s v="5.3 EE DVT"/>
        <s v="5.2 BB Test"/>
        <s v="5.1 Bring up"/>
        <m/>
      </sharedItems>
    </cacheField>
    <cacheField name="Severity" numFmtId="0">
      <sharedItems containsBlank="1">
        <s v="S3"/>
        <s v="NA"/>
        <s v="S2"/>
        <m/>
      </sharedItems>
    </cacheField>
    <cacheField name="Status" numFmtId="0">
      <sharedItems containsBlank="1">
        <s v="Closed"/>
        <s v="NA"/>
        <m/>
      </sharedItems>
    </cacheField>
    <cacheField name="Issue" numFmtId="0">
      <sharedItems containsBlank="1">
        <s v="[s3]Issue:&#10;    DFer Report 2 units black screen for 1s observed and recovered , 1 or 2 times each day when use whats app browser. &#10;        Clue:1.No relative black screen issue found in edu04 during 3T test.&#10;        Clue:2.ESD Test on failed unit, 12kV 50"/>
        <s v="Issue: 6k contact discharge ,flash light unexpected off,recoverd after  triggering on/off button again&#10;Root Cause:1.FA&#10;Solution:1.Accept"/>
        <s v="Issue: sound become lower on headset mode&#10;clue: 1. FAS4480 (audio switch ) change to wrong path switch which connect mic to gnd, gnd to mic.&#10;          &#10;Root cause: 1. PD report typec_accessory_mode 4 when headset is working and that make FSA4480 to switch"/>
        <s v="Issue: Miami Ramp 2 units CQA test wireless charge no function   （2pcs  in 15000pcs）&#10;Clue：1. Facotry ABA analysis check the fail follow U2750（MEP：CPS4019， wireless charge IC  ， SC98D48834 ，Vendor： CPS）&#10;        2. when test CPS4019 GP2 (  RXN ) with multim"/>
        <s v="[s3]Issue: NIAR220212 CQA test : wireless charge  disconnect and connect repeatedly&#10;Clue：1. Facotry ABA analysis check the fail follow U2750 （CPS4019 wireless charge IC）&#10;         2.after one day this unit report CQA unstable  ， wireless out coil ,it fail "/>
        <s v="[s3]Issue: DVT1  some Board  IF fail&#10;Clue：SW log 手机会在开机阶段，GPIO01会拉低，检测到上键被按到，如果设置了factory mode,会进入fastboot mode的问题&#10;Root Cause:  &#10;Solution: 1. temp：SW config GPIO01 of PMR735A （V+） 在判断key之前，先把gpio01设置为pull up&#10;              "/>
        <s v="[s3]Issue:WH152361  ,EDU 14 ,D 3 200V  fail on Vbat test point&#10;Root Cause:  2nd source main charge IC SC89890H .(refor to Rodhe 4G project analysis)&#10;Solution: 1. SC89890H IC improve ,sample will ready 6/10 ,DVT2 . will verify in DVT2&#10;                   2."/>
        <s v="[s3]Issue:WH150848 EVT EDU03 Test, D4 Cap-sensor CH3 no function(15KV)&#10;Root Cause: ANT C303 short circuit by ESD&#10;Solution:&#10;1.ANT 3 add TVS&#10;"/>
        <s v="[s3]Issue:TDD Noise Found in EVT&#10;Root Cause:1.Reciever Affected by Magnetic Field of GSM-PA Ground Path to two spacing Battery Connectors.&#10;2.1 Two spacing Battery connector duo to charging thermal request&#10;Solution:&#10;1.accept the result on 33dBm.&#10;2.backup a"/>
        <s v=" [s3] Issue: factory BT fail in 2nd charge IC SC89890H build&#10;Clue：1.Factory use SDP port for BT test&#10;2.SDP that need rerun BC1.2 by charge IC(ignore the 1st BC1.2 result） .&#10;3.can not get rerun INT (from Log ).&#10;4.waveform test checked there is not rerun BC"/>
        <s v="[s3] Issue: power off current =8mA .vs 0.2xA target&#10;rootcause：Audio switch current  leakage&#10;solution：change Audio switch power from VPH_PWR to LDO （not on when power off ）"/>
        <s v="[s3] Issue: Bringup ，SIM  detection can not work &#10;Clue：&#10;Miami Sub Board is designed based on dubai+ NA Sub。&#10;INT does not need external pull-up resistance on MTK platform, QC platform requires external pull-up resistance.&#10;&#10;Root Cause:  SIM INThas no pull-u"/>
        <s v="[s3] Issue: Bringup ，charging type  detection can not work &#10;Root Cause:  USB connection to charging IC incorrect &#10;Solution: 1. change PCB for EVT. done  2.EVB rework PCBA for charging related case bringup&#10; "/>
        <s v="[s3] Issue: Bringup ，Wireless charge can not work on power off mode&#10;Root Cause:   AP GPIO49 pull down FlangN when power off ，cause RXN high to stop wireless charge&#10;Solution: 1.  add a Nmos on GPIO49 &#10; "/>
        <m/>
      </sharedItems>
    </cacheField>
    <cacheField name="Doc" numFmtId="0">
      <sharedItems containsBlank="1">
        <s v="LINK"/>
        <m/>
      </sharedItems>
    </cacheField>
    <cacheField name="Owner" numFmtId="0">
      <sharedItems containsBlank="1">
        <s v="芳梅"/>
        <s v="韩凯"/>
        <s v="院长"/>
        <s v="文亭"/>
        <s v="小熊"/>
        <s v="李果"/>
        <m/>
      </sharedItems>
    </cacheField>
    <cacheField name="Assistant" numFmtId="0">
      <sharedItems containsBlank="1">
        <m/>
        <s v="韩凯"/>
      </sharedItems>
    </cacheField>
    <cacheField name="Sheet" numFmtId="0">
      <sharedItems containsBlank="1">
        <m/>
        <s v="CR"/>
      </sharedItems>
    </cacheField>
    <cacheField name="Change?" numFmtId="0">
      <sharedItems containsBlank="1">
        <m/>
        <s v="5.SW/ME/RF/ANT/Component/MFG/Vendor"/>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roject Status" cacheId="0" dataCaption="" rowGrandTotals="0" colGrandTotals="0" compact="0" compactData="0">
  <location ref="A1:E25" firstHeaderRow="0" firstDataRow="1" firstDataCol="1"/>
  <pivotFields>
    <pivotField name="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t="default"/>
      </items>
    </pivotField>
    <pivotField name="Phase" compact="0" outline="0" multipleItemSelectionAllowed="1" showAll="0">
      <items>
        <item x="0"/>
        <item x="1"/>
        <item x="2"/>
        <item x="3"/>
        <item x="4"/>
        <item x="5"/>
        <item x="6"/>
        <item x="7"/>
        <item x="8"/>
        <item x="9"/>
        <item x="10"/>
        <item x="11"/>
        <item x="12"/>
        <item t="default"/>
      </items>
    </pivotField>
    <pivotField name="Block" compact="0" outline="0" multipleItemSelectionAllowed="1" showAll="0">
      <items>
        <item x="0"/>
        <item x="1"/>
        <item x="2"/>
        <item x="3"/>
        <item x="4"/>
        <item x="5"/>
        <item x="6"/>
        <item x="7"/>
        <item x="8"/>
        <item x="9"/>
        <item x="10"/>
        <item x="11"/>
        <item x="12"/>
        <item x="13"/>
        <item x="14"/>
        <item x="15"/>
        <item t="default"/>
      </items>
    </pivotField>
    <pivotField name="Source" compact="0" outline="0" multipleItemSelectionAllowed="1" showAll="0">
      <items>
        <item x="0"/>
        <item x="1"/>
        <item x="2"/>
        <item x="3"/>
        <item x="4"/>
        <item x="5"/>
        <item x="6"/>
        <item x="7"/>
        <item x="8"/>
        <item x="9"/>
        <item x="10"/>
        <item x="11"/>
        <item x="12"/>
        <item x="13"/>
        <item x="14"/>
        <item x="15"/>
        <item x="16"/>
        <item x="17"/>
        <item t="default"/>
      </items>
    </pivotField>
    <pivotField name="Severity" compact="0" outline="0" multipleItemSelectionAllowed="1" showAll="0">
      <items>
        <item x="0"/>
        <item x="1"/>
        <item x="2"/>
        <item x="3"/>
        <item x="4"/>
        <item t="default"/>
      </items>
    </pivotField>
    <pivotField name="Status" axis="axisCol" dataField="1" compact="0" outline="0" multipleItemSelectionAllowed="1" showAll="0" sortType="ascending">
      <items>
        <item h="1" x="4"/>
        <item x="0"/>
        <item x="2"/>
        <item x="3"/>
        <item x="1"/>
        <item t="default"/>
      </items>
    </pivotField>
    <pivotField name="Iss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t="default"/>
      </items>
    </pivotField>
    <pivotField name="Doc"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Own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Assista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She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Change?" compact="0" outline="0" multipleItemSelectionAllowed="1" showAll="0">
      <items>
        <item x="0"/>
        <item x="1"/>
        <item x="2"/>
        <item x="3"/>
        <item x="4"/>
        <item x="5"/>
        <item x="6"/>
        <item t="default"/>
      </items>
    </pivotField>
    <pivotField name="Project" axis="axisRow" compact="0" outline="0" multipleItemSelectionAllowed="1" showAll="0" sortType="ascending">
      <items>
        <item x="21"/>
        <item x="0"/>
        <item x="22"/>
        <item x="19"/>
        <item x="15"/>
        <item x="20"/>
        <item x="16"/>
        <item x="17"/>
        <item x="18"/>
        <item x="14"/>
        <item x="13"/>
        <item x="12"/>
        <item x="11"/>
        <item x="10"/>
        <item x="23"/>
        <item x="9"/>
        <item x="7"/>
        <item x="6"/>
        <item x="5"/>
        <item x="8"/>
        <item x="4"/>
        <item x="3"/>
        <item x="2"/>
        <item h="1" x="1"/>
        <item t="default"/>
      </items>
    </pivotField>
  </pivotFields>
  <rowFields>
    <field x="12"/>
  </rowFields>
  <colFields>
    <field x="5"/>
  </colFields>
  <dataFields>
    <dataField name="COUNTA of Status" fld="5" subtotal="count" baseField="0"/>
  </dataFields>
</pivotTableDefinition>
</file>

<file path=xl/pivotTables/pivotTable2.xml><?xml version="1.0" encoding="utf-8"?>
<pivotTableDefinition xmlns="http://schemas.openxmlformats.org/spreadsheetml/2006/main" name="Miami" cacheId="1" dataCaption="" rowGrandTotals="0" compact="0" compactData="0">
  <location ref="G41:G48" firstHeaderRow="0" firstDataRow="2" firstDataCol="0" rowPageCount="1" colPageCount="1"/>
  <pivotFields>
    <pivotField name="Report date" compact="0" numFmtId="166" outline="0" multipleItemSelectionAllowed="1" showAll="0">
      <items>
        <item x="0"/>
        <item x="1"/>
        <item x="2"/>
        <item x="3"/>
        <item x="4"/>
        <item x="5"/>
        <item x="6"/>
        <item x="7"/>
        <item x="8"/>
        <item x="9"/>
        <item x="10"/>
        <item t="default"/>
      </items>
    </pivotField>
    <pivotField name="Phase" compact="0" outline="0" multipleItemSelectionAllowed="1" showAll="0">
      <items>
        <item x="0"/>
        <item x="1"/>
        <item x="2"/>
        <item x="3"/>
        <item x="4"/>
        <item x="5"/>
        <item x="6"/>
        <item t="default"/>
      </items>
    </pivotField>
    <pivotField name="Block" compact="0" outline="0" multipleItemSelectionAllowed="1" showAll="0">
      <items>
        <item x="0"/>
        <item x="1"/>
        <item x="2"/>
        <item x="3"/>
        <item x="4"/>
        <item x="5"/>
        <item x="6"/>
        <item t="default"/>
      </items>
    </pivotField>
    <pivotField name="Source" compact="0" outline="0" multipleItemSelectionAllowed="1" showAll="0">
      <items>
        <item x="0"/>
        <item x="1"/>
        <item x="2"/>
        <item x="3"/>
        <item x="4"/>
        <item x="5"/>
        <item x="6"/>
        <item t="default"/>
      </items>
    </pivotField>
    <pivotField name="Severity" axis="axisPage" compact="0" outline="0" multipleItemSelectionAllowed="1" showAll="0">
      <items>
        <item x="0"/>
        <item h="1" x="1"/>
        <item x="2"/>
        <item h="1" x="3"/>
        <item t="default"/>
      </items>
    </pivotField>
    <pivotField name="Status" axis="axisRow" compact="0" outline="0" multipleItemSelectionAllowed="1" showAll="0" sortType="ascending">
      <items>
        <item h="1" x="2"/>
        <item h="1" x="0"/>
        <item h="1" x="1"/>
        <item t="default"/>
      </items>
    </pivotField>
    <pivotField name="Issue" axis="axisRow" compact="0" outline="0" multipleItemSelectionAllowed="1" showAll="0" sortType="ascending" defaultSubtotal="0">
      <items>
        <item x="14"/>
        <item x="9"/>
        <item x="12"/>
        <item x="11"/>
        <item x="13"/>
        <item x="10"/>
        <item x="0"/>
        <item x="5"/>
        <item x="4"/>
        <item x="8"/>
        <item x="7"/>
        <item x="6"/>
        <item x="1"/>
        <item x="3"/>
        <item x="2"/>
      </items>
    </pivotField>
    <pivotField name="Doc" compact="0" outline="0" multipleItemSelectionAllowed="1" showAll="0">
      <items>
        <item x="0"/>
        <item x="1"/>
        <item t="default"/>
      </items>
    </pivotField>
    <pivotField name="Owner" compact="0" outline="0" multipleItemSelectionAllowed="1" showAll="0">
      <items>
        <item x="0"/>
        <item x="1"/>
        <item x="2"/>
        <item x="3"/>
        <item x="4"/>
        <item x="5"/>
        <item x="6"/>
        <item t="default"/>
      </items>
    </pivotField>
    <pivotField name="Assistant" compact="0" outline="0" multipleItemSelectionAllowed="1" showAll="0">
      <items>
        <item x="0"/>
        <item x="1"/>
        <item t="default"/>
      </items>
    </pivotField>
    <pivotField name="Sheet" compact="0" outline="0" multipleItemSelectionAllowed="1" showAll="0">
      <items>
        <item x="0"/>
        <item x="1"/>
        <item t="default"/>
      </items>
    </pivotField>
    <pivotField name="Change?" compact="0" outline="0" multipleItemSelectionAllowed="1" showAll="0">
      <items>
        <item x="0"/>
        <item x="1"/>
        <item t="default"/>
      </items>
    </pivotField>
  </pivotFields>
  <rowFields>
    <field x="6"/>
    <field x="5"/>
  </rowFields>
  <pageFields>
    <pageField fld="4"/>
  </pageFields>
</pivotTableDefinition>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 dT="2017-05-22T02:26:00.00" personId="{515ecdfa-17a5-45e9-8370-442994ed0931}" id="{da6acae5-de7b-4314-97fd-e25886a7f1b5}" done="1">
    <x18tc:text xml:space="preserve">@chenwt@motorola.com 
@xiongsn1@motorola.com 
@dongjk@motorola.com 
@yangwla@motorola.com 
@liujjg@motorola.com 
@wuxm5@motorola.com 
@changfm1@motorola.com 
@liguoa@motorola.com 
@xiaozh1@motorola.com 
@chenw24@motorola.com 
@huangls5@motorola.com 
Issue Risk Severity Definition:
S1 – impact consumer, program blocking issue, must fix prior to ship
S2 – impact consumer, but have plan to fix, manageable risk
S3 – low risk of getting field returns, can fix but may not be able to fix due to time or design limitations.</x18tc:text>
    <x18tc:mentions>
      <x18tc:mention mentionpersonId="{bdd1ce91-40c2-41d8-8897-275c11d3b7d8}" mentionId="{6744577d-1c89-442c-9047-e57a60c45893}" startIndex="0" length="20"/>
      <x18tc:mention mentionpersonId="{29c1a8e0-e66d-4172-98d4-3780dccea77b}" mentionId="{7e3ab802-9c05-4a30-814a-36efbd71b163}" startIndex="22" length="22"/>
      <x18tc:mention mentionpersonId="{c74c1934-3d95-4335-a0ea-764c3940074b}" mentionId="{40020efe-5815-4585-b9d7-d5e39ec1d63d}" startIndex="46" length="20"/>
      <x18tc:mention mentionpersonId="{bfab316f-3c6f-495a-954b-98c3299c9c97}" mentionId="{61368622-285c-4567-9b4a-7f95497fee43}" startIndex="68" length="21"/>
      <x18tc:mention mentionpersonId="{57ce948b-c47e-4020-b87e-bf36ac46f5f5}" mentionId="{4ca69e61-0d15-4d91-9eba-83fb542a0436}" startIndex="91" length="20"/>
      <x18tc:mention mentionpersonId="{200db89f-b2fd-4768-8b3f-704e424e69fc}" mentionId="{43c04e3b-6548-4622-9aa9-e739149d28fb}" startIndex="113" length="19"/>
      <x18tc:mention mentionpersonId="{9f1abf6f-4b70-4fd0-b4d1-53c68e3022c5}" mentionId="{773b2f78-d0bb-4818-8eff-9ada319e4fe8}" startIndex="134" length="22"/>
      <x18tc:mention mentionpersonId="{466ad751-a4a6-489f-b0f0-680e8e3625fe}" mentionId="{0065ceba-bdac-407b-9667-a07f772c2d6e}" startIndex="158" length="20"/>
      <x18tc:mention mentionpersonId="{d3bc4f64-10ef-41fd-9d7c-32349da106cc}" mentionId="{a9a10691-ae09-4e00-935c-29bff33dd18d}" startIndex="180" length="21"/>
      <x18tc:mention mentionpersonId="{a04b8025-a96c-4e81-a99d-9d3df5d81c51}" mentionId="{ef89306f-61f9-4773-a32f-c211ad43a115}" startIndex="203" length="21"/>
      <x18tc:mention mentionpersonId="{fe847830-993b-408e-a324-030a6e8743a8}" mentionId="{05bee45a-ff5b-4694-a224-d1fc4cdfa5e5}" startIndex="226" length="22"/>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1" dT="2017-07-06T08:55:36.00" personId="{515ecdfa-17a5-45e9-8370-442994ed0931}" id="{4102213e-47f2-454b-97b2-9881ec69ae12}" done="0">
    <x18tc:text xml:space="preserve">@dongjk@motorola.com 
Using this sheet to manage Issue
分配给了dongjk@motorola.com</x18tc:text>
    <x18tc:mentions>
      <x18tc:mention mentionpersonId="{c74c1934-3d95-4335-a0ea-764c3940074b}" mentionId="{aba248ec-ba1c-40e8-9d9c-bb252f43c2d7}" startIndex="0" length="20"/>
    </x18tc:mentions>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18-12-04T09:53:42.00" personId="{264256c3-bbc9-47ac-9dd7-8d4b1679bb68}" id="{8ab7e6c7-f7b3-43b9-adbf-8eb3b3a6c424}" done="0">
    <x18tc:text xml:space="preserve">@puzhe1@motorola.com 
@fanlf@motorola.com 
@liguoa@motorola.com 
Hi 浦喆
这个case 需要先确认是否可以复现，因为这个器件的更换涉及到快速验证是否有效，因为RF 判断压敏电阻对他们ok，我们认为TVS对ESDok ，是有矛盾的。没快速验证前是不知道下一步要用哪个</x18tc:text>
    <x18tc:mentions>
      <x18tc:mention mentionpersonId="{3bfa2978-53c6-4689-a7e2-f41898c823e3}" mentionId="{d67120d4-b6af-41dc-a537-fc911cd25b40}" startIndex="0" length="20"/>
      <x18tc:mention mentionpersonId="{89829eb4-0844-4193-86c6-4fc6afe868fc}" mentionId="{0d9e5be6-d757-4c7f-8583-bf9bf68ccf3a}" startIndex="22" length="19"/>
      <x18tc:mention mentionpersonId="{466ad751-a4a6-489f-b0f0-680e8e3625fe}" mentionId="{31247832-d39d-40c6-a873-abbaa6a2754a}" startIndex="43" length="20"/>
    </x18tc:mentions>
  </x18tc:threadedComment>
  <x18tc:threadedComment ref="A1" dT="2018-11-08T03:09:39.00" personId="{515ecdfa-17a5-45e9-8370-442994ed0931}" id="{ed59b608-20a1-46f1-9e2e-e31324a622b5}" done="1">
    <x18tc:text xml:space="preserve">@puzhe1@motorola.com 
Use new issue template.
https://docs.google.com/presentation/d/1Lxnxo6d33DuFNAjZPIzVD4hcmgTClTdH7Pgrggh5U_0/edit#slide=id.g2e3f5d4988_1_0
分配给了</x18tc:text>
    <x18tc:mentions>
      <x18tc:mention mentionpersonId="{3bfa2978-53c6-4689-a7e2-f41898c823e3}" mentionId="{e79fe7e6-660f-4825-ad73-60061162a236}" startIndex="0" length="20"/>
    </x18tc:mentions>
    <x18tc:extLst>
      <ext uri="{F7C98A9C-CBB3-438F-8F68-D28B6AF4A901}">
        <xltc2:checksum/>
        <xltc2:hyperlink startIndex="46" length="113" url="https://docs.google.com/presentation/d/1Lxnxo6d33DuFNAjZPIzVD4hcmgTClTdH7Pgrggh5U_0/edit#slide=id.g2e3f5d4988_1_0"/>
      </ext>
    </x18tc:extLst>
  </x18tc:threadedComment>
  <x18tc:threadedComment ref="A1" dT="2019-03-08T06:57:44.00" personId="{8628f759-eaee-4210-b9e3-5e4cf3a639c5}" id="{1618ab2a-67cd-45cb-9fc8-557bf65501bd}" done="1">
    <x18tc:text xml:space="preserve">@fanlf@motorola.com 
@linfenga@motorola.com 
Pls add green for S3, Yellow for S2, Red for S1, I am tired to change format every time , pls fixed in your source data.</x18tc:text>
    <x18tc:mentions>
      <x18tc:mention mentionpersonId="{89829eb4-0844-4193-86c6-4fc6afe868fc}" mentionId="{86376518-92e4-4c5e-8b04-ce9fb0a946cb}" startIndex="0" length="19"/>
      <x18tc:mention mentionpersonId="{6c148249-be48-463d-bf99-d2efef89b01f}" mentionId="{308ea798-c740-42b9-9975-8f1efbda920a}" startIndex="21" length="22"/>
    </x18tc:mentions>
  </x18tc:threadedComment>
  <x18tc:threadedComment ref="A1" dT="2019-03-21T09:41:29.00" personId="{515ecdfa-17a5-45e9-8370-442994ed0931}" id="{66ec1cac-937a-449b-ba19-385afb864637}" parentId="{1618ab2a-67cd-45cb-9fc8-557bf65501bd}">
    <x18tc:text xml:space="preserve">Not Possible here，Will update the color in G Doc.</x18tc:text>
  </x18tc:threadedComment>
  <x18tc:threadedComment ref="A1" dT="2019-03-08T07:01:14.00" personId="{8628f759-eaee-4210-b9e3-5e4cf3a639c5}" id="{c1145e7a-c234-4681-8e19-f6f5055473e2}" done="1">
    <x18tc:text xml:space="preserve">@fanlf@motorola.com 
Pls update the rootcause,need clear description  in weekly report</x18tc:text>
    <x18tc:mentions>
      <x18tc:mention mentionpersonId="{89829eb4-0844-4193-86c6-4fc6afe868fc}" mentionId="{fcdb534d-db33-4679-a83a-357702861920}" startIndex="0" length="19"/>
    </x18tc:mentions>
  </x18tc:threadedComment>
  <x18tc:threadedComment ref="A1" dT="2023-02-16T02:55:18.00" personId="{515ecdfa-17a5-45e9-8370-442994ed0931}" id="{98d23b00-16f5-4b0c-9087-d0f1460dbc4d}" done="1">
    <x18tc:text xml:space="preserve">@linfenga@motorola.com 
please update thermal if issued here for better sync with team.
分配给了linfenga@motorola.com</x18tc:text>
    <x18tc:mentions>
      <x18tc:mention mentionpersonId="{6c148249-be48-463d-bf99-d2efef89b01f}" mentionId="{5b11e72b-f3e1-467f-a755-998e7647a8bb}" startIndex="0" length="22"/>
    </x18tc:mentions>
  </x18tc:threadedComment>
  <x18tc:threadedComment ref="A1" dT="2023-05-17T10:57:01.00" personId="{264256c3-bbc9-47ac-9dd7-8d4b1679bb68}" id="{31c3a8e5-efcc-4c7d-9e79-877b749bdad5}" done="1">
    <x18tc:text xml:space="preserve">@fanlf@motorola.com 
@wuxm5@motorola.com 
0x80 的新开一个文档，请在这个文档上继续更新，谢谢</x18tc:text>
    <x18tc:mentions>
      <x18tc:mention mentionpersonId="{89829eb4-0844-4193-86c6-4fc6afe868fc}" mentionId="{75f23ec4-2bb2-4321-8bf0-9d488c49f7fc}" startIndex="0" length="19"/>
      <x18tc:mention mentionpersonId="{200db89f-b2fd-4768-8b3f-704e424e69fc}" mentionId="{186090d5-abce-4aed-ad1f-5080f0f9bd05}" startIndex="21" length="19"/>
    </x18tc:mentions>
  </x18tc:threadedComment>
  <x18tc:threadedComment ref="A1" dT="2020-05-20T02:57:54.00" personId="{264256c3-bbc9-47ac-9dd7-8d4b1679bb68}" id="{f3ac7b0b-0809-49ea-b23a-9d53852afa26}" done="1">
    <x18tc:text xml:space="preserve">@changfm1@motorola.com 
@linfenga@motorola.com 
@fanlf@motorola.com 
HI 芳梅
这个是今天早上 justin提到的 产线测试发现的开关机屏闪问题，看CR描述，目前没有故障视频，在等待测试FPS =60 （ 原来是90？），可以问下 德振是否需要HW介入吧</x18tc:text>
    <x18tc:mentions>
      <x18tc:mention mentionpersonId="{9f1abf6f-4b70-4fd0-b4d1-53c68e3022c5}" mentionId="{8d6f3d3b-5647-478a-8de4-b1d41219019e}" startIndex="0" length="22"/>
      <x18tc:mention mentionpersonId="{6c148249-be48-463d-bf99-d2efef89b01f}" mentionId="{e835bbdc-b2d8-4ef9-a668-d21ece86e0b7}" startIndex="24" length="22"/>
      <x18tc:mention mentionpersonId="{89829eb4-0844-4193-86c6-4fc6afe868fc}" mentionId="{586e0348-0cfe-4e40-a85b-7fcd0643f005}" startIndex="48" length="19"/>
    </x18tc:mentions>
  </x18tc:threadedComment>
  <x18tc:threadedComment ref="G4" dT="2026-05-13T03:11:19.00" personId="{264256c3-bbc9-47ac-9dd7-8d4b1679bb68}" id="{2a631668-bf1b-4d01-97fb-2cc697842ec8}" done="0">
    <x18tc:text xml:space="preserve">@liguoa@motorola.com 
提醒下，如果有短路就有可能会干涉风险。因为电容除了外部短路外，如果被严重挤压，本体也会坏掉短路。建议确认下 间隙风险 ，谢谢
分配给了liguoa@motorola.com</x18tc:text>
    <x18tc:mentions>
      <x18tc:mention mentionpersonId="{466ad751-a4a6-489f-b0f0-680e8e3625fe}" mentionId="{ca7b3099-8663-4579-92ad-4e12d3d8ba20}" startIndex="0" length="20"/>
    </x18tc:mentions>
  </x18tc:threadedComment>
  <x18tc:threadedComment ref="A1" dT="2018-09-20T02:56:35.00" personId="{264256c3-bbc9-47ac-9dd7-8d4b1679bb68}" id="{58dc7294-d6ac-4ec4-8688-ccd7d95c74f2}" done="0">
    <x18tc:text xml:space="preserve">@dongjk@motorola.com 
@fanlf@motorola.com 
HI 小董
UFS 这次case ，你来汇总吧，你将issue link 放过来，最好也能更新下这边内容，谢谢 。（特别关注生产要如何做。  这点希望9/21 前有结论。计划中秋后第一天25号就会出版本，并试产）</x18tc:text>
    <x18tc:mentions>
      <x18tc:mention mentionpersonId="{c74c1934-3d95-4335-a0ea-764c3940074b}" mentionId="{7bf39c2d-01e2-4693-a468-708bbf8456a2}" startIndex="0" length="20"/>
      <x18tc:mention mentionpersonId="{89829eb4-0844-4193-86c6-4fc6afe868fc}" mentionId="{ed8c53c9-6484-460d-9207-bb5fede587f4}" startIndex="22" length="19"/>
    </x18tc:mentions>
  </x18tc:threadedComment>
  <x18tc:threadedComment ref="A1" dT="2019-08-01T06:07:34.00" personId="{707fe07e-9ef9-437f-a53f-1159714f889b}" id="{d3145a25-19ae-45f5-aa6a-48f9558b4fc5}" done="0">
    <x18tc:text xml:space="preserve">@chenbang3@motorola.com ；
故障机已提供，请更新这里
分配给了chenbang3@motorola.com</x18tc:text>
    <x18tc:mentions>
      <x18tc:mention mentionpersonId="{537aa0a9-a001-4015-9b7a-8e1355760653}" mentionId="{b0dac1ac-299b-4402-ab61-ffcacf90a8e4}" startIndex="0" length="23"/>
    </x18tc:mentions>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8" dT="2025-12-10T02:21:38.00" personId="{7e913e6b-de4e-4849-9003-1ee307a30106}" id="{ba2aefbe-6fbf-41a2-a8e6-cbd5ee563d1b}" done="1">
    <x18tc:text xml:space="preserve">@liguoa@motorola.com 帮忙维护下
分配给了liguoa@motorola.com</x18tc:text>
    <x18tc:mentions>
      <x18tc:mention mentionpersonId="{466ad751-a4a6-489f-b0f0-680e8e3625fe}" mentionId="{13d9c123-4f43-4e58-a129-192c4f586a1e}" startIndex="0" length="20"/>
    </x18tc:mentions>
  </x18tc:threadedComment>
  <x18tc:threadedComment ref="G15" dT="2025-11-12T10:56:43.00" personId="{264256c3-bbc9-47ac-9dd7-8d4b1679bb68}" id="{aeede61d-0c62-4c72-b09c-dce1fc8df717}" done="1">
    <x18tc:text xml:space="preserve">@liaozl2@motorola.com 
这边我等级一下这条，这个也是比较大的问题。第一步要先分析故障。谢谢 ，如沟通，尽快返回故障机，我配合一起分析，然后找solution 。
分配给了liaozl2@motorola.com</x18tc:text>
    <x18tc:mentions>
      <x18tc:mention mentionpersonId="{ecec1d2d-2b30-41b3-a25c-d9ad805adb9c}" mentionId="{ca2c8783-d258-4bf0-910c-f7f2a6696050}" startIndex="0" length="21"/>
    </x18tc:mentions>
  </x18tc:threadedComment>
  <x18tc:threadedComment ref="G15" dT="2025-11-13T01:55:37.00" personId="{25a3379c-f0e8-4dec-ad6a-9b9f7b1b59c1}" id="{05881c26-9fc3-4f50-9b26-f7bd61bbfbe7}" parentId="{aeede61d-0c62-4c72-b09c-dce1fc8df717}">
    <x18tc:text xml:space="preserve">好的，昨晚已经让邓林返回，故障机器应该明天可以到，谢谢~</x18tc:text>
  </x18tc:threadedComment>
  <x18tc:threadedComment ref="H6" dT="2026-01-15T01:46:41.00" personId="{264256c3-bbc9-47ac-9dd7-8d4b1679bb68}" id="{2168e085-6cf1-4900-b4c1-1ea5e959fe52}" done="1">
    <x18tc:text xml:space="preserve">@linfenga@motorola.com 
@xiaozh1@motorola.com 
新发现的无线充相关问题，还在找线索。请知悉</x18tc:text>
    <x18tc:mentions>
      <x18tc:mention mentionpersonId="{6c148249-be48-463d-bf99-d2efef89b01f}" mentionId="{7ffe71d5-d8a1-45d1-ba87-02b31aa221e3}" startIndex="0" length="22"/>
      <x18tc:mention mentionpersonId="{d3bc4f64-10ef-41fd-9d7c-32349da106cc}" mentionId="{08d0e5cf-eed1-4035-ae89-683fcd3a9c67}" startIndex="24" length="21"/>
    </x18tc:mentions>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11" dT="2025-09-02T09:05:19.00" personId="{264256c3-bbc9-47ac-9dd7-8d4b1679bb68}" id="{f8cec7c5-cb1b-4114-aec0-ebcebf87290b}" done="1">
    <x18tc:text xml:space="preserve">@xiongsn1@motorola.com 
@linfenga@motorola.com 
HI 熊
我根据目前的分析情况，更新以上信息，请知悉。
听说坐压试验 也出了一台，机器正在准备寄回来。 这个单独再开一条issue哈
分配给了xiongsn1@motorola.com</x18tc:text>
    <x18tc:mentions>
      <x18tc:mention mentionpersonId="{29c1a8e0-e66d-4172-98d4-3780dccea77b}" mentionId="{f9c3356c-dbc0-45db-8ade-162859c8eeef}" startIndex="0" length="22"/>
      <x18tc:mention mentionpersonId="{6c148249-be48-463d-bf99-d2efef89b01f}" mentionId="{45bec77c-0b4d-4667-b102-b378f00e58f8}" startIndex="24" length="22"/>
    </x18tc:mentions>
  </x18tc:threadedComment>
  <x18tc:threadedComment ref="H4" dT="2025-10-21T09:14:36.00" personId="{264256c3-bbc9-47ac-9dd7-8d4b1679bb68}" id="{6f001744-fb95-49b2-a8a9-41c0a0eb4ff1}" done="1">
    <x18tc:text xml:space="preserve">@liguoa@motorola.com 
@linfenga@motorola.com 
HI  果子，
这个case 刚收到SWloop 邮件，请关注下，看下一步要如何处理，谢谢
分配给了liguoa@motorola.com</x18tc:text>
    <x18tc:mentions>
      <x18tc:mention mentionpersonId="{466ad751-a4a6-489f-b0f0-680e8e3625fe}" mentionId="{42bdb453-1f4d-4b49-aa7d-a0db4bb41b00}" startIndex="0" length="20"/>
      <x18tc:mention mentionpersonId="{6c148249-be48-463d-bf99-d2efef89b01f}" mentionId="{a555ffdc-ff0f-4e7b-abb2-a66f8f5c5cf5}" startIndex="22" length="22"/>
    </x18tc:mentions>
  </x18tc:threadedComment>
  <x18tc:threadedComment ref="H2" dT="2026-01-05T08:50:21.00" personId="{264256c3-bbc9-47ac-9dd7-8d4b1679bb68}" id="{5acd384f-f5ec-4395-bca3-8323647bcfc5}" done="1">
    <x18tc:text xml:space="preserve">@dongjk@motorola.com 
@wuxm5@motorola.com 
@linfenga@motorola.com 
Hi 小董
这个事情建议有个文档，便于整理对应的信息，谢谢
分配给了dongjk@motorola.com</x18tc:text>
    <x18tc:mentions>
      <x18tc:mention mentionpersonId="{c74c1934-3d95-4335-a0ea-764c3940074b}" mentionId="{7100babd-48d6-42e9-8619-2349280990b0}" startIndex="0" length="20"/>
      <x18tc:mention mentionpersonId="{200db89f-b2fd-4768-8b3f-704e424e69fc}" mentionId="{30b8ab82-ea87-4660-861a-920695bb4672}" startIndex="22" length="19"/>
      <x18tc:mention mentionpersonId="{6c148249-be48-463d-bf99-d2efef89b01f}" mentionId="{739b9c84-81b8-4c68-b40a-3f17b15bba21}" startIndex="43" length="22"/>
    </x18tc:mentions>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11" dT="2024-12-05T09:04:58.00" personId="{7e913e6b-de4e-4849-9003-1ee307a30106}" id="{ecf9a45a-7628-42d8-b62d-def0b80ce024}" done="0">
    <x18tc:text xml:space="preserve">@liaozl2@motorola.com   分析后整理个文档，汇总下
分配给了liaozl2@motorola.com</x18tc:text>
    <x18tc:mentions>
      <x18tc:mention mentionpersonId="{ecec1d2d-2b30-41b3-a25c-d9ad805adb9c}" mentionId="{7119c326-9f56-4318-b75f-9c482ee7e89b}" startIndex="0" length="21"/>
    </x18tc:mentions>
  </x18tc:threadedComment>
  <x18tc:threadedComment ref="I11" dT="2024-12-05T09:11:14.00" personId="{25a3379c-f0e8-4dec-ad6a-9b9f7b1b59c1}" id="{da297a9e-f6e7-4965-949f-846ec9cac4d3}" parentId="{ecf9a45a-7628-42d8-b62d-def0b80ce024}">
    <x18tc:text xml:space="preserve">好的</x18tc:text>
  </x18tc:threadedComment>
  <x18tc:threadedComment ref="I9" dT="2024-12-10T01:47:44.00" personId="{7e913e6b-de4e-4849-9003-1ee307a30106}" id="{dfe11912-7556-4ca0-b5ac-81e066f46eff}" done="0">
    <x18tc:text xml:space="preserve">@xiongsn1@motorola.com 小熊，有空帮忙整理下状态，或者需要的资源
分配给了xiongsn1@motorola.com</x18tc:text>
    <x18tc:mentions>
      <x18tc:mention mentionpersonId="{29c1a8e0-e66d-4172-98d4-3780dccea77b}" mentionId="{d6cee1b3-2284-449f-a8a2-98f7dab807a8}" startIndex="0" length="22"/>
    </x18tc:mentions>
  </x18tc:threadedComment>
  <x18tc:threadedComment ref="I14" dT="2024-11-27T06:11:22.00" personId="{264256c3-bbc9-47ac-9dd7-8d4b1679bb68}" id="{a3edef9f-b431-4144-b543-bb26525acc07}" done="0">
    <x18tc:text xml:space="preserve">@xiongsn1@motorola.com 
@xiaozh1@motorola.com 
@linfenga@motorola.com 
这边记录一条issue 吧，也便于文档的记录存档，具体待细节分析后续请更新哈
分配给了xiongsn1@motorola.com</x18tc:text>
    <x18tc:mentions>
      <x18tc:mention mentionpersonId="{29c1a8e0-e66d-4172-98d4-3780dccea77b}" mentionId="{0c643f70-b7a5-424f-871d-3d954ab02419}" startIndex="0" length="22"/>
      <x18tc:mention mentionpersonId="{d3bc4f64-10ef-41fd-9d7c-32349da106cc}" mentionId="{eced5d2d-80ef-4752-947b-7420b8ebd76a}" startIndex="24" length="21"/>
      <x18tc:mention mentionpersonId="{6c148249-be48-463d-bf99-d2efef89b01f}" mentionId="{96852841-bb2b-4ba9-a850-cac0e00d7107}" startIndex="47" length="22"/>
    </x18tc:mentions>
  </x18tc:threadedComment>
  <x18tc:threadedComment ref="H12" dT="2024-12-04T02:18:56.00" personId="{7e913e6b-de4e-4849-9003-1ee307a30106}" id="{3fe16069-51b9-4c27-946e-c7d8040cf894}" done="0">
    <x18tc:text xml:space="preserve">@xiongsn1@motorola.com @chenwt@motorola.com 有空记录并更新下状态
分配给了xiongsn1@motorola.com</x18tc:text>
    <x18tc:mentions>
      <x18tc:mention mentionpersonId="{29c1a8e0-e66d-4172-98d4-3780dccea77b}" mentionId="{1e0c3542-893e-4a50-b007-638c4899ff60}" startIndex="0" length="22"/>
      <x18tc:mention mentionpersonId="{bdd1ce91-40c2-41d8-8897-275c11d3b7d8}" mentionId="{eaa59c0c-2284-4bf4-b11c-ebf7c88162ff}" startIndex="23" length="20"/>
    </x18tc:mentions>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4" dT="2024-12-05T02:51:47.00" personId="{264256c3-bbc9-47ac-9dd7-8d4b1679bb68}" id="{d4b4878a-b396-42ec-9d42-b11bfb12075e}" done="1">
    <x18tc:text xml:space="preserve">@xiaozh1@motorola.com 
@wuxm5@motorola.com 
@fanlf@motorola.com 
这个case 我建一条Issue 。创建个文档，请继续更新结果哈。谢谢
分配给了wuxm5@motorola.com</x18tc:text>
    <x18tc:mentions>
      <x18tc:mention mentionpersonId="{d3bc4f64-10ef-41fd-9d7c-32349da106cc}" mentionId="{c44acdee-980c-45dc-a82b-daefbf7c97f9}" startIndex="0" length="21"/>
      <x18tc:mention mentionpersonId="{200db89f-b2fd-4768-8b3f-704e424e69fc}" mentionId="{9cad4a75-9fd2-4d8d-b49b-077bdb42ac78}" startIndex="23" length="19"/>
      <x18tc:mention mentionpersonId="{89829eb4-0844-4193-86c6-4fc6afe868fc}" mentionId="{0d84eae5-2f54-4678-94c0-7c1a0c0c0ac3}" startIndex="44" length="19"/>
    </x18tc:mentions>
  </x18tc:threadedComment>
  <x18tc:threadedComment ref="I22" dT="2024-09-20T06:39:18.00" personId="{264256c3-bbc9-47ac-9dd7-8d4b1679bb68}" id="{dafd58e4-bad9-48c4-8bed-da907216a1bc}" done="1">
    <x18tc:text xml:space="preserve">@fanlf@motorola.com 
@xiongsn1@motorola.com 
@linfenga@motorola.com 
这个case 看起来会升级了，rework 一批机器7台，投入测试，发现有4台机器fail了。证明说是个真实问题 。请先知悉</x18tc:text>
    <x18tc:mentions>
      <x18tc:mention mentionpersonId="{89829eb4-0844-4193-86c6-4fc6afe868fc}" mentionId="{7b8498f8-b25d-49c3-8292-42b1bf5ea000}" startIndex="0" length="19"/>
      <x18tc:mention mentionpersonId="{29c1a8e0-e66d-4172-98d4-3780dccea77b}" mentionId="{e0443e1a-ad8a-4373-b47e-a6274e9db4b8}" startIndex="21" length="22"/>
      <x18tc:mention mentionpersonId="{6c148249-be48-463d-bf99-d2efef89b01f}" mentionId="{4cf4c147-1c4c-4485-afa0-5a363cacea26}" startIndex="45" length="22"/>
    </x18tc:mentions>
  </x18tc:threadedComment>
  <x18tc:threadedComment ref="H35" dT="2024-08-30T08:08:41.00" personId="{264256c3-bbc9-47ac-9dd7-8d4b1679bb68}" id="{e3e9efe0-3efb-4999-b163-f8fef3ac9f44}" done="1">
    <x18tc:text xml:space="preserve">@changfm1@motorola.com 
到时候有文档，放个链接哈，谢谢
分配给了changfm1@motorola.com</x18tc:text>
    <x18tc:mentions>
      <x18tc:mention mentionpersonId="{9f1abf6f-4b70-4fd0-b4d1-53c68e3022c5}" mentionId="{f149f8dd-ce8a-44d3-b22b-c9a80e6d2e19}" startIndex="0" length="22"/>
    </x18tc:mentions>
  </x18tc:threadedComment>
  <x18tc:threadedComment ref="H39" dT="2024-07-03T10:13:07.00" personId="{264256c3-bbc9-47ac-9dd7-8d4b1679bb68}" id="{44365c22-de61-498e-b65a-27cb2dbdf1a7}" done="1">
    <x18tc:text xml:space="preserve">@xiongsn1@motorola.com 
放一个链接收集所有相关信息，谢谢</x18tc:text>
    <x18tc:mentions>
      <x18tc:mention mentionpersonId="{29c1a8e0-e66d-4172-98d4-3780dccea77b}" mentionId="{ec3652c8-6723-4cb4-b486-865b9feef479}" startIndex="0" length="22"/>
    </x18tc:mentions>
  </x18tc:threadedComment>
  <x18tc:threadedComment ref="H39" dT="2024-07-04T02:09:02.00" personId="{264256c3-bbc9-47ac-9dd7-8d4b1679bb68}" id="{6984dd26-20e2-4b4e-a64e-2bc38f30866f}" parentId="{44365c22-de61-498e-b65a-27cb2dbdf1a7}">
    <x18tc:text xml:space="preserve">我先创建一个空白的，有啥信息就往里面补哈</x18tc:text>
  </x18tc:threadedComment>
  <x18tc:threadedComment ref="I28" dT="2024-09-20T01:59:41.00" personId="{264256c3-bbc9-47ac-9dd7-8d4b1679bb68}" id="{e6c60b54-e3cb-46b5-97f7-5e50b39f2d01}" done="1">
    <x18tc:text xml:space="preserve">@xiaozh1@motorola.com 
@xiongsn1@motorola.com
@liaozl2@motorola.com 
hi 志浩
这个机器你看下是否收到，没有的话主动找 建希 和邓玲看下怎样尽快拿到，尽快有个结果省得一堆人催着，谢谢
分配给了xiaozh1@motorola.com</x18tc:text>
    <x18tc:mentions>
      <x18tc:mention mentionpersonId="{d3bc4f64-10ef-41fd-9d7c-32349da106cc}" mentionId="{4e7c8d63-fa50-4e10-9f4f-593b35627659}" startIndex="0" length="21"/>
      <x18tc:mention mentionpersonId="{29c1a8e0-e66d-4172-98d4-3780dccea77b}" mentionId="{c46b3aa3-64f7-4999-bfc7-94e140c8833f}" startIndex="23" length="22"/>
      <x18tc:mention mentionpersonId="{ecec1d2d-2b30-41b3-a25c-d9ad805adb9c}" mentionId="{65c06997-82a1-4b1c-a776-9c45d7575a9a}" startIndex="46" length="21"/>
    </x18tc:mentions>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2" dT="2024-10-29T10:41:24.00" personId="{264256c3-bbc9-47ac-9dd7-8d4b1679bb68}" id="{15202aee-ff4c-44a0-899e-7627f6feb436}" done="0">
    <x18tc:text xml:space="preserve">@liguoa@motorola.com 
@changfm1@motorola.com 
售后问题，当前我先处理，我能做的是尝试在产线增加自动化测试拦截 电池连接器没有链接好又可以开机的情况。 根源还要大家收集故障机分析。
分配给了liguoa@motorola.com</x18tc:text>
    <x18tc:mentions>
      <x18tc:mention mentionpersonId="{466ad751-a4a6-489f-b0f0-680e8e3625fe}" mentionId="{5568a9c6-f148-4dae-843d-8816d12d39da}" startIndex="0" length="20"/>
      <x18tc:mention mentionpersonId="{9f1abf6f-4b70-4fd0-b4d1-53c68e3022c5}" mentionId="{9c62a912-0b6a-45e6-8976-47b1a5a5bc1a}" startIndex="22" length="22"/>
    </x18tc:mentions>
  </x18tc:threadedComment>
  <x18tc:threadedComment ref="H19" dT="2024-02-05T07:57:21.00" personId="{264256c3-bbc9-47ac-9dd7-8d4b1679bb68}" id="{987f9f5d-0635-48e3-9530-1b2d8907e669}" done="1">
    <x18tc:text xml:space="preserve">@hankai4@motorola.com 
@wuxm5@motorola.com 
@liguoa@motorola.com 
@linfenga@motorola.com @fanlf@motorola.com 
Hi 韩凯
针对这个issue，后面我们这个也做一个检查项放到checklist里面？就是浪涌管的相关的线路也尽量能经过器件本体再下去。  尽量堵住这类case。谢谢</x18tc:text>
    <x18tc:mentions>
      <x18tc:mention mentionpersonId="{d702ad81-eb9f-441c-b96d-4f0c49761fea}" mentionId="{f30939cf-2644-40bf-8915-1c6b9eb369d5}" startIndex="0" length="21"/>
      <x18tc:mention mentionpersonId="{200db89f-b2fd-4768-8b3f-704e424e69fc}" mentionId="{dc3c56ad-94db-49aa-9c03-5eb532c4cf58}" startIndex="23" length="19"/>
      <x18tc:mention mentionpersonId="{466ad751-a4a6-489f-b0f0-680e8e3625fe}" mentionId="{c5b7785f-c670-4d51-b819-902ddf4befb0}" startIndex="44" length="20"/>
      <x18tc:mention mentionpersonId="{6c148249-be48-463d-bf99-d2efef89b01f}" mentionId="{88f77aa0-843e-4827-bdaa-6f0146b11674}" startIndex="66" length="22"/>
      <x18tc:mention mentionpersonId="{89829eb4-0844-4193-86c6-4fc6afe868fc}" mentionId="{82fddafd-12e4-4506-8788-dbf34dc2dff9}" startIndex="89" length="19"/>
    </x18tc:mentions>
  </x18tc:threadedComment>
  <x18tc:threadedComment ref="H19" dT="2024-02-05T08:34:22.00" personId="{264256c3-bbc9-47ac-9dd7-8d4b1679bb68}" id="{f8ff4f58-03d2-4276-9afb-6a05aef4bf5d}" parentId="{987f9f5d-0635-48e3-9530-1b2d8907e669}">
    <x18tc:text xml:space="preserve">其次：Vbat 其实很久没出过issue ，也侧面说明PM7350C浪涌抵抗力可能比较弱。</x18tc:text>
  </x18tc:threadedComment>
  <x18tc:threadedComment ref="H19" dT="2024-02-05T08:47:50.00" personId="{ba5e0756-ba59-4eca-8692-a873077ead93}" id="{5337bc61-e903-4e14-9a29-5753a44bd464}" parentId="{987f9f5d-0635-48e3-9530-1b2d8907e669}">
    <x18tc:text xml:space="preserve">BB review checklist 已更新review内容，请韩凯 @hankai4@motorola.com 后续按照此项review，谢谢！</x18tc:text>
    <x18tc:mentions>
      <x18tc:mention mentionpersonId="{d702ad81-eb9f-441c-b96d-4f0c49761fea}" mentionId="{8ec46cf5-02d7-4fc0-a55b-202c90170a60}" startIndex="36" length="21"/>
    </x18tc:mentions>
  </x18tc:threadedComment>
  <x18tc:threadedComment ref="G15" dT="2024-03-25T02:22:44.00" personId="{577c9a8f-cc82-4e10-8937-2f6f29d8b761}" id="{9796b69d-e18c-4f58-a6b6-b563cf006e14}" done="0">
    <x18tc:text xml:space="preserve">@chenb3@motorola.com  邦邦，麻烦更新下此issue，谢谢</x18tc:text>
    <x18tc:mentions>
      <x18tc:mention mentionpersonId="{873f86e6-0f3e-4e97-85f8-040caac71fca}" mentionId="{547c09ef-23a5-4f07-91f8-b8704bcc830b}" startIndex="0" length="20"/>
    </x18tc:mentions>
  </x18tc:threadedComment>
</x18tc:ThreadedComments>
</file>

<file path=xl/threadedComments/threadedComment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5" dT="2024-04-23T09:14:53.00" personId="{264256c3-bbc9-47ac-9dd7-8d4b1679bb68}" id="{6244583b-5aa2-43b2-9750-4d2a419a37f9}" done="1">
    <x18tc:text xml:space="preserve">@xiaozh1@motorola.com  这个case 后面的信息建议更新下，更新下issue的情况，谢谢
分配给了xiaozh1@motorola.com</x18tc:text>
    <x18tc:mentions>
      <x18tc:mention mentionpersonId="{d3bc4f64-10ef-41fd-9d7c-32349da106cc}" mentionId="{158fafa0-a127-4bec-8c68-3e59744f5e24}" startIndex="0" length="21"/>
    </x18tc:mentions>
  </x18tc:threadedComment>
  <x18tc:threadedComment ref="I14" dT="2023-10-24T02:01:29.00" personId="{264256c3-bbc9-47ac-9dd7-8d4b1679bb68}" id="{5d8f8477-7331-404a-a131-b5d94f3fe572}" done="1">
    <x18tc:text xml:space="preserve">@linfenga@motorola.com 
Hi 林峰
这边有个risk项，请知悉。 
最后可能会有一边的充电IC比另外一边的更热一些（之前像miami 左右差800mA左右。目前这个要等实际电池有了后测试才知道。不过从阻抗仿真看，不好。）</x18tc:text>
    <x18tc:mentions>
      <x18tc:mention mentionpersonId="{6c148249-be48-463d-bf99-d2efef89b01f}" mentionId="{92476fea-1079-4bd2-a9f6-d4b023b6fc53}" startIndex="0" length="22"/>
    </x18tc:mentions>
  </x18tc:threadedComment>
  <x18tc:threadedComment ref="I6" dT="2024-03-18T08:50:56.00" personId="{264256c3-bbc9-47ac-9dd7-8d4b1679bb68}" id="{4583aa14-fc12-4cf8-99a5-bb0457259b90}" done="1">
    <x18tc:text xml:space="preserve">@wuxm5@motorola.com 
这个case 更新一下，close 了吧
分配给了wuxm5@motorola.com</x18tc:text>
    <x18tc:mentions>
      <x18tc:mention mentionpersonId="{200db89f-b2fd-4768-8b3f-704e424e69fc}" mentionId="{4d256c6f-92e4-4236-908f-6b85c6207109}" startIndex="0" length="19"/>
    </x18tc:mentions>
  </x18tc:threadedComment>
  <x18tc:threadedComment ref="I6" dT="2024-03-18T09:05:14.00" personId="{ba5e0756-ba59-4eca-8692-a873077ead93}" id="{13b8646d-6333-45ec-9663-1171e445d7db}" parentId="{4583aa14-fc12-4cf8-99a5-bb0457259b90}">
    <x18tc:text xml:space="preserve">Doc更新，case close</x18tc:text>
  </x18tc:threadedComment>
</x18tc:ThreadedComments>
</file>

<file path=xl/threadedComments/threadedComment10.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43" dT="2022-11-24T07:29:31.00" personId="{264256c3-bbc9-47ac-9dd7-8d4b1679bb68}" id="{885dd685-1b2b-4a01-9eed-4c0b7f3f3420}" done="1">
    <x18tc:text xml:space="preserve">@detj1@motorola.com 
HI 太加
如早上沟通，已经产生issue ，是build 发现的，block 是PCB 。阶段EVT。 这些我选上了。  issue 的个描述 和 文档链接，你找个时间加上哈。 如果不理解格式，或者有啥疑问，你找我。</x18tc:text>
    <x18tc:mentions>
      <x18tc:mention mentionpersonId="{5cb72c85-a096-41e1-a062-1f035453dd58}" mentionId="{49f48a47-a3d1-4b99-8aca-b2c732ca1fe2}" startIndex="0" length="19"/>
    </x18tc:mentions>
  </x18tc:threadedComment>
  <x18tc:threadedComment ref="H43" dT="2022-11-24T08:39:57.00" personId="{264256c3-bbc9-47ac-9dd7-8d4b1679bb68}" id="{7d9c46fe-3709-42f7-9d14-92d6a4813f38}" parentId="{885dd685-1b2b-4a01-9eed-4c0b7f3f3420}">
    <x18tc:text xml:space="preserve">记得放doc 链接哈，issue doc ，你可以参考下其他的。 或者你有汇总的整个大文档也可以。</x18tc:text>
  </x18tc:threadedComment>
  <x18tc:threadedComment ref="H43" dT="2022-11-24T08:50:50.00" personId="{811c09f0-0771-4d76-9124-1cb854c9b756}" id="{b374f8ff-7c22-4d4a-b013-a3ab6cc2cbd1}" parentId="{885dd685-1b2b-4a01-9eed-4c0b7f3f3420}">
    <x18tc:text xml:space="preserve">好的</x18tc:text>
  </x18tc:threadedComment>
  <x18tc:threadedComment ref="J34" dT="2023-01-12T06:39:49.00" personId="{264256c3-bbc9-47ac-9dd7-8d4b1679bb68}" id="{56ec0d77-0278-41ac-9a91-b7502c2c6951}" done="1">
    <x18tc:text xml:space="preserve">@xiaozh1@motorola.com 
@liguoa@motorola.com 
@xiongsn1@motorola.com 
@chenb3@motorola.com 
Hi all 
这台 TMO 跌落的机器，有非常多种故障。目前先分析 audio 和camera 问题（共用I2C ，怀疑I2C有问题） 。至于SIM卡一直不识别，我换过主FPC和SIM小板，依然不识别，所以应该是主板问题。  至于背面L-sensor 这个复现故障。暂时没有进一步分析。</x18tc:text>
    <x18tc:mentions>
      <x18tc:mention mentionpersonId="{d3bc4f64-10ef-41fd-9d7c-32349da106cc}" mentionId="{7cedc7c7-fac8-4935-943f-d005c338e3d0}" startIndex="0" length="21"/>
      <x18tc:mention mentionpersonId="{466ad751-a4a6-489f-b0f0-680e8e3625fe}" mentionId="{96f2c732-0741-443f-bdb0-79ecd5f0fcf9}" startIndex="23" length="20"/>
      <x18tc:mention mentionpersonId="{29c1a8e0-e66d-4172-98d4-3780dccea77b}" mentionId="{0ad09476-1a98-4963-86e9-b45b8ee5f7fe}" startIndex="45" length="22"/>
      <x18tc:mention mentionpersonId="{873f86e6-0f3e-4e97-85f8-040caac71fca}" mentionId="{c117d460-84b9-4a63-a168-3ce09ca91260}" startIndex="69" length="20"/>
    </x18tc:mentions>
  </x18tc:threadedComment>
  <x18tc:threadedComment ref="H13" dT="2023-03-23T02:33:11.00" personId="{264256c3-bbc9-47ac-9dd7-8d4b1679bb68}" id="{690da946-aa1c-47a9-8598-930a88dc887c}" done="1">
    <x18tc:text xml:space="preserve">@hankai4@motorola.com 
复盘有格式建议的 ：
https://docs.google.com/presentation/d/1bf9UfQ6OIqYPTvps_AHrFyNxgt2iR7H_s5ECMQsXNoI/edit#slide=id.g1045fb0e66a_1_0</x18tc:text>
    <x18tc:mentions>
      <x18tc:mention mentionpersonId="{d702ad81-eb9f-441c-b96d-4f0c49761fea}" mentionId="{84607a89-e25f-4478-863f-1193fe7b0d30}" startIndex="0" length="21"/>
    </x18tc:mentions>
    <x18tc:extLst>
      <ext uri="{F7C98A9C-CBB3-438F-8F68-D28B6AF4A901}">
        <xltc2:checksum/>
        <xltc2:hyperlink startIndex="34" length="114" url="https://docs.google.com/presentation/d/1bf9UfQ6OIqYPTvps_AHrFyNxgt2iR7H_s5ECMQsXNoI/edit#slide=id.g1045fb0e66a_1_0"/>
      </ext>
    </x18tc:extLst>
  </x18tc:threadedComment>
  <x18tc:threadedComment ref="H13" dT="2023-03-23T02:33:29.00" personId="{264256c3-bbc9-47ac-9dd7-8d4b1679bb68}" id="{f897ffa1-9d16-491a-ad64-b25c3967099a}" parentId="{690da946-aa1c-47a9-8598-930a88dc887c}">
    <x18tc:text xml:space="preserve">复盘一页你重新整理下</x18tc:text>
  </x18tc:threadedComment>
  <x18tc:threadedComment ref="H13" dT="2023-03-23T01:59:41.00" personId="{264256c3-bbc9-47ac-9dd7-8d4b1679bb68}" id="{529128e5-e4ea-4a60-8d39-a40d2cf27ea9}" done="1">
    <x18tc:text xml:space="preserve">@hankai4@motorola.com 
如邮件沟通内容，这个case 请整理一页，至少包括lesson learn 内容，后面需要用，谢谢</x18tc:text>
    <x18tc:mentions>
      <x18tc:mention mentionpersonId="{d702ad81-eb9f-441c-b96d-4f0c49761fea}" mentionId="{f27035a5-6abd-4557-922e-5cbc94e491de}" startIndex="0" length="21"/>
    </x18tc:mentions>
  </x18tc:threadedComment>
  <x18tc:threadedComment ref="I41" dT="2022-12-13T09:24:35.00" personId="{264256c3-bbc9-47ac-9dd7-8d4b1679bb68}" id="{22f908ef-36a6-4921-9797-eae00b715cd5}" done="1">
    <x18tc:text xml:space="preserve">@linfenga@motorola.com 
@detj1@motorola.com 
HI 林峰
如沟通，这边记录了一下这个case，请知悉。</x18tc:text>
    <x18tc:mentions>
      <x18tc:mention mentionpersonId="{6c148249-be48-463d-bf99-d2efef89b01f}" mentionId="{b47cce5a-ac76-43d7-8d12-6b67727fcbbb}" startIndex="0" length="22"/>
      <x18tc:mention mentionpersonId="{5cb72c85-a096-41e1-a062-1f035453dd58}" mentionId="{3e66d2cd-7edc-4ffb-b45c-b430c61eba7c}" startIndex="24" length="19"/>
    </x18tc:mentions>
  </x18tc:threadedComment>
  <x18tc:threadedComment ref="H20" dT="2023-02-13T03:39:45.00" personId="{264256c3-bbc9-47ac-9dd7-8d4b1679bb68}" id="{5802de9d-70a9-4f2d-b31a-12726feb03a5}" done="1">
    <x18tc:text xml:space="preserve">@hankai4@motorola.com 
HI 韩凯
如沟通，issue 一般会有一两页简单的PPT 才能比较清晰的记录issue ，特别是ESD，没有图，基本上没法说明具体是啥问题。  NFC 和 ANT0 tuner 的issue ，建议增加对应附件。谢谢</x18tc:text>
    <x18tc:mentions>
      <x18tc:mention mentionpersonId="{d702ad81-eb9f-441c-b96d-4f0c49761fea}" mentionId="{ace320b6-e8dd-4425-9343-22aaa86fac94}" startIndex="0" length="21"/>
    </x18tc:mentions>
  </x18tc:threadedComment>
  <x18tc:threadedComment ref="I36" dT="2022-12-15T08:29:38.00" personId="{264256c3-bbc9-47ac-9dd7-8d4b1679bb68}" id="{e0c9743a-be4b-4657-bd9e-ed2b52a3656f}" done="1">
    <x18tc:text xml:space="preserve">@wuxm5@motorola.com 
Hi  xuemin
刚和小范核对，这里后续信息帮补充下：
1.taiyo 的报告如何？ 这种器件他们内部不应该自己筛选出来吗 ？不应该流转到我们这边吧
2. 后续会优化后再导入不？这部分计划是否匹配项目？ 
谢谢</x18tc:text>
    <x18tc:mentions>
      <x18tc:mention mentionpersonId="{200db89f-b2fd-4768-8b3f-704e424e69fc}" mentionId="{4fed6775-8bbf-4b17-84db-6aa11f4097d6}" startIndex="0" length="19"/>
    </x18tc:mentions>
  </x18tc:threadedComment>
  <x18tc:threadedComment ref="I36" dT="2022-12-15T08:40:55.00" personId="{ba5e0756-ba59-4eca-8692-a873077ead93}" id="{a596b3c3-10b3-49ff-a5bc-b477bf078e4a}" parentId="{e0c9743a-be4b-4657-bd9e-ed2b52a3656f}">
    <x18tc:text xml:space="preserve">Hi Wenting,
1.已提供5pcs 脱落的器件给太诱，需要寄到日本分析，需要一点时间，会继续追他们尽快给出分析报告
2.优化后需要试产，做跌落相关实验，没问题后才能重新导入，这部分也会持续push厂商，目前使用麦捷的产品，在供应上没问题</x18tc:text>
  </x18tc:threadedComment>
  <x18tc:threadedComment ref="I38" dT="2022-12-15T08:40:52.00" personId="{264256c3-bbc9-47ac-9dd7-8d4b1679bb68}" id="{aca140b5-039c-4380-a9be-eac663220b6c}" done="1">
    <x18tc:text xml:space="preserve">@xiongsn1@motorola.com 
刚和小范核对，这里后续信息帮补充下：1.这个case 原因和程度判定不是很确认 2.最后ALT 判定标准如何。
这么看DVT1 是否还是fail？
建议你细化下这个case 的各种信息，谢谢</x18tc:text>
    <x18tc:mentions>
      <x18tc:mention mentionpersonId="{29c1a8e0-e66d-4172-98d4-3780dccea77b}" mentionId="{48305246-3cc2-47af-ba1d-3920e6960a49}" startIndex="0" length="22"/>
    </x18tc:mentions>
  </x18tc:threadedComment>
  <x18tc:threadedComment ref="I36" dT="2022-12-06T06:25:03.00" personId="{264256c3-bbc9-47ac-9dd7-8d4b1679bb68}" id="{743d0058-380a-4de7-a0d9-02bd219c1c37}" done="1">
    <x18tc:text xml:space="preserve">@wuxm5@motorola.com 
@fanlf@motorola.com 
HI 学敏
这个case 请更新下，目前D5的分析是看是电感 PL2301 PL2319 本体剥离开了，这是新物料，单机用量应该至少3个，具体你看下。 这样其他不开机的还需要多看几台是否一致。报告你整理下。 故障物料，请联系下厂家是否要寄给他们分析。谢谢。</x18tc:text>
    <x18tc:mentions>
      <x18tc:mention mentionpersonId="{200db89f-b2fd-4768-8b3f-704e424e69fc}" mentionId="{997ba830-469d-4587-8022-96a6d7d5ec2a}" startIndex="0" length="19"/>
      <x18tc:mention mentionpersonId="{89829eb4-0844-4193-86c6-4fc6afe868fc}" mentionId="{72a0c728-7981-4aef-8a5c-5e1871d0c3f2}" startIndex="21" length="19"/>
    </x18tc:mentions>
  </x18tc:threadedComment>
  <x18tc:threadedComment ref="I36" dT="2022-12-06T06:47:08.00" personId="{ba5e0756-ba59-4eca-8692-a873077ead93}" id="{343709d5-90eb-4a30-ab11-c84e63aedee8}" parentId="{743d0058-380a-4de7-a0d9-02bd219c1c37}">
    <x18tc:text xml:space="preserve">标为已解决</x18tc:text>
  </x18tc:threadedComment>
  <x18tc:threadedComment ref="I36" dT="2022-12-06T07:06:03.00" personId="{264256c3-bbc9-47ac-9dd7-8d4b1679bb68}" id="{53a792a9-e511-4d39-80b9-53e81fc7614f}" parentId="{743d0058-380a-4de7-a0d9-02bd219c1c37}">
    <x18tc:text xml:space="preserve">已重新提出</x18tc:text>
  </x18tc:threadedComment>
  <x18tc:threadedComment ref="I36" dT="2022-12-06T07:06:54.00" personId="{264256c3-bbc9-47ac-9dd7-8d4b1679bb68}" id="{106ff638-5c4d-47c4-8256-07de5056b476}" parentId="{743d0058-380a-4de7-a0d9-02bd219c1c37}">
    <x18tc:text xml:space="preserve">内部分析报告请整一两页哈，可以放一些分析图片，谢谢</x18tc:text>
  </x18tc:threadedComment>
  <x18tc:threadedComment ref="H39" dT="2022-11-30T09:17:10.00" personId="{264256c3-bbc9-47ac-9dd7-8d4b1679bb68}" id="{fe717071-fddb-47ea-a387-0ec2c03e50d4}" done="1">
    <x18tc:text xml:space="preserve">@chenb3@motorola.com 
issue 这边请更新下，链接和描述都更新下，谢谢</x18tc:text>
    <x18tc:mentions>
      <x18tc:mention mentionpersonId="{873f86e6-0f3e-4e97-85f8-040caac71fca}" mentionId="{8d91ca0c-532b-4bb0-97d4-8cdc4039e8ce}" startIndex="0" length="20"/>
    </x18tc:mentions>
  </x18tc:threadedComment>
  <x18tc:threadedComment ref="H44" dT="2022-11-15T07:55:25.00" personId="{264256c3-bbc9-47ac-9dd7-8d4b1679bb68}" id="{cb7eb8ba-923c-4f9e-a9ef-174b4176e8f6}" done="1">
    <x18tc:text xml:space="preserve">@chenb3@motorola.com 
Hi  邦邦
1.这部分有空时请简单整理一页吧。 还有你们看来还得梳理下，具体什么情况，为什么会反了。  2.bringup 表里并没有体现这部分，这个似乎不好，只描述pass 。。），这部分记录方式后续建议也优化一下</x18tc:text>
    <x18tc:mentions>
      <x18tc:mention mentionpersonId="{873f86e6-0f3e-4e97-85f8-040caac71fca}" mentionId="{7a3b48b7-5349-4ce1-95eb-fd5fd212c908}" startIndex="0" length="20"/>
    </x18tc:mentions>
  </x18tc:threadedComment>
  <x18tc:threadedComment ref="H47" dT="2022-10-21T08:12:38.00" personId="{264256c3-bbc9-47ac-9dd7-8d4b1679bb68}" id="{1a3ae16a-24ec-4dde-9d6a-5e9c00b1fe85}" done="1">
    <x18tc:text xml:space="preserve">@xiaozh1@motorola.com
@fanlf@motorola.com 
HI 志浩
这个case 可能会需要一个回顾，看下后面怎么规避。啥时候稍微整理下？谢谢</x18tc:text>
    <x18tc:mentions>
      <x18tc:mention mentionpersonId="{d3bc4f64-10ef-41fd-9d7c-32349da106cc}" mentionId="{3ac0bff6-3932-46fe-bc9c-1732b573da0b}" startIndex="0" length="21"/>
      <x18tc:mention mentionpersonId="{89829eb4-0844-4193-86c6-4fc6afe868fc}" mentionId="{8dca160f-868f-4b24-ad3a-82be9e11a0a6}" startIndex="22" length="19"/>
    </x18tc:mentions>
  </x18tc:threadedComment>
  <x18tc:threadedComment ref="I6" dT="2023-05-09T07:40:23.00" personId="{264256c3-bbc9-47ac-9dd7-8d4b1679bb68}" id="{08e73b90-b1dd-4644-868a-502614d8645e}" done="1">
    <x18tc:text xml:space="preserve">@xiongsn1@motorola.com 
Hi Xiong 
这个case 我创建一个文档记录，后续如果还有什么更新，请继续更新一下，谢谢</x18tc:text>
    <x18tc:mentions>
      <x18tc:mention mentionpersonId="{29c1a8e0-e66d-4172-98d4-3780dccea77b}" mentionId="{320df556-662e-4c57-8f5e-485e03ab70ac}" startIndex="0" length="22"/>
    </x18tc:mentions>
  </x18tc:threadedComment>
  <x18tc:threadedComment ref="H12" dT="2023-03-23T06:18:40.00" personId="{264256c3-bbc9-47ac-9dd7-8d4b1679bb68}" id="{a70f25bf-f53e-48c9-82bc-643b7d2e6e82}" done="1">
    <x18tc:text xml:space="preserve">@changfm1@motorola.com 
Hi 芳梅
这次case 要登记下，还有要写一页 lesson 。当然有空再写哈，可以参考如下格式
https://docs.google.com/presentation/d/1bf9UfQ6OIqYPTvps_AHrFyNxgt2iR7H_s5ECMQsXNoI/edit#slide=id.gfbf848987c_0_65</x18tc:text>
    <x18tc:mentions>
      <x18tc:mention mentionpersonId="{9f1abf6f-4b70-4fd0-b4d1-53c68e3022c5}" mentionId="{2db31f72-826f-418d-8cde-2e7421be981e}" startIndex="0" length="22"/>
    </x18tc:mentions>
    <x18tc:extLst>
      <ext uri="{F7C98A9C-CBB3-438F-8F68-D28B6AF4A901}">
        <xltc2:checksum/>
        <xltc2:hyperlink startIndex="74" length="114" url="https://docs.google.com/presentation/d/1bf9UfQ6OIqYPTvps_AHrFyNxgt2iR7H_s5ECMQsXNoI/edit#slide=id.gfbf848987c_0_65"/>
      </ext>
    </x18tc:extLst>
  </x18tc:threadedComment>
  <x18tc:threadedComment ref="I31" dT="2023-01-13T08:23:12.00" personId="{264256c3-bbc9-47ac-9dd7-8d4b1679bb68}" id="{f1773b4d-e7e5-4bbd-b59d-deae035df84a}" done="1">
    <x18tc:text xml:space="preserve">@chenb3@motorola.com 
Hi 邦邦
这个case ，机器我都拿给 方卉，确认都不复现。  你跟踪下，如果不是真问题，我们就close 。目前状态我放成NA</x18tc:text>
    <x18tc:mentions>
      <x18tc:mention mentionpersonId="{873f86e6-0f3e-4e97-85f8-040caac71fca}" mentionId="{3e9cca34-d639-4a05-afdd-1fed7a4b5de8}" startIndex="0" length="20"/>
    </x18tc:mentions>
  </x18tc:threadedComment>
  <x18tc:threadedComment ref="I29" dT="2023-01-13T08:29:31.00" personId="{264256c3-bbc9-47ac-9dd7-8d4b1679bb68}" id="{d63b93ae-425f-48eb-ac67-8c76b4f87d59}" done="1">
    <x18tc:text xml:space="preserve">@xiongsn1@motorola.com 
刚才确认，这台还没寄出，预计今天寄出。下周一收到后给你。</x18tc:text>
    <x18tc:mentions>
      <x18tc:mention mentionpersonId="{29c1a8e0-e66d-4172-98d4-3780dccea77b}" mentionId="{52ae47ff-f50c-4f73-b7d1-b557804eaeeb}" startIndex="0" length="22"/>
    </x18tc:mentions>
  </x18tc:threadedComment>
  <x18tc:threadedComment ref="I29" dT="2023-01-13T08:30:09.00" personId="{264256c3-bbc9-47ac-9dd7-8d4b1679bb68}" id="{aaf96cda-23ab-4a6e-9ed4-d45045648ee1}" parentId="{d63b93ae-425f-48eb-ac67-8c76b4f87d59}">
    <x18tc:text xml:space="preserve">器件掉落  可能性可能比较大？</x18tc:text>
  </x18tc:threadedComment>
  <x18tc:threadedComment ref="I29" dT="2023-01-16T05:45:32.00" personId="{264256c3-bbc9-47ac-9dd7-8d4b1679bb68}" id="{5052422d-e5c1-4a1c-98dd-49571765e593}" parentId="{d63b93ae-425f-48eb-ac67-8c76b4f87d59}">
    <x18tc:text xml:space="preserve">确认焊盘断开了。；链接有相关图片。 solution 相关，请和 结构 海文再核对下最后的action，谢谢。</x18tc:text>
  </x18tc:threadedComment>
  <x18tc:threadedComment ref="I22" dT="2023-01-30T06:16:49.00" personId="{264256c3-bbc9-47ac-9dd7-8d4b1679bb68}" id="{f1ca715d-1b9a-46b1-90f0-f025b8f9a212}" done="1">
    <x18tc:text xml:space="preserve">@xiaozh1@motorola.com 
Hi 志浩
这台机器到我这边了，到公司后找我拿一下分析，谢谢</x18tc:text>
    <x18tc:mentions>
      <x18tc:mention mentionpersonId="{d3bc4f64-10ef-41fd-9d7c-32349da106cc}" mentionId="{afa70dc6-8f3f-4179-a100-32d83ce28a4f}" startIndex="0" length="21"/>
    </x18tc:mentions>
  </x18tc:threadedComment>
  <x18tc:threadedComment ref="H26" dT="2023-02-02T01:53:25.00" personId="{264256c3-bbc9-47ac-9dd7-8d4b1679bb68}" id="{bf2b71e0-8264-4e27-9e63-7101eae2b2d3}" done="1">
    <x18tc:text xml:space="preserve">@hankai4@motorola.com 
@xiongsn1@motorola.com 
@fanlf@motorola.com 
Hi 韩凯
这个问题表格链接sheet 列已放，单分析报告ppt没有，请帮忙放链接一下。 谢谢</x18tc:text>
    <x18tc:mentions>
      <x18tc:mention mentionpersonId="{d702ad81-eb9f-441c-b96d-4f0c49761fea}" mentionId="{4ba05bf4-6125-4b86-a5c8-484c92e0e102}" startIndex="0" length="21"/>
      <x18tc:mention mentionpersonId="{29c1a8e0-e66d-4172-98d4-3780dccea77b}" mentionId="{84e8f4ef-757e-49b7-b900-9481c9739795}" startIndex="23" length="22"/>
      <x18tc:mention mentionpersonId="{89829eb4-0844-4193-86c6-4fc6afe868fc}" mentionId="{df504c0d-d7c6-437d-b587-e99ef47f8f7a}" startIndex="47" length="19"/>
    </x18tc:mentions>
  </x18tc:threadedComment>
  <x18tc:threadedComment ref="I24" dT="2023-01-30T06:17:16.00" personId="{264256c3-bbc9-47ac-9dd7-8d4b1679bb68}" id="{f67d7be2-7cee-4363-a165-cfb44388cbad}" done="1">
    <x18tc:text xml:space="preserve">@changfm1@motorola.com 
Hi 芳梅
这台我放一个点，请帮忙先跟踪下，谢谢</x18tc:text>
    <x18tc:mentions>
      <x18tc:mention mentionpersonId="{9f1abf6f-4b70-4fd0-b4d1-53c68e3022c5}" mentionId="{0f522ad1-d526-4083-8884-0c40eae411cd}" startIndex="0" length="22"/>
    </x18tc:mentions>
  </x18tc:threadedComment>
</x18tc:ThreadedComments>
</file>

<file path=xl/threadedComments/threadedComment1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35" dT="2023-09-06T07:10:22.00" personId="{264256c3-bbc9-47ac-9dd7-8d4b1679bb68}" id="{f88bff72-88f8-4e9b-9fc2-40fbfa0b5c85}" done="1">
    <x18tc:text xml:space="preserve">@detj1@motorola.com 
Hi 太加，EVB我们测试到问题，所以就触发一个issue 。然后找solution 。 请帮忙放一个分析报告的链接过来，我们可以一起维护。谢谢</x18tc:text>
    <x18tc:mentions>
      <x18tc:mention mentionpersonId="{5cb72c85-a096-41e1-a062-1f035453dd58}" mentionId="{95114ba4-7da2-453e-9b0d-bdf857c62956}" startIndex="0" length="19"/>
    </x18tc:mentions>
  </x18tc:threadedComment>
  <x18tc:threadedComment ref="I31" dT="2023-09-14T02:34:43.00" personId="{264256c3-bbc9-47ac-9dd7-8d4b1679bb68}" id="{0eaf1ebe-8e8a-41d0-a928-3baabf7ecb9f}" done="1">
    <x18tc:text xml:space="preserve">@chenb3@motorola.com 
屏蔽盖底下走线转risk 了哈。记录在这。待 ME可靠性实验跌落和滚筒实验后确认结果再看看情况</x18tc:text>
    <x18tc:mentions>
      <x18tc:mention mentionpersonId="{873f86e6-0f3e-4e97-85f8-040caac71fca}" mentionId="{244eb0d3-fa5b-46eb-8afb-9123780c46d6}" startIndex="0" length="20"/>
    </x18tc:mentions>
  </x18tc:threadedComment>
  <x18tc:threadedComment ref="I33" dT="2023-09-12T06:56:09.00" personId="{264256c3-bbc9-47ac-9dd7-8d4b1679bb68}" id="{28a49290-21e7-4890-a93d-edb7063e3cbc}" done="1">
    <x18tc:text xml:space="preserve">@detj1@motorola.com 
issue 我改为close ，请知悉。
分析报告你看下，以及这边issue 的维护。有疑问或者建议修改的，请告知下，谢谢</x18tc:text>
    <x18tc:mentions>
      <x18tc:mention mentionpersonId="{5cb72c85-a096-41e1-a062-1f035453dd58}" mentionId="{1fbe275e-2097-4ad5-8b09-555cb89f87a8}" startIndex="0" length="19"/>
    </x18tc:mentions>
  </x18tc:threadedComment>
</x18tc:ThreadedComments>
</file>

<file path=xl/threadedComments/threadedComment1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J26" dT="2022-09-22T02:19:54.00" personId="{264256c3-bbc9-47ac-9dd7-8d4b1679bb68}" id="{468994d3-eb5d-4798-8e5f-59bd425964a7}" done="1">
    <x18tc:text xml:space="preserve">@xiaozh1@motorola.com 
@linfenga@motorola.com 
HI 志浩
实验室报的问题，请关注下，影响DVT1主板发板，请主导处理并更新，谢谢</x18tc:text>
    <x18tc:mentions>
      <x18tc:mention mentionpersonId="{d3bc4f64-10ef-41fd-9d7c-32349da106cc}" mentionId="{ea11ae8b-f917-498d-a6b0-532147448682}" startIndex="0" length="21"/>
      <x18tc:mention mentionpersonId="{6c148249-be48-463d-bf99-d2efef89b01f}" mentionId="{61815684-21d2-4bb2-b9e0-f9f832844848}" startIndex="23" length="22"/>
    </x18tc:mentions>
  </x18tc:threadedComment>
  <x18tc:threadedComment ref="I31" dT="2022-09-22T02:18:47.00" personId="{264256c3-bbc9-47ac-9dd7-8d4b1679bb68}" id="{27c5dbce-7342-46ce-b412-f86b893c52af}" done="1">
    <x18tc:text xml:space="preserve">@xiongsn1@motorola.com 
@linfenga@motorola.com 
HI 熊
我先记录下issue，这个影响发板</x18tc:text>
    <x18tc:mentions>
      <x18tc:mention mentionpersonId="{29c1a8e0-e66d-4172-98d4-3780dccea77b}" mentionId="{7828a3cc-6b19-4073-b90c-db0a5692b9ab}" startIndex="0" length="22"/>
      <x18tc:mention mentionpersonId="{6c148249-be48-463d-bf99-d2efef89b01f}" mentionId="{7a175dd8-f0b5-45da-b579-dec350456304}" startIndex="24" length="22"/>
    </x18tc:mentions>
  </x18tc:threadedComment>
  <x18tc:threadedComment ref="I31" dT="2022-09-22T02:19:02.00" personId="{264256c3-bbc9-47ac-9dd7-8d4b1679bb68}" id="{7d02005e-5f09-410b-ba7f-27adfb661574}" parentId="{27c5dbce-7342-46ce-b412-f86b893c52af}">
    <x18tc:text xml:space="preserve">请主导处理后续并更新下</x18tc:text>
  </x18tc:threadedComment>
  <x18tc:threadedComment ref="G17" dT="2022-12-22T10:21:25.00" personId="{264256c3-bbc9-47ac-9dd7-8d4b1679bb68}" id="{c033085a-abbd-4924-b033-9af2773760c7}" done="1">
    <x18tc:text xml:space="preserve">@chenb3@motorola.com 
@linfenga@motorola.com 
@wuxm5@motorola.com 
@fanlf@motorola.com 
简单summary 这个issue，请看下有啥补充。 明天继续跟踪改板 具体操作，包括项目上怎么切入等各种事宜，谢谢</x18tc:text>
    <x18tc:mentions>
      <x18tc:mention mentionpersonId="{873f86e6-0f3e-4e97-85f8-040caac71fca}" mentionId="{f090b4b5-92bd-4972-96c0-7670d8337b31}" startIndex="0" length="20"/>
      <x18tc:mention mentionpersonId="{6c148249-be48-463d-bf99-d2efef89b01f}" mentionId="{c82ef5ba-6e09-4adc-93eb-c256277fe089}" startIndex="22" length="22"/>
      <x18tc:mention mentionpersonId="{200db89f-b2fd-4768-8b3f-704e424e69fc}" mentionId="{87cca854-f127-4fed-82cb-342b3cf6cac6}" startIndex="46" length="19"/>
      <x18tc:mention mentionpersonId="{89829eb4-0844-4193-86c6-4fc6afe868fc}" mentionId="{a4aa4ea7-ed95-4a88-a83f-06b30d59697e}" startIndex="67" length="19"/>
    </x18tc:mentions>
  </x18tc:threadedComment>
</x18tc:ThreadedComments>
</file>

<file path=xl/threadedComments/threadedComment1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29" dT="2022-01-10T08:53:31.00" personId="{264256c3-bbc9-47ac-9dd7-8d4b1679bb68}" id="{46c4f988-7c12-4008-9e38-fc4001b555db}" done="0">
    <x18tc:text xml:space="preserve">@linfenga@motorola.com
我创建个case跟踪这个事情，关机电流太大了。可能不正常，已触发邮件给MTK 刘峰
分配给了linfenga@motorola.com</x18tc:text>
    <x18tc:mentions>
      <x18tc:mention mentionpersonId="{6c148249-be48-463d-bf99-d2efef89b01f}" mentionId="{212d2a7b-70ec-4b52-964a-75969a07c107}" startIndex="0" length="22"/>
    </x18tc:mentions>
  </x18tc:threadedComment>
  <x18tc:threadedComment ref="H29" dT="2022-03-04T06:32:23.00" personId="{264256c3-bbc9-47ac-9dd7-8d4b1679bb68}" id="{033d7182-48c3-4d50-8d7e-e802588a8d12}" parentId="{46c4f988-7c12-4008-9e38-fc4001b555db}">
    <x18tc:text xml:space="preserve">hi 学敏
这个case 算是close 对吧。 但是最终电流确实不符合 200UA 的原moto 标准， 建议提前只会一下 PQM。</x18tc:text>
  </x18tc:threadedComment>
  <x18tc:threadedComment ref="H22" dT="2022-04-07T03:20:03.00" personId="{264256c3-bbc9-47ac-9dd7-8d4b1679bb68}" id="{44c14877-6df9-4c27-b042-7e89ab0974aa}" done="0">
    <x18tc:text xml:space="preserve">@xiongsn1@motorola.com
@liguoa@motorola.com 
@fanlf@motorola.com 
@xiaozh1@motorola.com 
HI 果子
关于可靠性实验，板子断线的事情，我觉得我们需要记录下issue 。这部分看是否可以更新一下信息。  sensor 和 马达相关断线，拆成两个issue，谢谢</x18tc:text>
    <x18tc:mentions>
      <x18tc:mention mentionpersonId="{29c1a8e0-e66d-4172-98d4-3780dccea77b}" mentionId="{9cb29cb1-0617-4136-9389-ba00c680de88}" startIndex="0" length="22"/>
      <x18tc:mention mentionpersonId="{466ad751-a4a6-489f-b0f0-680e8e3625fe}" mentionId="{9bc276bd-904a-4ed9-85d2-2a72e06b1376}" startIndex="23" length="20"/>
      <x18tc:mention mentionpersonId="{89829eb4-0844-4193-86c6-4fc6afe868fc}" mentionId="{11bcea7e-6308-4239-b0e3-15334e717ce7}" startIndex="45" length="19"/>
      <x18tc:mention mentionpersonId="{d3bc4f64-10ef-41fd-9d7c-32349da106cc}" mentionId="{6745456a-01dc-4691-9a50-18e61666a969}" startIndex="66" length="21"/>
    </x18tc:mentions>
  </x18tc:threadedComment>
  <x18tc:threadedComment ref="H22" dT="2022-04-07T03:29:39.00" personId="{707fe07e-9ef9-437f-a53f-1159714f889b}" id="{e3db2215-5b6b-4dab-be2c-e1ba19097187}" parentId="{44c14877-6df9-4c27-b042-7e89ab0974aa}">
    <x18tc:text xml:space="preserve">请小熊和志浩建立个文档更新吧~</x18tc:text>
  </x18tc:threadedComment>
  <x18tc:threadedComment ref="H22" dT="2022-04-07T03:42:20.00" personId="{264256c3-bbc9-47ac-9dd7-8d4b1679bb68}" id="{90b4208c-2c51-4722-9692-f5b4355f6f23}" parentId="{44c14877-6df9-4c27-b042-7e89ab0974aa}">
    <x18tc:text xml:space="preserve">@linfenga@motorola.com   sync
改板的措施要开始动工了吧，for PVT 发板，别漏了</x18tc:text>
    <x18tc:mentions>
      <x18tc:mention mentionpersonId="{6c148249-be48-463d-bf99-d2efef89b01f}" mentionId="{988598b4-5359-493d-837e-542d1b59f8a7}" startIndex="0" length="22"/>
    </x18tc:mentions>
  </x18tc:threadedComment>
  <x18tc:threadedComment ref="I28" dT="2022-02-11T08:21:32.00" personId="{264256c3-bbc9-47ac-9dd7-8d4b1679bb68}" id="{bf1a6548-5467-44d6-81f1-fec03c9d5840}" done="1">
    <x18tc:text xml:space="preserve">@linfenga@motorola.com 
HI 林峰
如沟通，这个case 请关注下，有较大问题。必须清理。 这个问题对充电调试影响很大，我们还得想一下怎样临时处理。</x18tc:text>
    <x18tc:mentions>
      <x18tc:mention mentionpersonId="{6c148249-be48-463d-bf99-d2efef89b01f}" mentionId="{210df2bd-3e2a-4f79-bc29-4753c2df6971}" startIndex="0" length="22"/>
    </x18tc:mentions>
  </x18tc:threadedComment>
  <x18tc:threadedComment ref="I28" dT="2022-02-15T04:26:32.00" personId="{264256c3-bbc9-47ac-9dd7-8d4b1679bb68}" id="{f733e9de-3ad2-49bf-bf69-bfbb263856f7}" parentId="{bf1a6548-5467-44d6-81f1-fec03c9d5840}">
    <x18tc:text xml:space="preserve">@xiaozh1@motorola.com 
@fanlf@motorola.com</x18tc:text>
    <x18tc:mentions>
      <x18tc:mention mentionpersonId="{d3bc4f64-10ef-41fd-9d7c-32349da106cc}" mentionId="{307b3696-87bf-414c-afae-70e5bc89f5e1}" startIndex="0" length="21"/>
      <x18tc:mention mentionpersonId="{89829eb4-0844-4193-86c6-4fc6afe868fc}" mentionId="{c9be1734-a055-4031-adb0-03d6903856e2}" startIndex="23" length="19"/>
    </x18tc:mentions>
  </x18tc:threadedComment>
  <x18tc:threadedComment ref="I28" dT="2022-02-15T09:56:54.00" personId="{264256c3-bbc9-47ac-9dd7-8d4b1679bb68}" id="{c2038d3f-4fe5-45fa-aac7-8a08064e6580}" parentId="{bf1a6548-5467-44d6-81f1-fec03c9d5840}">
    <x18tc:text xml:space="preserve">信息更新到这
标为已解决</x18tc:text>
  </x18tc:threadedComment>
</x18tc:ThreadedComments>
</file>

<file path=xl/threadedComments/threadedComment1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14" dT="2021-10-14T07:24:43.00" personId="{264256c3-bbc9-47ac-9dd7-8d4b1679bb68}" id="{8156c6fd-caef-414a-97e8-4e7627c066e2}" done="1">
    <x18tc:text xml:space="preserve">@fanlf@motorola.com
@liguoa@motorola.com
@wuxm5@motorola.com
Milan 5G  Vbat 的浪涌实验，暂时定位S2吧。 目前看接在上面的充电IC和电量计都坏了。 充电IC基本全坏了，电量计坏了50%以上。一起关注下。</x18tc:text>
    <x18tc:mentions>
      <x18tc:mention mentionpersonId="{89829eb4-0844-4193-86c6-4fc6afe868fc}" mentionId="{efc1f138-3733-4df0-8720-08d94959d158}" startIndex="0" length="19"/>
      <x18tc:mention mentionpersonId="{466ad751-a4a6-489f-b0f0-680e8e3625fe}" mentionId="{fff2387a-62da-4002-86ea-1f624170e373}" startIndex="20" length="20"/>
      <x18tc:mention mentionpersonId="{200db89f-b2fd-4768-8b3f-704e424e69fc}" mentionId="{8c74d593-2899-4393-ba1d-0b6826062ccd}" startIndex="41" length="19"/>
    </x18tc:mentions>
  </x18tc:threadedComment>
  <x18tc:threadedComment ref="G14" dT="2021-11-01T02:14:00.00" personId="{515ecdfa-17a5-45e9-8370-442994ed0931}" id="{4295eb03-c0e7-4557-a744-056b47fd6c2e}" done="1">
    <x18tc:text xml:space="preserve">@@wuxm5@motorola.com
@liguoa@motorola.com
Exp1. Change a better surge protector(10.5V-&gt;8V Clamping Voltage) and layout improved for fuel gauge , Result:10/26
这个结果目前如何？
分配给了wuxm5@motorola.com</x18tc:text>
    <x18tc:mentions>
      <x18tc:mention mentionpersonId="{200db89f-b2fd-4768-8b3f-704e424e69fc}" mentionId="{a5ad5536-f8fb-452e-877a-7fbe87378e72}" startIndex="1" length="19"/>
      <x18tc:mention mentionpersonId="{466ad751-a4a6-489f-b0f0-680e8e3625fe}" mentionId="{26027e67-30b9-42e1-a2e7-b8d746a90ba9}" startIndex="21" length="20"/>
    </x18tc:mentions>
  </x18tc:threadedComment>
  <x18tc:threadedComment ref="G14" dT="2021-11-01T02:24:46.00" personId="{ba5e0756-ba59-4eca-8692-a873077ead93}" id="{12e24109-0b4f-4390-8313-219d88e98c55}" parentId="{4295eb03-c0e7-4557-a744-056b47fd6c2e}">
    <x18tc:text xml:space="preserve">整改的2台机器edu14 test pass，DVT1会贴1批更改浪涌管型号的机器再测试看看</x18tc:text>
  </x18tc:threadedComment>
  <x18tc:threadedComment ref="G14" dT="2021-11-24T01:45:54.00" personId="{264256c3-bbc9-47ac-9dd7-8d4b1679bb68}" id="{a8b12b62-9e5d-4b18-b968-d59183b3175d}" parentId="{4295eb03-c0e7-4557-a744-056b47fd6c2e}">
    <x18tc:text xml:space="preserve">hi 学敏
这部分是否整理简单一页？或者更新下结果。  DVT1的结果也算有结论了。（一供二供搭配暂时没有办法全部验证完，但是至少一种组合验证ok了）</x18tc:text>
  </x18tc:threadedComment>
  <x18tc:threadedComment ref="G14" dT="2021-11-24T02:48:43.00" personId="{ba5e0756-ba59-4eca-8692-a873077ead93}" id="{53255a48-25ad-4b0d-b88a-deb4d557ad81}" parentId="{4295eb03-c0e7-4557-a744-056b47fd6c2e}">
    <x18tc:text xml:space="preserve">结果更新并附上Link，谢谢！</x18tc:text>
  </x18tc:threadedComment>
  <x18tc:threadedComment ref="G12" dT="2021-11-04T07:16:04.00" personId="{707fe07e-9ef9-437f-a53f-1159714f889b}" id="{1fc45166-dcc1-4375-8ce8-61fe695b4c1e}" done="1">
    <x18tc:text xml:space="preserve">@xiongsn1@motorola.com ;请跟踪分析
分配给了xiongsn1@motorola.com</x18tc:text>
    <x18tc:mentions>
      <x18tc:mention mentionpersonId="{29c1a8e0-e66d-4172-98d4-3780dccea77b}" mentionId="{2cf4859a-03d1-4dad-9475-6ae067bd24cf}" startIndex="0" length="22"/>
    </x18tc:mentions>
  </x18tc:threadedComment>
  <x18tc:threadedComment ref="G12" dT="2021-11-15T01:58:53.00" personId="{264256c3-bbc9-47ac-9dd7-8d4b1679bb68}" id="{3d40e85c-b522-4f44-afae-71801cd595b4}" parentId="{1fc45166-dcc1-4375-8ce8-61fe695b4c1e}">
    <x18tc:text xml:space="preserve">@fanlf@motorola.com
update solution ：1.change Capsensor wire under BB shielding case in DVT2
2. ME change stress design</x18tc:text>
    <x18tc:mentions>
      <x18tc:mention mentionpersonId="{89829eb4-0844-4193-86c6-4fc6afe868fc}" mentionId="{6775c80e-a431-4c43-ae9f-994f52ba1a98}" startIndex="0" length="19"/>
    </x18tc:mentions>
  </x18tc:threadedComment>
  <x18tc:threadedComment ref="I20" dT="2021-11-02T05:05:02.00" personId="{264256c3-bbc9-47ac-9dd7-8d4b1679bb68}" id="{a1999eda-071b-4296-b74f-ed649cbf3878}" done="1">
    <x18tc:text xml:space="preserve">@wuxm5@motorola.com
Hi 学敏，这个case 复测过了吧，现在EVT的机器，低电流多少呢？</x18tc:text>
    <x18tc:mentions>
      <x18tc:mention mentionpersonId="{200db89f-b2fd-4768-8b3f-704e424e69fc}" mentionId="{c13902bd-769a-457e-bcc9-60a38ada4f06}" startIndex="0" length="19"/>
    </x18tc:mentions>
  </x18tc:threadedComment>
  <x18tc:threadedComment ref="I20" dT="2021-11-02T05:36:42.00" personId="{ba5e0756-ba59-4eca-8692-a873077ead93}" id="{cb0a3ad9-1d3c-4acf-9700-7adde554e86a}" parentId="{a1999eda-071b-4296-b74f-ed649cbf3878}">
    <x18tc:text xml:space="preserve">EVT V04机器低电流是194mA，比V03降低42mA</x18tc:text>
  </x18tc:threadedComment>
  <x18tc:threadedComment ref="G10" dT="2021-12-08T01:53:57.00" personId="{707fe07e-9ef9-437f-a53f-1159714f889b}" id="{556e8fd1-f5d5-43df-aa8c-6a13db46d0d7}" done="1">
    <x18tc:text xml:space="preserve">@wuxm5@motorola.com ；
相关进展分析更新到此
分配给了wuxm5@motorola.com</x18tc:text>
    <x18tc:mentions>
      <x18tc:mention mentionpersonId="{200db89f-b2fd-4768-8b3f-704e424e69fc}" mentionId="{2bf932be-15b8-4984-b9cb-97af0859dd0b}" startIndex="0" length="19"/>
    </x18tc:mentions>
  </x18tc:threadedComment>
  <x18tc:threadedComment ref="G13" dT="2021-11-04T06:44:13.00" personId="{707fe07e-9ef9-437f-a53f-1159714f889b}" id="{58c1d8cd-ad4e-4325-a805-139de3e2db9f}" done="1">
    <x18tc:text xml:space="preserve">@dongjk@motorola.com ；
小董，这个issue 你跟踪下更新
分配给了dongjk@motorola.com</x18tc:text>
    <x18tc:mentions>
      <x18tc:mention mentionpersonId="{c74c1934-3d95-4335-a0ea-764c3940074b}" mentionId="{c35bcfd9-4e96-43eb-82a9-09237ba7ff88}" startIndex="0" length="20"/>
    </x18tc:mentions>
  </x18tc:threadedComment>
  <x18tc:threadedComment ref="G13" dT="2021-11-15T01:59:40.00" personId="{264256c3-bbc9-47ac-9dd7-8d4b1679bb68}" id="{8cb9548e-eaf1-451d-9eb6-33734c216149}" parentId="{58c1d8cd-ad4e-4325-a805-139de3e2db9f}">
    <x18tc:text xml:space="preserve">@fanlf@motorola.com
Hi 果子，小董
这边得issue 建议更新下进展和措施。谢谢</x18tc:text>
    <x18tc:mentions>
      <x18tc:mention mentionpersonId="{89829eb4-0844-4193-86c6-4fc6afe868fc}" mentionId="{09f78131-0b9f-4d41-8b63-10509ccd4cfb}" startIndex="0" length="19"/>
    </x18tc:mentions>
  </x18tc:threadedComment>
  <x18tc:threadedComment ref="I22" dT="2021-10-13T04:43:59.00" personId="{264256c3-bbc9-47ac-9dd7-8d4b1679bb68}" id="{c477af5c-ef4f-4e97-81c3-b2ea7ae21813}" done="1">
    <x18tc:text xml:space="preserve">@xiaozh1@motorola.com
@liguoa@motorola.com
@fanlf@motorola.com
HI 志浩
Milan 5G这个项有什么更新不？ 今天要发DVT1 板子了，需要sync下，谢谢</x18tc:text>
    <x18tc:mentions>
      <x18tc:mention mentionpersonId="{d3bc4f64-10ef-41fd-9d7c-32349da106cc}" mentionId="{d30ddea1-abd7-4661-9ff2-7269e8b70406}" startIndex="0" length="21"/>
      <x18tc:mention mentionpersonId="{466ad751-a4a6-489f-b0f0-680e8e3625fe}" mentionId="{7b5a6244-4827-405e-9caf-3e858a1c60e2}" startIndex="22" length="20"/>
      <x18tc:mention mentionpersonId="{89829eb4-0844-4193-86c6-4fc6afe868fc}" mentionId="{4173d1e2-4001-4769-b770-83e8d003d285}" startIndex="43" length="19"/>
    </x18tc:mentions>
  </x18tc:threadedComment>
  <x18tc:threadedComment ref="I3" dT="2022-04-06T02:51:39.00" personId="{264256c3-bbc9-47ac-9dd7-8d4b1679bb68}" id="{a438e96a-3285-4dc8-8f04-b81ecad292b0}" done="1">
    <x18tc:text xml:space="preserve">@liguoa@motorola.com 这个事情没完没了，先建个文档 整理沟通信息吧. 后面可能会用到</x18tc:text>
    <x18tc:mentions>
      <x18tc:mention mentionpersonId="{466ad751-a4a6-489f-b0f0-680e8e3625fe}" mentionId="{5d2b2e7c-c1e0-436b-acf4-a6bdc67dbd32}" startIndex="0" length="20"/>
    </x18tc:mentions>
  </x18tc:threadedComment>
  <x18tc:threadedComment ref="I15" dT="2021-11-16T12:07:54.00" personId="{264256c3-bbc9-47ac-9dd7-8d4b1679bb68}" id="{ed17b544-0ce5-4deb-a7b3-05e94e9ffc57}" done="1">
    <x18tc:text xml:space="preserve">@fanlf@motorola.com
@liguoa@motorola.com
Hi 小范，李果
这个明确了是二供的OVP IC 挂了。 这颗第一次导入，看下圣邦威有啥优化可能不。对于项目，明天可能要先和采购谈好去除OVP的二供设计。</x18tc:text>
    <x18tc:mentions>
      <x18tc:mention mentionpersonId="{89829eb4-0844-4193-86c6-4fc6afe868fc}" mentionId="{941f19e5-8ff6-42f8-add5-af3c34c80781}" startIndex="0" length="19"/>
      <x18tc:mention mentionpersonId="{466ad751-a4a6-489f-b0f0-680e8e3625fe}" mentionId="{7e381ac6-e1d0-4065-94c3-7d2299b20c7a}" startIndex="20" length="20"/>
    </x18tc:mentions>
  </x18tc:threadedComment>
  <x18tc:threadedComment ref="H18" dT="2021-11-10T01:56:46.00" personId="{264256c3-bbc9-47ac-9dd7-8d4b1679bb68}" id="{802afda6-f2e8-4031-8997-1db38558cdf3}" done="1">
    <x18tc:text xml:space="preserve">@liguoa@motorola.com
@wuxm5@motorola.com
@fanlf@motorola.com
这个issue 请先知悉，DVT1 的二供机器刚拿到，QC3功能调试好，测试 发现 1.概率性QC3 失败，2.充电类型寄存器更新非常慢（不稳定，有时候好几秒钟，有时候1秒）。怀疑和 Dsel 47nf cap有关。</x18tc:text>
    <x18tc:mentions>
      <x18tc:mention mentionpersonId="{466ad751-a4a6-489f-b0f0-680e8e3625fe}" mentionId="{2ed33cb0-bc4c-497d-95c4-cc6064eb9f12}" startIndex="0" length="20"/>
      <x18tc:mention mentionpersonId="{200db89f-b2fd-4768-8b3f-704e424e69fc}" mentionId="{7071ef4d-9ffa-4f7c-b495-941478b0a7c9}" startIndex="21" length="19"/>
      <x18tc:mention mentionpersonId="{89829eb4-0844-4193-86c6-4fc6afe868fc}" mentionId="{3d0ccc9c-ddf5-46f1-8c8a-7b5dab2f452c}" startIndex="41" length="19"/>
    </x18tc:mentions>
  </x18tc:threadedComment>
  <x18tc:threadedComment ref="H18" dT="2021-11-10T08:03:04.00" personId="{264256c3-bbc9-47ac-9dd7-8d4b1679bb68}" id="{cbfc5efa-525d-4e06-87f3-577baa80561e}" parentId="{802afda6-f2e8-4031-8997-1db38558cdf3}">
    <x18tc:text xml:space="preserve">信息更新，目前DVT1  1台机器的实验表现为和47nf没有直接关系。 这份怀疑方向不一定成立，还需要继续查找</x18tc:text>
  </x18tc:threadedComment>
  <x18tc:threadedComment ref="I28" dT="2021-09-15T02:22:40.00" personId="{264256c3-bbc9-47ac-9dd7-8d4b1679bb68}" id="{f6622a87-a4f8-4586-acfc-0e053e957a16}" done="1">
    <x18tc:text xml:space="preserve">@hankai4@motorola.com
@xiaozh1@motorola.com
@fanlf@motorola.com
Hi 韩凯
目前Milan 5G 上海SW  Chailu反馈issue：PD通讯经常失败，特别是插接PD 协议分析仪后更容易复现。  需要我们一起分析下这个issue。  如当面沟通，我们先做一些对比试验，同步一下两边的状态 （目前还无法同步上，需要确认SW 还是HW问题，先对比试验）</x18tc:text>
    <x18tc:mentions>
      <x18tc:mention mentionpersonId="{d702ad81-eb9f-441c-b96d-4f0c49761fea}" mentionId="{ec373205-7edb-4f08-b22d-cc4b56432b5a}" startIndex="0" length="21"/>
      <x18tc:mention mentionpersonId="{d3bc4f64-10ef-41fd-9d7c-32349da106cc}" mentionId="{760e65e4-0184-4305-a140-7b358235c374}" startIndex="22" length="21"/>
      <x18tc:mention mentionpersonId="{89829eb4-0844-4193-86c6-4fc6afe868fc}" mentionId="{abe4c25d-e4fe-4a26-9790-4d83393a59a3}" startIndex="44" length="19"/>
    </x18tc:mentions>
  </x18tc:threadedComment>
  <x18tc:threadedComment ref="I28" dT="2021-09-23T02:31:21.00" personId="{264256c3-bbc9-47ac-9dd7-8d4b1679bb68}" id="{0b605cde-2b46-42aa-be75-8c34274d0056}" parentId="{f6622a87-a4f8-4586-acfc-0e053e957a16}">
    <x18tc:text xml:space="preserve">case 已经找到 根源，HW上的线索就是I2C经常低电平，这个肯定不对。  根源是SW的配置问题。</x18tc:text>
  </x18tc:threadedComment>
  <x18tc:threadedComment ref="I28" dT="2021-09-23T02:31:50.00" personId="{264256c3-bbc9-47ac-9dd7-8d4b1679bb68}" id="{f0aa2edc-4654-46f2-abcc-7d173ba3fb12}" parentId="{f6622a87-a4f8-4586-acfc-0e053e957a16}">
    <x18tc:text xml:space="preserve">具体为什么SW会配置出现这样的问题，待SW 给具体说明</x18tc:text>
  </x18tc:threadedComment>
  <x18tc:threadedComment ref="I27" dT="2021-09-15T02:30:22.00" personId="{264256c3-bbc9-47ac-9dd7-8d4b1679bb68}" id="{685e33e2-5f00-47c1-b82f-9c014e0a594c}" done="1">
    <x18tc:text xml:space="preserve">@liguoa@motorola.com
Hi 果子
昨天魏巍给个个板子，说是RT的电量计 器件ID 读取失败，我和他验证其他4块板子都是正确的，同样的SW。 目前看可能单体故障。 板子放在我这边了。</x18tc:text>
    <x18tc:mentions>
      <x18tc:mention mentionpersonId="{466ad751-a4a6-489f-b0f0-680e8e3625fe}" mentionId="{b1399d34-fa2e-479d-8abd-90d84779cfdd}" startIndex="0" length="20"/>
    </x18tc:mentions>
  </x18tc:threadedComment>
  <x18tc:threadedComment ref="I27" dT="2021-09-15T02:31:08.00" personId="{264256c3-bbc9-47ac-9dd7-8d4b1679bb68}" id="{99da883e-06a1-4eb4-ae50-93b6d991de5d}" parentId="{685e33e2-5f00-47c1-b82f-9c014e0a594c}">
    <x18tc:text xml:space="preserve">我再想是否可以I2C 控制器读取下ID，确认器件本身的正确性。 只是暂时没有时间，先看PD故障问题，这台放缓一些，或者你安排谁先看下</x18tc:text>
  </x18tc:threadedComment>
  <x18tc:threadedComment ref="I27" dT="2021-09-15T03:02:48.00" personId="{707fe07e-9ef9-437f-a53f-1159714f889b}" id="{f743c4f8-10d5-40b5-b8be-572bb0b24182}" parentId="{685e33e2-5f00-47c1-b82f-9c014e0a594c}">
    <x18tc:text xml:space="preserve">我来跟进</x18tc:text>
  </x18tc:threadedComment>
</x18tc:ThreadedComments>
</file>

<file path=xl/threadedComments/threadedComment1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23" dT="2021-07-30T03:09:03.00" personId="{264256c3-bbc9-47ac-9dd7-8d4b1679bb68}" id="{25ef8b2f-9b1a-44b1-ad38-19ed12ec6bbc}" done="0">
    <x18tc:text xml:space="preserve">@changfm1@motorola.com 
HI芳梅
请记得更新issue</x18tc:text>
    <x18tc:mentions>
      <x18tc:mention mentionpersonId="{9f1abf6f-4b70-4fd0-b4d1-53c68e3022c5}" mentionId="{36f01842-52f3-4ae1-ba87-2f94d7626e27}" startIndex="0" length="22"/>
    </x18tc:mentions>
  </x18tc:threadedComment>
  <x18tc:threadedComment ref="I23" dT="2021-08-02T01:47:50.00" personId="{264256c3-bbc9-47ac-9dd7-8d4b1679bb68}" id="{842fdfe2-12db-480d-84f1-9150ddb8b054}" parentId="{25ef8b2f-9b1a-44b1-ad38-19ed12ec6bbc}">
    <x18tc:text xml:space="preserve">@fanlf@motorola.com 
Hi 芳梅
请更新分析文档到这边并大概更新下情况。 目前看分析问题中。但明确是有问题的了。需要解决。</x18tc:text>
    <x18tc:mentions>
      <x18tc:mention mentionpersonId="{89829eb4-0844-4193-86c6-4fc6afe868fc}" mentionId="{03a17170-631a-409e-a459-bbb3f81c7fe7}" startIndex="0" length="19"/>
    </x18tc:mentions>
  </x18tc:threadedComment>
  <x18tc:threadedComment ref="I23" dT="2021-08-09T02:17:18.00" personId="{264256c3-bbc9-47ac-9dd7-8d4b1679bb68}" id="{3316ab24-0ef9-48e2-b5e0-234f8a28fca5}" parentId="{25ef8b2f-9b1a-44b1-ad38-19ed12ec6bbc}">
    <x18tc:text xml:space="preserve">HI  芳梅
这个case 是否可以 close ？</x18tc:text>
  </x18tc:threadedComment>
  <x18tc:threadedComment ref="I23" dT="2021-08-09T03:24:49.00" personId="{577c9a8f-cc82-4e10-8937-2f6f29d8b761}" id="{5df793cf-c2ed-4730-81ff-17193431b5f5}" parentId="{25ef8b2f-9b1a-44b1-ad38-19ed12ec6bbc}">
    <x18tc:text xml:space="preserve">哦，那我改成close</x18tc:text>
  </x18tc:threadedComment>
  <x18tc:threadedComment ref="I19" dT="2021-08-18T08:02:52.00" personId="{264256c3-bbc9-47ac-9dd7-8d4b1679bb68}" id="{6af171ba-bb06-4bc6-8442-11bf95612ddd}" done="1">
    <x18tc:text xml:space="preserve">@hankai4@motorola.com 
@fanlf@motorola.com 
@liguoa@motorola.com 
HI 韩凯
这个issue 还请登记下，描述清楚信息（包括单号，机器号，场景，插不插充电器，等等细节信息）。然后继续复现及分析 。</x18tc:text>
    <x18tc:mentions>
      <x18tc:mention mentionpersonId="{d702ad81-eb9f-441c-b96d-4f0c49761fea}" mentionId="{380be81f-6417-4fc3-a07f-df6d77fe570d}" startIndex="0" length="21"/>
      <x18tc:mention mentionpersonId="{89829eb4-0844-4193-86c6-4fc6afe868fc}" mentionId="{229bddef-5d6f-4d63-ab2d-334db960355e}" startIndex="23" length="19"/>
      <x18tc:mention mentionpersonId="{466ad751-a4a6-489f-b0f0-680e8e3625fe}" mentionId="{481aac70-24e7-406f-ba43-368f4d654a01}" startIndex="44" length="20"/>
    </x18tc:mentions>
  </x18tc:threadedComment>
  <x18tc:threadedComment ref="I20" dT="2021-07-30T03:09:26.00" personId="{264256c3-bbc9-47ac-9dd7-8d4b1679bb68}" id="{b63b5606-8dcf-456a-af6f-ad489030a52d}" done="0">
    <x18tc:text xml:space="preserve">@changfm1@motorola.com 
HI 芳梅
issue 更新下，有链接放上来下，谢谢</x18tc:text>
    <x18tc:mentions>
      <x18tc:mention mentionpersonId="{9f1abf6f-4b70-4fd0-b4d1-53c68e3022c5}" mentionId="{ac57cee0-0ddd-44cb-b013-3466a0077c08}" startIndex="0" length="22"/>
    </x18tc:mentions>
  </x18tc:threadedComment>
  <x18tc:threadedComment ref="I20" dT="2021-09-07T05:46:44.00" personId="{264256c3-bbc9-47ac-9dd7-8d4b1679bb68}" id="{1d41184a-0a7d-4bcc-b474-61051a27eb34}" parentId="{b63b5606-8dcf-456a-af6f-ad489030a52d}">
    <x18tc:text xml:space="preserve">这个case 结果如何？ 更新下结果吧，状态我先改为close</x18tc:text>
  </x18tc:threadedComment>
  <x18tc:threadedComment ref="I17" dT="2021-09-07T06:03:58.00" personId="{264256c3-bbc9-47ac-9dd7-8d4b1679bb68}" id="{bbc14cda-26d4-47e2-b007-201982806ee0}" done="1">
    <x18tc:text xml:space="preserve">@xiongsn1@motorola.com
HI 熊
请关注下这个case ，有分析结果更新下，谢谢</x18tc:text>
    <x18tc:mentions>
      <x18tc:mention mentionpersonId="{29c1a8e0-e66d-4172-98d4-3780dccea77b}" mentionId="{fbc67256-10b3-4a61-a8e3-0c476f8affbc}" startIndex="0" length="22"/>
    </x18tc:mentions>
  </x18tc:threadedComment>
  <x18tc:threadedComment ref="I17" dT="2021-09-08T01:16:16.00" personId="{bd64dc66-6b89-428c-92a4-0e252df79ace}" id="{eac7b030-211b-4270-bf5b-833bb8a2ea0a}" parentId="{bbc14cda-26d4-47e2-b007-201982806ee0}">
    <x18tc:text xml:space="preserve">CG翘起导致轻微漏光</x18tc:text>
  </x18tc:threadedComment>
  <x18tc:threadedComment ref="G8" dT="2021-10-08T07:14:19.00" personId="{264256c3-bbc9-47ac-9dd7-8d4b1679bb68}" id="{ad560ed9-2795-4b0f-9e19-dcced8818757}" done="1">
    <x18tc:text xml:space="preserve">@xiaozh1@motorola.com
HI 志浩
这个case 已经close 了吧，或者我们还需要做什么吗？</x18tc:text>
    <x18tc:mentions>
      <x18tc:mention mentionpersonId="{d3bc4f64-10ef-41fd-9d7c-32349da106cc}" mentionId="{d8a2ecad-6796-4e9b-813d-46dd13896be2}" startIndex="0" length="21"/>
    </x18tc:mentions>
  </x18tc:threadedComment>
  <x18tc:threadedComment ref="H14" dT="2021-09-06T05:51:46.00" personId="{264256c3-bbc9-47ac-9dd7-8d4b1679bb68}" id="{5478cd42-fa59-4594-8f7a-8d061facdf15}" done="1">
    <x18tc:text xml:space="preserve">@hankai4@motorola.com
@xiongsn1@motorola.com
@liguoa@motorola.com
@fanlf@motorola.com
Hi 韩凯
提醒个事情，实验室反馈项目有ESD问题时，请记得及时登记issue 到BB issue上面。  然后comment 给下一步分析对应的人员，更新分析情况，有分析进展后相应人员需要更新下情况，谢谢</x18tc:text>
    <x18tc:mentions>
      <x18tc:mention mentionpersonId="{d702ad81-eb9f-441c-b96d-4f0c49761fea}" mentionId="{e0c61546-2d2e-42c1-8a3b-04eb90812b43}" startIndex="0" length="21"/>
      <x18tc:mention mentionpersonId="{29c1a8e0-e66d-4172-98d4-3780dccea77b}" mentionId="{c4ddae62-b412-49a3-8a68-8448d6101862}" startIndex="22" length="22"/>
      <x18tc:mention mentionpersonId="{466ad751-a4a6-489f-b0f0-680e8e3625fe}" mentionId="{f7e2af10-09dd-48ce-a69d-2f0341be4f41}" startIndex="45" length="20"/>
      <x18tc:mention mentionpersonId="{89829eb4-0844-4193-86c6-4fc6afe868fc}" mentionId="{599446ef-fa77-4d9d-b2ee-be90815460ad}" startIndex="66" length="19"/>
    </x18tc:mentions>
  </x18tc:threadedComment>
  <x18tc:threadedComment ref="H14" dT="2021-09-06T05:53:03.00" personId="{264256c3-bbc9-47ac-9dd7-8d4b1679bb68}" id="{11bf981a-bf29-4d1b-b13d-c6431c2848cf}" parentId="{5478cd42-fa59-4594-8f7a-8d061facdf15}">
    <x18tc:text xml:space="preserve">我这边先登记一下issue. 当前到了 故障机分析环节。需要分析具体故障损坏情况以及机器是否有特别性 。
Hi 熊，韩凯
建议拆机时还是要同时注意下有没有哪里有装配异常之类的。</x18tc:text>
  </x18tc:threadedComment>
  <x18tc:threadedComment ref="I26" dT="2021-07-21T08:10:29.00" personId="{264256c3-bbc9-47ac-9dd7-8d4b1679bb68}" id="{cb24a96b-966b-493e-97d7-d761051da17f}" done="0">
    <x18tc:text xml:space="preserve">@chenb3@motorola.com 
@fanlf@motorola.com 
HI 邦邦
板子拿到，你看明天能否更新一版验证结果？我们得知道改板的效果是否就已经可以接受。 下一版风采了哈。要判断下一版是否有更改产生。谢谢</x18tc:text>
    <x18tc:mentions>
      <x18tc:mention mentionpersonId="{873f86e6-0f3e-4e97-85f8-040caac71fca}" mentionId="{af882527-9f49-44cf-a36f-59b268021dc7}" startIndex="0" length="20"/>
      <x18tc:mention mentionpersonId="{89829eb4-0844-4193-86c6-4fc6afe868fc}" mentionId="{9a10efcc-a768-4980-9107-3eb20b0a812b}" startIndex="22" length="19"/>
    </x18tc:mentions>
  </x18tc:threadedComment>
  <x18tc:threadedComment ref="I26" dT="2021-08-02T02:13:50.00" personId="{264256c3-bbc9-47ac-9dd7-8d4b1679bb68}" id="{640ca392-eaba-4b28-9be0-7896d9e04110}" parentId="{cb24a96b-966b-493e-97d7-d761051da17f}">
    <x18tc:text xml:space="preserve">HI 小范，邦邦
这个issue 由于确认结果是机器之间的差异。reopen</x18tc:text>
  </x18tc:threadedComment>
  <x18tc:threadedComment ref="I16" dT="2021-09-06T02:20:45.00" personId="{264256c3-bbc9-47ac-9dd7-8d4b1679bb68}" id="{01ab747a-cb12-43b0-9566-2a415268b142}" done="1">
    <x18tc:text xml:space="preserve">@wuxm5@motorola.com
@fanlf@motorola.com
Hi 学敏
给你的这台机器，是yuzhe 准备试用的机器。休眠后死机，无法唤醒，持续耗电，插充电器还能充电。   刷新多个版本依然复现，一天可以复现好几次。 是个真case（不知道是否单台故障），我们需要尽快确认下。 DVT1 没人反馈过 。</x18tc:text>
    <x18tc:mentions>
      <x18tc:mention mentionpersonId="{200db89f-b2fd-4768-8b3f-704e424e69fc}" mentionId="{51ac4c3b-7778-4c45-98e9-0e83077866ac}" startIndex="0" length="19"/>
      <x18tc:mention mentionpersonId="{89829eb4-0844-4193-86c6-4fc6afe868fc}" mentionId="{927e84b9-c614-4fd8-851d-9f41acf8fa32}" startIndex="20" length="19"/>
    </x18tc:mentions>
  </x18tc:threadedComment>
  <x18tc:threadedComment ref="I16" dT="2021-09-10T07:42:53.00" personId="{264256c3-bbc9-47ac-9dd7-8d4b1679bb68}" id="{cc2a2e4a-60b8-49c4-b428-c376c513864c}" parentId="{01ab747a-cb12-43b0-9566-2a415268b142}">
    <x18tc:text xml:space="preserve">@dongjk@motorola.com
这个case ，刷最新版本-44 的。  观察两天看是否还会复现问题。  下周一确认结果</x18tc:text>
    <x18tc:mentions>
      <x18tc:mention mentionpersonId="{c74c1934-3d95-4335-a0ea-764c3940074b}" mentionId="{cdaeb9ad-f560-451e-8c13-55abd8725be4}" startIndex="0" length="20"/>
    </x18tc:mentions>
  </x18tc:threadedComment>
  <x18tc:threadedComment ref="H25" dT="2021-07-16T06:20:03.00" personId="{264256c3-bbc9-47ac-9dd7-8d4b1679bb68}" id="{65743518-1f9c-46f9-8560-8576cb224708}" done="1">
    <x18tc:text xml:space="preserve">@xiaozh1@motorola.com 
@liguoa@motorola.com 
@fanlf@motorola.com 
这个case 需要关注下，今天  solution1 但摸底有改善，还是fail。</x18tc:text>
    <x18tc:mentions>
      <x18tc:mention mentionpersonId="{d3bc4f64-10ef-41fd-9d7c-32349da106cc}" mentionId="{d3b6f068-222c-4b9b-be7b-36220eef1c87}" startIndex="0" length="21"/>
      <x18tc:mention mentionpersonId="{466ad751-a4a6-489f-b0f0-680e8e3625fe}" mentionId="{851da2d1-9861-4b00-bbc8-a0babd24afa3}" startIndex="23" length="20"/>
      <x18tc:mention mentionpersonId="{89829eb4-0844-4193-86c6-4fc6afe868fc}" mentionId="{a08ef07d-e294-48c1-8a59-293861613378}" startIndex="45" length="19"/>
    </x18tc:mentions>
  </x18tc:threadedComment>
  <x18tc:threadedComment ref="I22" dT="2021-08-05T07:06:56.00" personId="{264256c3-bbc9-47ac-9dd7-8d4b1679bb68}" id="{33089e11-a507-4ac2-8a4d-8b843ab09574}" done="0">
    <x18tc:text xml:space="preserve">@chenb3@motorola.com 
@fanlf@motorola.com 
HI邦邦
这个issue 没有分析文档吗？感觉挺复杂一个问题，也有好多数据了，应该需要一个文档承接哈，如已有文档，请放一下链接吧。</x18tc:text>
    <x18tc:mentions>
      <x18tc:mention mentionpersonId="{873f86e6-0f3e-4e97-85f8-040caac71fca}" mentionId="{534c6f5e-83f0-49b0-878d-1d65bc51fb77}" startIndex="0" length="20"/>
      <x18tc:mention mentionpersonId="{89829eb4-0844-4193-86c6-4fc6afe868fc}" mentionId="{9e52f431-cbee-4db8-94a9-0b8ec07187ef}" startIndex="22" length="19"/>
    </x18tc:mentions>
  </x18tc:threadedComment>
  <x18tc:threadedComment ref="I22" dT="2021-11-26T02:10:46.00" personId="{264256c3-bbc9-47ac-9dd7-8d4b1679bb68}" id="{d8c84348-0bd8-4cec-8dec-1a3a290bf425}" parentId="{33089e11-a507-4ac2-8a4d-8b843ab09574}">
    <x18tc:text xml:space="preserve">Hi 邦邦
1.这个issue 是否可以做个项目复盘？ 一页就好的那种，可以参考
https://docs.google.com/presentation/d/1bf9UfQ6OIqYPTvps_AHrFyNxgt2iR7H_s5ECMQsXNoI/edit#slide=id.gfbf848987c_0_65 。  下周二前看是否可以提供下，Yukon项目上下周做复盘
2.至于技术分享，其实可以整理下做一次，你自己看看，呵呵。</x18tc:text>
    <x18tc:extLst>
      <ext uri="{F7C98A9C-CBB3-438F-8F68-D28B6AF4A901}">
        <xltc2:checksum/>
        <xltc2:hyperlink startIndex="41" length="114" url="https://docs.google.com/presentation/d/1bf9UfQ6OIqYPTvps_AHrFyNxgt2iR7H_s5ECMQsXNoI/edit#slide=id.gfbf848987c_0_65"/>
      </ext>
    </x18tc:extLst>
  </x18tc:threadedComment>
  <x18tc:threadedComment ref="I27" dT="2021-06-28T03:39:12.00" personId="{264256c3-bbc9-47ac-9dd7-8d4b1679bb68}" id="{ec32aed3-50d2-418f-82d9-c5da5e3e10d2}" done="0">
    <x18tc:text xml:space="preserve">@changfm1@motorola.com 
这边记录一个issue</x18tc:text>
    <x18tc:mentions>
      <x18tc:mention mentionpersonId="{9f1abf6f-4b70-4fd0-b4d1-53c68e3022c5}" mentionId="{f9663074-111d-4a5e-9c0a-f81a96d9fe01}" startIndex="0" length="22"/>
    </x18tc:mentions>
  </x18tc:threadedComment>
  <x18tc:threadedComment ref="I27" dT="2021-07-02T03:20:59.00" personId="{264256c3-bbc9-47ac-9dd7-8d4b1679bb68}" id="{15fd8cdc-2f7c-493c-af7d-de900df22758}" parentId="{ec32aed3-50d2-418f-82d9-c5da5e3e10d2}">
    <x18tc:text xml:space="preserve">HI 芳梅
这个需要一个PPT 的分析报告哈，目前看还得继续分析跟踪。</x18tc:text>
  </x18tc:threadedComment>
  <x18tc:threadedComment ref="I21" dT="2021-06-28T03:19:34.00" personId="{264256c3-bbc9-47ac-9dd7-8d4b1679bb68}" id="{91819a3b-2461-4e94-948f-2bf4e3974bf3}" done="1">
    <x18tc:text xml:space="preserve">@wuxm5@motorola.com 
如沟通，确认下是否符合SPEC。
谢谢</x18tc:text>
    <x18tc:mentions>
      <x18tc:mention mentionpersonId="{200db89f-b2fd-4768-8b3f-704e424e69fc}" mentionId="{9f8da435-0e39-4da4-9bc7-5d5c4bf396e8}" startIndex="0" length="19"/>
    </x18tc:mentions>
  </x18tc:threadedComment>
  <x18tc:threadedComment ref="I21" dT="2021-06-28T03:19:40.00" personId="{264256c3-bbc9-47ac-9dd7-8d4b1679bb68}" id="{017e2cd8-3f22-46ec-9a25-a804d7e8ecf5}" parentId="{91819a3b-2461-4e94-948f-2bf4e3974bf3}">
    <x18tc:text xml:space="preserve">@liguoa@motorola.com</x18tc:text>
    <x18tc:mentions>
      <x18tc:mention mentionpersonId="{466ad751-a4a6-489f-b0f0-680e8e3625fe}" mentionId="{233fbd3d-ab99-42d1-a6d7-0afd453c5193}" startIndex="0" length="20"/>
    </x18tc:mentions>
  </x18tc:threadedComment>
  <x18tc:threadedComment ref="I21" dT="2021-07-02T03:20:31.00" personId="{264256c3-bbc9-47ac-9dd7-8d4b1679bb68}" id="{79cebc65-07dc-4eb3-9bc1-a4dd1bf0deea}" parentId="{91819a3b-2461-4e94-948f-2bf4e3974bf3}">
    <x18tc:text xml:space="preserve">HI 学敏
这个case 你抽空创建个文档吧， 然后将 分解的电流信息放进去，链接放上来。比较好反查。谢谢</x18tc:text>
  </x18tc:threadedComment>
  <x18tc:threadedComment ref="I21" dT="2021-08-18T07:59:48.00" personId="{264256c3-bbc9-47ac-9dd7-8d4b1679bb68}" id="{bf2b6c33-19ec-4e41-8237-1b1b43c54151}" parentId="{91819a3b-2461-4e94-948f-2bf4e3974bf3}">
    <x18tc:text xml:space="preserve">HI 学敏
这个case 我们就关闭了哈。PQM自己算出8个月的存储时间。 就这么先go 了。 （ 底线6个月）</x18tc:text>
  </x18tc:threadedComment>
  <x18tc:threadedComment ref="G3" dT="2021-09-29T03:42:39.00" personId="{264256c3-bbc9-47ac-9dd7-8d4b1679bb68}" id="{aeee18a0-7953-4f3c-badd-8e74008b4551}" done="1">
    <x18tc:text xml:space="preserve">@changfm1@motorola.com
@fanlf@motorola.com
这个问题需要同步信息。谢谢</x18tc:text>
    <x18tc:mentions>
      <x18tc:mention mentionpersonId="{9f1abf6f-4b70-4fd0-b4d1-53c68e3022c5}" mentionId="{60814ea0-a758-4bed-ab88-f54cfc3e91c6}" startIndex="0" length="22"/>
      <x18tc:mention mentionpersonId="{89829eb4-0844-4193-86c6-4fc6afe868fc}" mentionId="{6cc9af1c-f8cb-4926-8f3d-d03a319a7174}" startIndex="23" length="19"/>
    </x18tc:mentions>
  </x18tc:threadedComment>
  <x18tc:threadedComment ref="I31" dT="2021-06-23T03:10:26.00" personId="{264256c3-bbc9-47ac-9dd7-8d4b1679bb68}" id="{b147256f-536b-4ede-ad0a-d9ae1150e600}" done="1">
    <x18tc:text xml:space="preserve">@changfm1@motorola.com 
@chenb3@motorola.com 
@fanlf@motorola.com 
Hi 芳梅
请跟踪这个case ，昨天将相关邮件给你了哈。
Hi 邦邦
目前结构和产线将这个case 归结于 LCD FPC太长，不好装配，导致歪了装下去，连接器有些压坏了以及偏了 装下去了。  结构提出更改LCD连接器向上移动0.65mm来达到理想装配状态。 但是具体能移动多少，这个请帮忙优先确认并邮件回复给项目组一下，谢谢</x18tc:text>
    <x18tc:mentions>
      <x18tc:mention mentionpersonId="{9f1abf6f-4b70-4fd0-b4d1-53c68e3022c5}" mentionId="{59e1c90f-93a4-4413-b7a6-865a9cf82828}" startIndex="0" length="22"/>
      <x18tc:mention mentionpersonId="{873f86e6-0f3e-4e97-85f8-040caac71fca}" mentionId="{ec81bf94-89b3-43b2-a885-e61bf8dd3954}" startIndex="24" length="20"/>
      <x18tc:mention mentionpersonId="{89829eb4-0844-4193-86c6-4fc6afe868fc}" mentionId="{6c5db629-8786-4f5d-ae2a-e11d6f298143}" startIndex="46" length="19"/>
    </x18tc:mentions>
  </x18tc:threadedComment>
  <x18tc:threadedComment ref="H9" dT="2021-09-29T03:57:05.00" personId="{264256c3-bbc9-47ac-9dd7-8d4b1679bb68}" id="{b1b910df-d492-4f37-bb65-9086afb96a17}" done="1">
    <x18tc:text xml:space="preserve">@wuxm5@motorola.com
HI 学敏
这个case 你关注下，SW 指向HW 哪个LDO出问题的样子。 你可以和xuwei 确认下 并更新下信息。谢谢</x18tc:text>
    <x18tc:mentions>
      <x18tc:mention mentionpersonId="{200db89f-b2fd-4768-8b3f-704e424e69fc}" mentionId="{86f75f18-17d8-40cb-b699-5b050544b963}" startIndex="0" length="19"/>
    </x18tc:mentions>
  </x18tc:threadedComment>
  <x18tc:threadedComment ref="H33" dT="2021-06-21T12:19:15.00" personId="{264256c3-bbc9-47ac-9dd7-8d4b1679bb68}" id="{78ca8254-7dba-4273-9bbd-e80d7cd26687}" done="1">
    <x18tc:text xml:space="preserve">@xiongsn1@motorola.com 
Yukon  capsensor ch3 的事情还请关注哈，DVT1 发板前需要清理干净，避免遗留风险，谢谢</x18tc:text>
    <x18tc:mentions>
      <x18tc:mention mentionpersonId="{29c1a8e0-e66d-4172-98d4-3780dccea77b}" mentionId="{8b1331ac-5ce3-4a9f-b844-acdfea0f1cf1}" startIndex="0" length="22"/>
    </x18tc:mentions>
  </x18tc:threadedComment>
  <x18tc:threadedComment ref="H33" dT="2021-06-22T09:53:33.00" personId="{bd64dc66-6b89-428c-92a4-0e252df79ace}" id="{b72c731e-f512-4a4a-abff-e1270720e737}" parentId="{78ca8254-7dba-4273-9bbd-e80d7cd26687}">
    <x18tc:text xml:space="preserve">https://docs.google.com/presentation/d/1-ENMcNN1Apfp5-uYMFDBNbBkg8z8-gkzZpwnWPeJdUI/edit#slide=id.gde0f927c3e_0_1</x18tc:text>
    <x18tc:extLst>
      <ext uri="{F7C98A9C-CBB3-438F-8F68-D28B6AF4A901}">
        <xltc2:checksum/>
        <xltc2:hyperlink startIndex="0" length="113" url="https://docs.google.com/presentation/d/1-ENMcNN1Apfp5-uYMFDBNbBkg8z8-gkzZpwnWPeJdUI/edit#slide=id.gde0f927c3e_0_1"/>
      </ext>
    </x18tc:extLst>
  </x18tc:threadedComment>
  <x18tc:threadedComment ref="I32" dT="2021-11-22T02:25:25.00" personId="{264256c3-bbc9-47ac-9dd7-8d4b1679bb68}" id="{8cb18b0d-87be-4fdb-9983-e6423f5f47fb}" done="0">
    <x18tc:text xml:space="preserve">@xiaozh1@motorola.com
Hi 志浩
请整理下这个Issue 放个link 。以及最后一页搞一个  复盘， 明天前完成，弄成后我们对一下，谢谢</x18tc:text>
    <x18tc:mentions>
      <x18tc:mention mentionpersonId="{d3bc4f64-10ef-41fd-9d7c-32349da106cc}" mentionId="{a2634a1f-d419-4da6-9169-88e663c0f23a}" startIndex="0" length="21"/>
    </x18tc:mentions>
  </x18tc:threadedComment>
  <x18tc:threadedComment ref="I7" dT="2021-11-22T02:19:02.00" personId="{264256c3-bbc9-47ac-9dd7-8d4b1679bb68}" id="{6ffe9053-b861-4f85-b2b7-2832aef3b822}" done="1">
    <x18tc:text xml:space="preserve">@hankai4@motorola.com
请整理下Issue 以及对应的连接文档，并整理复盘资料。谢谢。 希望明天前完成，完成后，我们再核对一下（英文）</x18tc:text>
    <x18tc:mentions>
      <x18tc:mention mentionpersonId="{d702ad81-eb9f-441c-b96d-4f0c49761fea}" mentionId="{cd47fa52-3962-4ba7-a17e-94580f4f66a0}" startIndex="0" length="21"/>
    </x18tc:mentions>
  </x18tc:threadedComment>
  <x18tc:threadedComment ref="I29" dT="2021-06-21T12:21:41.00" personId="{264256c3-bbc9-47ac-9dd7-8d4b1679bb68}" id="{89711c5e-87eb-4dc5-80b1-36c5dbf7ae19}" done="1">
    <x18tc:text xml:space="preserve">@chenb3@motorola.com 
Hi 邦邦
这边记录一条issue 哈，这个case 不敢保证是Camera SW问题，我们需要在DVT1 发板前清理干净，避免遗留风险，谢谢</x18tc:text>
    <x18tc:mentions>
      <x18tc:mention mentionpersonId="{873f86e6-0f3e-4e97-85f8-040caac71fca}" mentionId="{efe7d995-1aef-47bc-baad-c23ceb929b30}" startIndex="0" length="20"/>
    </x18tc:mentions>
  </x18tc:threadedComment>
  <x18tc:threadedComment ref="I29" dT="2021-06-22T01:55:47.00" personId="{ebaaa9f7-3383-43fa-980b-04e22673f815}" id="{2ff3bcdd-7c12-4f33-aa6d-1a9cc1eacf35}" parentId="{89711c5e-87eb-4dc5-80b1-36c5dbf7ae19}">
    <x18tc:text xml:space="preserve">SW在CR上回复：This isn't a 100% reproduce rate issue and only happened on video capture mode when starting capture.
The preview is normal so the camera sensor driver is stable.
驱动和硬件没有问题。应该是video codec部分的bug。</x18tc:text>
  </x18tc:threadedComment>
  <x18tc:threadedComment ref="I29" dT="2021-06-22T02:08:23.00" personId="{264256c3-bbc9-47ac-9dd7-8d4b1679bb68}" id="{fb3add46-719f-4628-a17b-0f5a09cd5251}" parentId="{89711c5e-87eb-4dc5-80b1-36c5dbf7ae19}">
    <x18tc:text xml:space="preserve">好的，SWissue的概率比较大。  但是还是主动跟下。  这次Audio issue 大家都以为是SW或者参数问题，但最后发现是电路问题，要花大力气来解决影响了。 越往后越难解决HW的设计问题，请知悉</x18tc:text>
  </x18tc:threadedComment>
  <x18tc:threadedComment ref="I29" dT="2021-07-02T03:07:39.00" personId="{264256c3-bbc9-47ac-9dd7-8d4b1679bb68}" id="{150ab572-80c4-49c1-a79c-23ca3bfdc7e7}" parentId="{89711c5e-87eb-4dc5-80b1-36c5dbf7ae19}">
    <x18tc:text xml:space="preserve">107 版本SW验证过ok 。 SPM答复这是个work 的方案导入到107 。 我们先close</x18tc:text>
  </x18tc:threadedComment>
  <x18tc:threadedComment ref="H32" dT="2021-06-21T12:18:34.00" personId="{264256c3-bbc9-47ac-9dd7-8d4b1679bb68}" id="{72d3938e-ae80-4e28-b41a-66ad7d774803}" done="1">
    <x18tc:text xml:space="preserve">@xiaozh1@motorola.com 
Hi 志浩
这边记了个issue上来了哈，记得跟踪和close 各项事宜。</x18tc:text>
    <x18tc:mentions>
      <x18tc:mention mentionpersonId="{d3bc4f64-10ef-41fd-9d7c-32349da106cc}" mentionId="{be93d113-7619-4455-878c-e7511b50319d}" startIndex="0" length="21"/>
    </x18tc:mentions>
  </x18tc:threadedComment>
</x18tc:ThreadedComments>
</file>

<file path=xl/threadedComments/threadedComment1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32" dT="2021-01-25T02:53:46.00" personId="{264256c3-bbc9-47ac-9dd7-8d4b1679bb68}" id="{ab48648a-769a-4cd7-bc83-709140a21a5f}" done="1">
    <x18tc:text xml:space="preserve">@fanlf@motorola.com 
这边有个小的设计issue ，事件已经在处理，影响较小。（问题是：OVP 电路画的时候GND没有接上， 我review时没有识别出来，小板OVP贴出来无法工作。EVB 小板需要返工短接一下OVP两端。） 请知悉</x18tc:text>
    <x18tc:mentions>
      <x18tc:mention mentionpersonId="{89829eb4-0844-4193-86c6-4fc6afe868fc}" mentionId="{f8d9cd66-31b0-4d00-a1fe-ee2aa257e732}" startIndex="0" length="19"/>
    </x18tc:mentions>
  </x18tc:threadedComment>
  <x18tc:threadedComment ref="I32" dT="2021-01-25T03:04:32.00" personId="{515ecdfa-17a5-45e9-8370-442994ed0931}" id="{d8af7927-1112-4381-998f-a48edbdcf10a}" parentId="{ab48648a-769a-4cd7-bc83-709140a21a5f}">
    <x18tc:text xml:space="preserve">OK</x18tc:text>
  </x18tc:threadedComment>
  <x18tc:threadedComment ref="G10" dT="2021-05-27T06:03:09.00" personId="{515ecdfa-17a5-45e9-8370-442994ed0931}" id="{131ba642-aa18-42dc-b54c-7945087ec023}" done="0">
    <x18tc:text xml:space="preserve">@hankai4@motorola.com 
@linfenga@motorola.com 
Please Update ESD  Camera Issue.
分配给了</x18tc:text>
    <x18tc:mentions>
      <x18tc:mention mentionpersonId="{d702ad81-eb9f-441c-b96d-4f0c49761fea}" mentionId="{05b09f17-1e39-4536-a893-aaf3e6ea192a}" startIndex="0" length="21"/>
      <x18tc:mention mentionpersonId="{6c148249-be48-463d-bf99-d2efef89b01f}" mentionId="{da0845c2-9fe3-454c-a15e-c7a551281d26}" startIndex="23" length="22"/>
    </x18tc:mentions>
  </x18tc:threadedComment>
  <x18tc:threadedComment ref="G10" dT="2021-06-08T01:49:07.00" personId="{515ecdfa-17a5-45e9-8370-442994ed0931}" id="{be1cc438-bbc1-4ed4-b914-d52f625af136}" parentId="{131ba642-aa18-42dc-b54c-7945087ec023}">
    <x18tc:text xml:space="preserve">@hankai4@motorola.com</x18tc:text>
    <x18tc:mentions>
      <x18tc:mention mentionpersonId="{d702ad81-eb9f-441c-b96d-4f0c49761fea}" mentionId="{f25a0116-41b7-4588-a28f-ca3e3eb4ed36}" startIndex="0" length="21"/>
    </x18tc:mentions>
  </x18tc:threadedComment>
  <x18tc:threadedComment ref="H14" dT="2021-05-18T07:07:34.00" personId="{264256c3-bbc9-47ac-9dd7-8d4b1679bb68}" id="{c941cfce-d1fc-4406-9ba5-ffdd7a9c82ab}" done="1">
    <x18tc:text xml:space="preserve">@liguoa@motorola.com 
@linfenga@motorola.com 
Hi 李果
我先记录一条这个case ，关于目前看起来电量计不太一样，SW推断是电池电量计可能有问题。 请帮忙起个case 给QC（附件log 和测试数据 及邮件描述已给你哈） ，CC 我和林峰，谢谢
分配给了liguoa@motorola.com</x18tc:text>
    <x18tc:mentions>
      <x18tc:mention mentionpersonId="{466ad751-a4a6-489f-b0f0-680e8e3625fe}" mentionId="{6aeb2f41-d035-41d4-b6ff-b0e1823b9b1c}" startIndex="0" length="20"/>
      <x18tc:mention mentionpersonId="{6c148249-be48-463d-bf99-d2efef89b01f}" mentionId="{4dac86dd-e0ea-4049-940b-5c5ef9fd5072}" startIndex="22" length="22"/>
    </x18tc:mentions>
  </x18tc:threadedComment>
  <x18tc:threadedComment ref="I18" dT="2021-05-19T07:32:20.00" personId="{264256c3-bbc9-47ac-9dd7-8d4b1679bb68}" id="{4e387299-a191-4beb-9a77-a75cde89d372}" done="0">
    <x18tc:text xml:space="preserve">@linfenga@motorola.com 
报告都有的话，细节有兴趣你可以看看</x18tc:text>
    <x18tc:mentions>
      <x18tc:mention mentionpersonId="{6c148249-be48-463d-bf99-d2efef89b01f}" mentionId="{97ee72aa-f52a-40b9-97bd-4155ddec8b13}" startIndex="0" length="22"/>
    </x18tc:mentions>
  </x18tc:threadedComment>
  <x18tc:threadedComment ref="G28" dT="2021-03-29T08:46:34.00" personId="{515ecdfa-17a5-45e9-8370-442994ed0931}" id="{ef5d4f03-70b9-4a6e-8ea4-da5c10d2c960}" done="0">
    <x18tc:text xml:space="preserve">@hankai4@motorola.com 
Please update ESD Status.
分配给了</x18tc:text>
    <x18tc:mentions>
      <x18tc:mention mentionpersonId="{d702ad81-eb9f-441c-b96d-4f0c49761fea}" mentionId="{79f5aa9a-b83b-424a-96ef-cb597bcff695}" startIndex="0" length="21"/>
    </x18tc:mentions>
  </x18tc:threadedComment>
</x18tc:ThreadedComments>
</file>

<file path=xl/threadedComments/threadedComment1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2" dT="2021-04-06T06:05:24.00" personId="{515ecdfa-17a5-45e9-8370-442994ed0931}" id="{a2a55b17-0b5e-410f-9e2f-bc3d8d7ab498}" done="1">
    <x18tc:text xml:space="preserve">@xiaozh1@motorola.com 
Please update
分配给了xiaozh1@motorola.com</x18tc:text>
    <x18tc:mentions>
      <x18tc:mention mentionpersonId="{d3bc4f64-10ef-41fd-9d7c-32349da106cc}" mentionId="{6f4b895f-987b-4b4a-b014-0044c475d4c2}" startIndex="0" length="21"/>
    </x18tc:mentions>
  </x18tc:threadedComment>
  <x18tc:threadedComment ref="H11" dT="2020-12-28T10:21:35.00" personId="{264256c3-bbc9-47ac-9dd7-8d4b1679bb68}" id="{1295e16f-cada-4e4c-9caa-19aa811bbcb3}" done="1">
    <x18tc:text xml:space="preserve">@xiaozh1@motorola.com 
似乎TDD已经ok了对吧，这边还记录一条。  是 DVT1= 多少DB？ 是否有个一个page 链接这边？</x18tc:text>
    <x18tc:mentions>
      <x18tc:mention mentionpersonId="{d3bc4f64-10ef-41fd-9d7c-32349da106cc}" mentionId="{d29a7241-ce8a-48e2-8b5d-e4cb0a99a08e}" startIndex="0" length="21"/>
    </x18tc:mentions>
  </x18tc:threadedComment>
  <x18tc:threadedComment ref="H11" dT="2020-12-29T01:25:06.00" personId="{7e913e6b-de4e-4849-9003-1ee307a30106}" id="{09c255dd-f963-47bf-9878-199ed5a398a9}" parentId="{1295e16f-cada-4e4c-9caa-19aa811bbcb3}">
    <x18tc:text xml:space="preserve">-76dB</x18tc:text>
  </x18tc:threadedComment>
  <x18tc:threadedComment ref="H7" dT="2020-12-28T10:51:47.00" personId="{264256c3-bbc9-47ac-9dd7-8d4b1679bb68}" id="{2f72c981-64e2-44d1-a642-9952345aeb74}" done="0">
    <x18tc:text xml:space="preserve">@hankai4@motorola.com 
@liguoa@motorola.com 
@xiaozh1@motorola.com 
HI 各位
这个issue 目前机器还没拿到，从字面上看是15KV后，耳机无作用。具体待确认。请关注</x18tc:text>
    <x18tc:mentions>
      <x18tc:mention mentionpersonId="{d702ad81-eb9f-441c-b96d-4f0c49761fea}" mentionId="{845294bb-e91b-442f-a55d-74ef9e4dd7e0}" startIndex="0" length="21"/>
      <x18tc:mention mentionpersonId="{466ad751-a4a6-489f-b0f0-680e8e3625fe}" mentionId="{59a085d2-3463-4666-b705-51d13d1dc75a}" startIndex="23" length="20"/>
      <x18tc:mention mentionpersonId="{d3bc4f64-10ef-41fd-9d7c-32349da106cc}" mentionId="{c5c19947-57a4-4e96-82d3-6a8f645b1688}" startIndex="45" length="21"/>
    </x18tc:mentions>
  </x18tc:threadedComment>
  <x18tc:threadedComment ref="I15" dT="2020-08-24T06:01:28.00" personId="{264256c3-bbc9-47ac-9dd7-8d4b1679bb68}" id="{3531646d-bcc2-4039-bf21-e2dcae635356}" done="1">
    <x18tc:text xml:space="preserve">@dongjk@motorola.com 
@liguoa@motorola.com 
这个issue ，最后应该是都走UFS2.2 吧，具体case 信息建议更新后close ，谢谢</x18tc:text>
    <x18tc:mentions>
      <x18tc:mention mentionpersonId="{c74c1934-3d95-4335-a0ea-764c3940074b}" mentionId="{656db1e4-487f-4fc4-b29e-c6a524b7f7ec}" startIndex="0" length="20"/>
      <x18tc:mention mentionpersonId="{466ad751-a4a6-489f-b0f0-680e8e3625fe}" mentionId="{299ea93e-3f4f-4dd2-9bcf-16a4292d8514}" startIndex="22" length="20"/>
    </x18tc:mentions>
  </x18tc:threadedComment>
  <x18tc:threadedComment ref="H6" dT="2021-01-25T02:28:03.00" personId="{264256c3-bbc9-47ac-9dd7-8d4b1679bb68}" id="{ac0b88d0-3ede-4130-8bee-30c5d681f8e4}" done="0">
    <x18tc:text xml:space="preserve">@xiongsn1@motorola.com 
@liguoa@motorola.com 
Hi 熊，果子
之前这台P-sensor 无作用，后来重启ok？ 或者如何，请更新下结果，以便issue 跟踪。</x18tc:text>
    <x18tc:mentions>
      <x18tc:mention mentionpersonId="{29c1a8e0-e66d-4172-98d4-3780dccea77b}" mentionId="{e892005f-662a-453d-9d75-3600ba617953}" startIndex="0" length="22"/>
      <x18tc:mention mentionpersonId="{466ad751-a4a6-489f-b0f0-680e8e3625fe}" mentionId="{ab8fb70c-b443-48a4-ae5f-f55400f6c6fd}" startIndex="24" length="20"/>
    </x18tc:mentions>
  </x18tc:threadedComment>
</x18tc:ThreadedComments>
</file>

<file path=xl/threadedComments/threadedComment1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64" dT="2018-11-27T08:00:07.00" personId="{264256c3-bbc9-47ac-9dd7-8d4b1679bb68}" id="{da9a8c0f-b19c-40a5-a9da-8b2106214013}" done="1">
    <x18tc:text xml:space="preserve">@liguoa@motorola.com 
@puzhe1@motorola.com
@fanlf@motorola.com 
Hi 李果
请帮忙先分析下这台机器，如有更新请告知下</x18tc:text>
    <x18tc:mentions>
      <x18tc:mention mentionpersonId="{466ad751-a4a6-489f-b0f0-680e8e3625fe}" mentionId="{115cf8bd-a04d-4427-874a-e1911eab67fa}" startIndex="0" length="20"/>
      <x18tc:mention mentionpersonId="{3bfa2978-53c6-4689-a7e2-f41898c823e3}" mentionId="{55404bb6-7325-4300-8662-c70ae239c9a5}" startIndex="22" length="20"/>
      <x18tc:mention mentionpersonId="{89829eb4-0844-4193-86c6-4fc6afe868fc}" mentionId="{a8c14adb-9757-4fb0-b3b7-8de5d8447dc2}" startIndex="43" length="19"/>
    </x18tc:mentions>
  </x18tc:threadedComment>
  <x18tc:threadedComment ref="G7" dT="2019-08-21T08:24:06.00" personId="{264256c3-bbc9-47ac-9dd7-8d4b1679bb68}" id="{57ff04cd-42de-4f26-a7e3-1ab75bd9ff64}" done="1">
    <x18tc:text xml:space="preserve">@dongjk@motorola.com 
@fanlf@motorola.com 
HI 小董
stingray  售后分析，BB issue 这边也请更新下，谢谢</x18tc:text>
    <x18tc:mentions>
      <x18tc:mention mentionpersonId="{c74c1934-3d95-4335-a0ea-764c3940074b}" mentionId="{85dc5314-c6e8-49cf-b16d-cb2bc1683081}" startIndex="0" length="20"/>
      <x18tc:mention mentionpersonId="{89829eb4-0844-4193-86c6-4fc6afe868fc}" mentionId="{2e25dbc7-a843-461b-9d6d-07c188b24705}" startIndex="22" length="19"/>
    </x18tc:mentions>
  </x18tc:threadedComment>
  <x18tc:threadedComment ref="G97" dT="2018-10-17T03:31:19.00" personId="{264256c3-bbc9-47ac-9dd7-8d4b1679bb68}" id="{439a617a-7dc7-4758-af5f-46dc95246710}" done="1">
    <x18tc:text xml:space="preserve">@chenbang3@lenovo.com 
Hi 邦邦
请问这个是否已经验证ok?还是还不确认？计划是？</x18tc:text>
    <x18tc:mentions>
      <x18tc:mention mentionpersonId="{a73e225a-9f48-4c0d-89aa-211a06247db9}" mentionId="{e37960ea-d43e-473f-903a-3eb2e399810a}" startIndex="0" length="21"/>
    </x18tc:mentions>
  </x18tc:threadedComment>
  <x18tc:threadedComment ref="G97" dT="2018-10-17T03:38:11.00" personId="{5d445140-7d74-481e-b6ce-e9a82a2ecf79}" id="{1214f2c3-9b2c-4289-92e8-25207f246646}" parentId="{439a617a-7dc7-4758-af5f-46dc95246710}">
    <x18tc:text xml:space="preserve">标为已解决</x18tc:text>
  </x18tc:threadedComment>
  <x18tc:threadedComment ref="G97" dT="2018-10-17T04:26:53.00" personId="{264256c3-bbc9-47ac-9dd7-8d4b1679bb68}" id="{7089f8a4-8619-425a-9bbc-65e971c30d84}" parentId="{439a617a-7dc7-4758-af5f-46dc95246710}">
    <x18tc:text xml:space="preserve">已重新提出</x18tc:text>
  </x18tc:threadedComment>
  <x18tc:threadedComment ref="G97" dT="2018-10-17T04:27:38.00" personId="{264256c3-bbc9-47ac-9dd7-8d4b1679bb68}" id="{f1dd43cd-39cd-4415-85c4-0b14bc92a66d}" parentId="{439a617a-7dc7-4758-af5f-46dc95246710}">
    <x18tc:text xml:space="preserve">表格内容和 链接ppt内容都没更新不能直接close 这个comment哈.....</x18tc:text>
  </x18tc:threadedComment>
  <x18tc:threadedComment ref="G97" dT="2018-10-17T04:34:11.00" personId="{5d445140-7d74-481e-b6ce-e9a82a2ecf79}" id="{1cffab0d-7dd5-4271-9f6a-b81ecfc72184}" parentId="{439a617a-7dc7-4758-af5f-46dc95246710}">
    <x18tc:text xml:space="preserve">已更新。</x18tc:text>
  </x18tc:threadedComment>
  <x18tc:threadedComment ref="H34" dT="2019-01-29T02:41:55.00" personId="{264256c3-bbc9-47ac-9dd7-8d4b1679bb68}" id="{62bc8094-a5a6-4f30-87da-f26916d4269a}" done="1">
    <x18tc:text xml:space="preserve">@xiongsn1@motorola.com 
@fanlf@motorola.com 
Hi 胜男
请创建一个PPT for 这个case 吧，持续收集相关信息</x18tc:text>
    <x18tc:mentions>
      <x18tc:mention mentionpersonId="{29c1a8e0-e66d-4172-98d4-3780dccea77b}" mentionId="{858d2372-0ffc-4319-8919-8efae950df80}" startIndex="0" length="22"/>
      <x18tc:mention mentionpersonId="{89829eb4-0844-4193-86c6-4fc6afe868fc}" mentionId="{2be91978-1c39-477c-80b2-cacc76fe5ae8}" startIndex="24" length="19"/>
    </x18tc:mentions>
  </x18tc:threadedComment>
  <x18tc:threadedComment ref="H34" dT="2019-01-29T03:13:13.00" personId="{bd64dc66-6b89-428c-92a4-0e252df79ace}" id="{d8cd1ed7-7ee4-481b-8e51-75902022d235}" parentId="{62bc8094-a5a6-4f30-87da-f26916d4269a}">
    <x18tc:text xml:space="preserve">已经更新目前收集到的信息，后续会持续更新</x18tc:text>
  </x18tc:threadedComment>
  <x18tc:threadedComment ref="G12" dT="2019-07-25T02:16:16.00" personId="{515ecdfa-17a5-45e9-8370-442994ed0931}" id="{cf539255-6474-4602-8d55-367bc5a9a38e}" done="1">
    <x18tc:text xml:space="preserve">@xiaozh1@motorola.com 
Please Record the Moto Issue.
分配给了xiaozh1@motorola.com</x18tc:text>
    <x18tc:mentions>
      <x18tc:mention mentionpersonId="{d3bc4f64-10ef-41fd-9d7c-32349da106cc}" mentionId="{271d469b-3470-42dd-a411-4477131df708}" startIndex="0" length="21"/>
    </x18tc:mentions>
  </x18tc:threadedComment>
  <x18tc:threadedComment ref="G12" dT="2019-07-26T03:37:57.00" personId="{515ecdfa-17a5-45e9-8370-442994ed0931}" id="{0b321b8d-81e6-4047-a423-aad8b56abd83}" parentId="{cf539255-6474-4602-8d55-367bc5a9a38e}">
    <x18tc:text xml:space="preserve">Please Record the motor Issue.</x18tc:text>
  </x18tc:threadedComment>
  <x18tc:threadedComment ref="I70" dT="2018-10-25T09:23:17.00" personId="{264256c3-bbc9-47ac-9dd7-8d4b1679bb68}" id="{7567dc44-1f10-4069-8d5c-3d08ab66fd94}" done="1">
    <x18tc:text xml:space="preserve">@changfm1@motorola.com 
Hi 芳梅
这台故障机尽快确认下，从其他机器来看不排除有断线问题哦，可以参考下（量测是否有断线问题）</x18tc:text>
    <x18tc:mentions>
      <x18tc:mention mentionpersonId="{9f1abf6f-4b70-4fd0-b4d1-53c68e3022c5}" mentionId="{49752e73-d532-4a07-9cdc-0e5ea2a94396}" startIndex="0" length="22"/>
    </x18tc:mentions>
  </x18tc:threadedComment>
  <x18tc:threadedComment ref="H86" dT="2018-10-17T03:07:35.00" personId="{515ecdfa-17a5-45e9-8370-442994ed0931}" id="{83ef436a-e78b-4768-b562-21cf2e4a90a2}" done="1">
    <x18tc:text xml:space="preserve">Please issue a file.
Using BB Issue Template to manage the issue.
https://docs.google.com/presentation/d/1Lxnxo6d33DuFNAjZPIzVD4hcmgTClTdH7Pgrggh5U_0/edit#slide=id.g4485224387_0_77</x18tc:text>
    <x18tc:extLst>
      <ext uri="{F7C98A9C-CBB3-438F-8F68-D28B6AF4A901}">
        <xltc2:checksum/>
        <xltc2:hyperlink startIndex="66" length="114" url="https://docs.google.com/presentation/d/1Lxnxo6d33DuFNAjZPIzVD4hcmgTClTdH7Pgrggh5U_0/edit#slide=id.g4485224387_0_77"/>
      </ext>
    </x18tc:extLst>
  </x18tc:threadedComment>
  <x18tc:threadedComment ref="H86" dT="2018-10-17T03:07:49.00" personId="{515ecdfa-17a5-45e9-8370-442994ed0931}" id="{ac94efc8-6efa-4638-9396-40d8f6fd4762}" parentId="{83ef436a-e78b-4768-b562-21cf2e4a90a2}">
    <x18tc:text xml:space="preserve">@linfenga@motorola.com</x18tc:text>
    <x18tc:mentions>
      <x18tc:mention mentionpersonId="{6c148249-be48-463d-bf99-d2efef89b01f}" mentionId="{ac33e1f6-bb5d-452f-a276-12a47452a6fb}" startIndex="0" length="22"/>
    </x18tc:mentions>
  </x18tc:threadedComment>
  <x18tc:threadedComment ref="G99" dT="2018-07-23T10:24:54.00" personId="{515ecdfa-17a5-45e9-8370-442994ed0931}" id="{9c72d94c-606e-4fa1-bbd0-c7b8f690ebed}" done="1">
    <x18tc:text xml:space="preserve">@yangwla@motorola.com 
@chenwt@motorola.com
Please Link this risk.
分配给了chenwt@motorola.com</x18tc:text>
    <x18tc:mentions>
      <x18tc:mention mentionpersonId="{bfab316f-3c6f-495a-954b-98c3299c9c97}" mentionId="{750d2bf7-10b5-4aeb-bc5b-5d22c64dc943}" startIndex="0" length="21"/>
      <x18tc:mention mentionpersonId="{bdd1ce91-40c2-41d8-8897-275c11d3b7d8}" mentionId="{3f0ecb22-6b24-4628-b6c7-52d7ae6037c5}" startIndex="23" length="20"/>
    </x18tc:mentions>
  </x18tc:threadedComment>
  <x18tc:threadedComment ref="G67" dT="2018-11-14T11:13:42.00" personId="{515ecdfa-17a5-45e9-8370-442994ed0931}" id="{b3008a2c-39eb-4092-9632-5e2d0a996951}" done="1">
    <x18tc:text xml:space="preserve">@liguoa@motorola.com 
@chenwt@motorola.com 
@wuxm5@motorola.com 
Please update the current drain issue.
分配给了liguoa@motorola.com</x18tc:text>
    <x18tc:mentions>
      <x18tc:mention mentionpersonId="{466ad751-a4a6-489f-b0f0-680e8e3625fe}" mentionId="{bebccd7a-066f-4c82-ad8b-f49ff5ddbbb9}" startIndex="0" length="20"/>
      <x18tc:mention mentionpersonId="{bdd1ce91-40c2-41d8-8897-275c11d3b7d8}" mentionId="{2c15c5f7-55a9-4924-9dd4-4da3dbd8e99e}" startIndex="22" length="20"/>
      <x18tc:mention mentionpersonId="{200db89f-b2fd-4768-8b3f-704e424e69fc}" mentionId="{481d3487-fb1e-4d7f-8500-abd1d16686be}" startIndex="44" length="19"/>
    </x18tc:mentions>
  </x18tc:threadedComment>
  <x18tc:threadedComment ref="G67" dT="2018-11-16T02:02:52.00" personId="{515ecdfa-17a5-45e9-8370-442994ed0931}" id="{e2798e6d-1123-4303-9b7b-2b434c3949fd}" parentId="{b3008a2c-39eb-4092-9632-5e2d0a996951}">
    <x18tc:text xml:space="preserve">@liguoa@motorola.com 
Please update your issue link here.</x18tc:text>
    <x18tc:mentions>
      <x18tc:mention mentionpersonId="{466ad751-a4a6-489f-b0f0-680e8e3625fe}" mentionId="{08d5d932-5eb4-48d1-bde9-e93cd4e56279}" startIndex="0" length="20"/>
    </x18tc:mentions>
  </x18tc:threadedComment>
  <x18tc:threadedComment ref="G67" dT="2018-11-19T01:52:28.00" personId="{515ecdfa-17a5-45e9-8370-442994ed0931}" id="{1a98184b-70a0-4ed2-8a5f-18c5e6ce66e5}" parentId="{b3008a2c-39eb-4092-9632-5e2d0a996951}">
    <x18tc:text xml:space="preserve">Please provide a link with updation of the issue status.</x18tc:text>
  </x18tc:threadedComment>
  <x18tc:threadedComment ref="H97" dT="2018-08-06T01:50:51.00" personId="{515ecdfa-17a5-45e9-8370-442994ed0931}" id="{3d12b3fb-7746-4acb-938f-459f02370090}" done="1">
    <x18tc:text xml:space="preserve">@chenbang3@lenovo.com 
Please insert the issue link（one page）here.
分配给了chenbang3@lenovo.com</x18tc:text>
    <x18tc:mentions>
      <x18tc:mention mentionpersonId="{a73e225a-9f48-4c0d-89aa-211a06247db9}" mentionId="{82649ea3-6bac-4f7d-a8d6-84e9097631c5}" startIndex="0" length="21"/>
    </x18tc:mentions>
  </x18tc:threadedComment>
  <x18tc:threadedComment ref="H87" dT="2018-10-17T03:06:57.00" personId="{515ecdfa-17a5-45e9-8370-442994ed0931}" id="{8ade518c-00fb-4ad8-8d17-20a0cc33afd6}" done="1">
    <x18tc:text xml:space="preserve">@wuxm5@motorola.com 
@xiaozh1@motorola.com 
@chenwt@motorola.com
Please issue a file.
Using BB Issue Template to manage the issue.
https://docs.google.com/presentation/d/1Lxnxo6d33DuFNAjZPIzVD4hcmgTClTdH7Pgrggh5U_0/edit#slide=id.g4485224387_0_77
分配给了wuxm5@motorola.com</x18tc:text>
    <x18tc:mentions>
      <x18tc:mention mentionpersonId="{200db89f-b2fd-4768-8b3f-704e424e69fc}" mentionId="{a963eefc-ea20-478e-9a94-94b3be055991}" startIndex="0" length="19"/>
      <x18tc:mention mentionpersonId="{d3bc4f64-10ef-41fd-9d7c-32349da106cc}" mentionId="{ccbd9553-4d0e-415a-8139-b2ebd5b26acd}" startIndex="21" length="21"/>
      <x18tc:mention mentionpersonId="{bdd1ce91-40c2-41d8-8897-275c11d3b7d8}" mentionId="{1a768d53-45ed-4168-85a9-a1fe53fcafdf}" startIndex="44" length="20"/>
    </x18tc:mentions>
    <x18tc:extLst>
      <ext uri="{F7C98A9C-CBB3-438F-8F68-D28B6AF4A901}">
        <xltc2:checksum/>
        <xltc2:hyperlink startIndex="131" length="114" url="https://docs.google.com/presentation/d/1Lxnxo6d33DuFNAjZPIzVD4hcmgTClTdH7Pgrggh5U_0/edit#slide=id.g4485224387_0_77"/>
      </ext>
    </x18tc:extLst>
  </x18tc:threadedComment>
  <x18tc:threadedComment ref="H87" dT="2018-10-18T07:49:23.00" personId="{515ecdfa-17a5-45e9-8370-442994ed0931}" id="{fb68afdc-f20b-4b17-b3c2-d7a127ab2e27}" parentId="{8ade518c-00fb-4ad8-8d17-20a0cc33afd6}">
    <x18tc:text xml:space="preserve">@changfm1@motorola.com
重新分配给了changfm1@motorola.com</x18tc:text>
    <x18tc:mentions>
      <x18tc:mention mentionpersonId="{9f1abf6f-4b70-4fd0-b4d1-53c68e3022c5}" mentionId="{3414f7ea-b70e-47ea-b26c-efb626282c11}" startIndex="0" length="22"/>
    </x18tc:mentions>
  </x18tc:threadedComment>
  <x18tc:threadedComment ref="H87" dT="2018-10-23T02:42:33.00" personId="{264256c3-bbc9-47ac-9dd7-8d4b1679bb68}" id="{1f69e3df-8a20-42c7-bdea-e2e6477cce08}" parentId="{8ade518c-00fb-4ad8-8d17-20a0cc33afd6}">
    <x18tc:text xml:space="preserve">Hi Xuemin
As we talked ，pls update the   analysis  link document</x18tc:text>
  </x18tc:threadedComment>
  <x18tc:threadedComment ref="G86" dT="2018-10-15T05:32:06.00" personId="{515ecdfa-17a5-45e9-8370-442994ed0931}" id="{38df3d5e-7a53-434e-9b05-765e1035b50f}" done="1">
    <x18tc:text xml:space="preserve">@linfenga@motorola.com 
@liguoa@motorola.com 
如果涉及到成本，请维护一下信息在bb cost design
https://docs.google.com/spreadsheets/d/1YgTep-2LYfwnim-50bHP0mIM0Ji-gF7xJMMREfpANQI/edit?usp=drive_web&amp;ouid=103383453319254568207
分配给了linfenga@motorola.com</x18tc:text>
    <x18tc:mentions>
      <x18tc:mention mentionpersonId="{6c148249-be48-463d-bf99-d2efef89b01f}" mentionId="{1db16cd6-b675-4694-a70c-96f76d63863a}" startIndex="0" length="22"/>
      <x18tc:mention mentionpersonId="{466ad751-a4a6-489f-b0f0-680e8e3625fe}" mentionId="{1d196fab-c304-4143-a638-3b6b50cec98f}" startIndex="24" length="20"/>
    </x18tc:mentions>
    <x18tc:extLst>
      <ext uri="{F7C98A9C-CBB3-438F-8F68-D28B6AF4A901}">
        <xltc2:checksum/>
        <xltc2:hyperlink startIndex="77" length="129" url="https://docs.google.com/spreadsheets/d/1YgTep-2LYfwnim-50bHP0mIM0Ji-gF7xJMMREfpANQI/edit?usp=drive_web&amp;ouid=103383453319254568207"/>
      </ext>
    </x18tc:extLst>
  </x18tc:threadedComment>
  <x18tc:threadedComment ref="H106" dT="2018-07-02T03:06:35.00" personId="{515ecdfa-17a5-45e9-8370-442994ed0931}" id="{056794f0-aa97-4b12-bb22-fe46157f70f3}" done="1">
    <x18tc:text xml:space="preserve">@liguoa@motorola.com 
Please provide the one page Issue Link
分配给了liguoa@motorola.com</x18tc:text>
    <x18tc:mentions>
      <x18tc:mention mentionpersonId="{466ad751-a4a6-489f-b0f0-680e8e3625fe}" mentionId="{2a2e1fc8-93d9-4707-ba82-596744ccd160}" startIndex="0" length="20"/>
    </x18tc:mentions>
  </x18tc:threadedComment>
  <x18tc:threadedComment ref="H106" dT="2018-07-02T04:02:27.00" personId="{707fe07e-9ef9-437f-a53f-1159714f889b}" id="{2f3be902-1168-4a08-a337-5917df148c8b}" parentId="{056794f0-aa97-4b12-bb22-fe46157f70f3}">
    <x18tc:text xml:space="preserve">Done</x18tc:text>
  </x18tc:threadedComment>
  <x18tc:threadedComment ref="H74" dT="2018-10-30T10:23:06.00" personId="{264256c3-bbc9-47ac-9dd7-8d4b1679bb68}" id="{f447ebd9-3f5d-400b-a973-b78385e08ad9}" done="1">
    <x18tc:text xml:space="preserve">@changfm1@motorola.com 
@fanlf@motorola.com 
Hi 芳梅
这个板子目前看比之前第一个板子还多断了一根线。板子正寄往武汉做磨板实验，明天早上记得联系怀玉准备磨板的申请哈。</x18tc:text>
    <x18tc:mentions>
      <x18tc:mention mentionpersonId="{9f1abf6f-4b70-4fd0-b4d1-53c68e3022c5}" mentionId="{62bc45e0-fff5-48a8-b04f-687ebe503a2f}" startIndex="0" length="22"/>
      <x18tc:mention mentionpersonId="{89829eb4-0844-4193-86c6-4fc6afe868fc}" mentionId="{5037108a-7b49-4c54-98ed-5eaf199cc451}" startIndex="24" length="19"/>
    </x18tc:mentions>
  </x18tc:threadedComment>
  <x18tc:threadedComment ref="H74" dT="2018-10-31T07:49:30.00" personId="{264256c3-bbc9-47ac-9dd7-8d4b1679bb68}" id="{9ca9119b-a3f3-41e2-a440-055cd86831c0}" parentId="{f447ebd9-3f5d-400b-a973-b78385e08ad9}">
    <x18tc:text xml:space="preserve">HI 芳梅
看这边还没有链接，这个故障报告，我重新创建一个链接（2），请将信息放置到这边，后面磨板数据也放过来。</x18tc:text>
  </x18tc:threadedComment>
  <x18tc:threadedComment ref="H74" dT="2018-10-31T08:35:55.00" personId="{577c9a8f-cc82-4e10-8937-2f6f29d8b761}" id="{c3f03b02-6722-4f01-9fb2-a8f2ad574048}" parentId="{f447ebd9-3f5d-400b-a973-b78385e08ad9}">
    <x18tc:text xml:space="preserve">好的，已经和怀玉沟通了磨板，他已经申请，最快明天或者后天开始分析</x18tc:text>
  </x18tc:threadedComment>
  <x18tc:threadedComment ref="H74" dT="2018-10-31T08:43:58.00" personId="{264256c3-bbc9-47ac-9dd7-8d4b1679bb68}" id="{a9a79b25-e6ad-4b74-8ad9-63f885ce4c91}" parentId="{f447ebd9-3f5d-400b-a973-b78385e08ad9}">
    <x18tc:text xml:space="preserve">实验室昨天给的答复是排不上，我追了个邮件，但看不出有没有用。所以你也再关注下</x18tc:text>
  </x18tc:threadedComment>
  <x18tc:threadedComment ref="H74" dT="2018-11-09T12:02:54.00" personId="{264256c3-bbc9-47ac-9dd7-8d4b1679bb68}" id="{52825c9e-a086-451c-866a-bf91c88d2e03}" parentId="{f447ebd9-3f5d-400b-a973-b78385e08ad9}">
    <x18tc:text xml:space="preserve">Hi 芳梅
你分析过程补充下吧，还有后面的两台分析也加上， 会再安排个磨板确认</x18tc:text>
  </x18tc:threadedComment>
  <x18tc:threadedComment ref="L17" dT="2019-04-28T09:32:16.00" personId="{515ecdfa-17a5-45e9-8370-442994ed0931}" id="{02119348-c48f-418a-a90c-85a777beaf41}" done="1">
    <x18tc:text xml:space="preserve">@chenwt@motorola.com 
帮忙补充Change的值，可以不用挂链接.
分配给了chenwt@motorola.com</x18tc:text>
    <x18tc:mentions>
      <x18tc:mention mentionpersonId="{bdd1ce91-40c2-41d8-8897-275c11d3b7d8}" mentionId="{6b728c16-0196-4406-9e54-696a1d007095}" startIndex="0" length="20"/>
    </x18tc:mentions>
  </x18tc:threadedComment>
  <x18tc:threadedComment ref="L17" dT="2019-04-28T09:57:56.00" personId="{264256c3-bbc9-47ac-9dd7-8d4b1679bb68}" id="{723d972e-b422-4486-bbde-a9abd700ff60}" parentId="{02119348-c48f-418a-a90c-85a777beaf41}">
    <x18tc:text xml:space="preserve">没有明白 change 要填写的内容是什么 ，NA：没BB变更的选这个？  有BB 原理图 ，PCB或者 BOM变更 提供Link？。</x18tc:text>
  </x18tc:threadedComment>
  <x18tc:threadedComment ref="G99" dT="2018-10-17T03:30:19.00" personId="{264256c3-bbc9-47ac-9dd7-8d4b1679bb68}" id="{ab5e0788-5811-40e2-8e10-a677b77f8a9f}" done="1">
    <x18tc:text xml:space="preserve">@puzhe1@motorola.com 
P-sensor 的验证已有update ，请更新下这边信息，状态我先改为monitor了</x18tc:text>
    <x18tc:mentions>
      <x18tc:mention mentionpersonId="{3bfa2978-53c6-4689-a7e2-f41898c823e3}" mentionId="{d71477ef-6b05-4362-bff1-7558e100185b}" startIndex="0" length="20"/>
    </x18tc:mentions>
  </x18tc:threadedComment>
  <x18tc:threadedComment ref="I22" dT="2019-03-08T08:16:34.00" personId="{264256c3-bbc9-47ac-9dd7-8d4b1679bb68}" id="{0657a7c7-8c29-41d4-90ea-a19a5b736e9a}" done="1">
    <x18tc:text xml:space="preserve">@dongjk@motorola.com 
@fanlf@motorola.com 
Hi 小董发现第一例怀疑和WDmemory 有关的故障，请关注。邮件</x18tc:text>
    <x18tc:mentions>
      <x18tc:mention mentionpersonId="{c74c1934-3d95-4335-a0ea-764c3940074b}" mentionId="{d58b73f9-aa2c-4e99-bea0-153cae1631a2}" startIndex="0" length="20"/>
      <x18tc:mention mentionpersonId="{89829eb4-0844-4193-86c6-4fc6afe868fc}" mentionId="{a8dfb545-4e87-43ed-ad72-f6aa9c91f2bf}" startIndex="22" length="19"/>
    </x18tc:mentions>
  </x18tc:threadedComment>
  <x18tc:threadedComment ref="I22" dT="2019-04-22T01:39:26.00" personId="{264256c3-bbc9-47ac-9dd7-8d4b1679bb68}" id="{ebfb361e-801c-44d3-b84e-736bef6152d2}" parentId="{0657a7c7-8c29-41d4-90ea-a19a5b736e9a}">
    <x18tc:text xml:space="preserve">Hi 小董
Stingray 的WD issue 可以close了吧，请帮忙update下，如果ok 就将状态也改为close，谢谢</x18tc:text>
  </x18tc:threadedComment>
  <x18tc:threadedComment ref="I22" dT="2019-04-22T01:50:34.00" personId="{515ecdfa-17a5-45e9-8370-442994ed0931}" id="{f9c2c6c4-291e-42ef-ac0b-ed957da5bc56}" parentId="{0657a7c7-8c29-41d4-90ea-a19a5b736e9a}">
    <x18tc:text xml:space="preserve">@chenb3@motorola.com 
Please update the result.</x18tc:text>
    <x18tc:mentions>
      <x18tc:mention mentionpersonId="{873f86e6-0f3e-4e97-85f8-040caac71fca}" mentionId="{dc43e046-4fc8-4a63-bdd4-32d3b006217b}" startIndex="0" length="20"/>
    </x18tc:mentions>
  </x18tc:threadedComment>
  <x18tc:threadedComment ref="I22" dT="2019-04-22T01:58:30.00" personId="{ebaaa9f7-3383-43fa-980b-04e22673f815}" id="{ac076f5d-dc44-4c21-978d-b16909d9f460}" parentId="{0657a7c7-8c29-41d4-90ea-a19a5b736e9a}">
    <x18tc:text xml:space="preserve">?</x18tc:text>
  </x18tc:threadedComment>
  <x18tc:threadedComment ref="H23" dT="2019-01-29T06:00:08.00" personId="{264256c3-bbc9-47ac-9dd7-8d4b1679bb68}" id="{7249d918-e5cd-4138-95ce-8b8cd59f7273}" done="1">
    <x18tc:text xml:space="preserve">@linfenga@motorola.com 
@fanlf@motorola.com 
Hi 林峰
thermal TCC测试相关的，请update 下距离信息和计划安排吧</x18tc:text>
    <x18tc:mentions>
      <x18tc:mention mentionpersonId="{6c148249-be48-463d-bf99-d2efef89b01f}" mentionId="{57b25490-7677-41d3-bf76-d29d629198e2}" startIndex="0" length="22"/>
      <x18tc:mention mentionpersonId="{89829eb4-0844-4193-86c6-4fc6afe868fc}" mentionId="{a74c5055-413b-49f0-8370-1467ac1c3d4c}" startIndex="24" length="19"/>
    </x18tc:mentions>
  </x18tc:threadedComment>
  <x18tc:threadedComment ref="H23" dT="2019-01-29T07:49:17.00" personId="{264256c3-bbc9-47ac-9dd7-8d4b1679bb68}" id="{76eafc87-6429-4277-8cf2-53e037a31afc}" parentId="{7249d918-e5cd-4138-95ce-8b8cd59f7273}">
    <x18tc:text xml:space="preserve">HI 林峰 
目前就是按照 如下推进Proposal:SW29.64 import 1st  balance for camera  ，waiting for TCC retest  ，具体看什么时候出结果更新下</x18tc:text>
  </x18tc:threadedComment>
  <x18tc:threadedComment ref="H66" dT="2018-11-16T10:33:36.00" personId="{515ecdfa-17a5-45e9-8370-442994ed0931}" id="{1f4d8949-f5af-4864-b291-83a24cff3bdb}" done="1">
    <x18tc:text xml:space="preserve">@linfenga@motorola.com 
Please provide a issue link here
分配给了linfenga@motorola.com</x18tc:text>
    <x18tc:mentions>
      <x18tc:mention mentionpersonId="{6c148249-be48-463d-bf99-d2efef89b01f}" mentionId="{023a3b43-4d4c-4086-b840-c08718666230}" startIndex="0" length="22"/>
    </x18tc:mentions>
  </x18tc:threadedComment>
  <x18tc:threadedComment ref="H66" dT="2018-11-19T01:51:56.00" personId="{515ecdfa-17a5-45e9-8370-442994ed0931}" id="{ff9874ca-5e59-46d4-a58a-75591db76cd0}" parentId="{1f4d8949-f5af-4864-b291-83a24cff3bdb}">
    <x18tc:text xml:space="preserve">Please provide a link with updation of the issue status.</x18tc:text>
  </x18tc:threadedComment>
  <x18tc:threadedComment ref="H99" dT="2018-08-06T02:17:45.00" personId="{515ecdfa-17a5-45e9-8370-442994ed0931}" id="{f0234955-9df9-4240-9ac7-fb34547de8b2}" done="1">
    <x18tc:text xml:space="preserve">@yangwla@motorola.com
Please add the issue link here。
分配给了</x18tc:text>
    <x18tc:mentions>
      <x18tc:mention mentionpersonId="{bfab316f-3c6f-495a-954b-98c3299c9c97}" mentionId="{5503e2b1-b383-4967-b776-ef7f1cf81c32}" startIndex="0" length="21"/>
    </x18tc:mentions>
  </x18tc:threadedComment>
  <x18tc:threadedComment ref="G2" dT="2019-08-30T05:05:59.00" personId="{264256c3-bbc9-47ac-9dd7-8d4b1679bb68}" id="{4304add9-c691-4820-adc0-a42b8722035e}" done="1">
    <x18tc:text xml:space="preserve">@fanlf@motorola.com 
stingray 打电话黑屏case 记录的issue，请参考</x18tc:text>
    <x18tc:mentions>
      <x18tc:mention mentionpersonId="{89829eb4-0844-4193-86c6-4fc6afe868fc}" mentionId="{29bd0bd5-88c1-413a-bc32-be27237061b8}" startIndex="0" length="19"/>
    </x18tc:mentions>
  </x18tc:threadedComment>
  <x18tc:threadedComment ref="H84" dT="2018-10-17T03:08:48.00" personId="{515ecdfa-17a5-45e9-8370-442994ed0931}" id="{b0a44752-59de-44cb-86bb-2a5772150aa6}" done="1">
    <x18tc:text xml:space="preserve">@puzhe1@motorola.com 
@xiaozh1@motorola.com 
@chenwt@motorola.com 
Please issue a file.
Using BB Issue Template to manage the issue.
https://docs.google.com/presentation/d/1Lxnxo6d33DuFNAjZPIzVD4hcmgTClTdH7Pgrggh5U_0/edit#slide=id.g4485224387_0_77
分配给了</x18tc:text>
    <x18tc:mentions>
      <x18tc:mention mentionpersonId="{3bfa2978-53c6-4689-a7e2-f41898c823e3}" mentionId="{9fdc599b-3eea-4d2d-9351-0544d198edd5}" startIndex="0" length="20"/>
      <x18tc:mention mentionpersonId="{d3bc4f64-10ef-41fd-9d7c-32349da106cc}" mentionId="{544c0962-af4d-4159-b036-4f8d76343e75}" startIndex="22" length="21"/>
      <x18tc:mention mentionpersonId="{bdd1ce91-40c2-41d8-8897-275c11d3b7d8}" mentionId="{89c0aef8-09d4-433e-a65f-2879aeff744c}" startIndex="45" length="20"/>
    </x18tc:mentions>
    <x18tc:extLst>
      <ext uri="{F7C98A9C-CBB3-438F-8F68-D28B6AF4A901}">
        <xltc2:checksum/>
        <xltc2:hyperlink startIndex="133" length="114" url="https://docs.google.com/presentation/d/1Lxnxo6d33DuFNAjZPIzVD4hcmgTClTdH7Pgrggh5U_0/edit#slide=id.g4485224387_0_77"/>
      </ext>
    </x18tc:extLst>
  </x18tc:threadedComment>
  <x18tc:threadedComment ref="H102" dT="2018-08-06T02:19:18.00" personId="{515ecdfa-17a5-45e9-8370-442994ed0931}" id="{3610b865-5716-4872-9719-912d4ceed2cb}" done="1">
    <x18tc:text xml:space="preserve">@yangwla@motorola.com 
Please add the issue link here
分配给了</x18tc:text>
    <x18tc:mentions>
      <x18tc:mention mentionpersonId="{bfab316f-3c6f-495a-954b-98c3299c9c97}" mentionId="{bbc1fc5b-3eaa-4477-bb60-91daf5dacbf7}" startIndex="0" length="21"/>
    </x18tc:mentions>
  </x18tc:threadedComment>
  <x18tc:threadedComment ref="H101" dT="2018-08-06T02:18:46.00" personId="{515ecdfa-17a5-45e9-8370-442994ed0931}" id="{1d2405d0-661f-44c1-b6dd-2c4006cde7b0}" done="1">
    <x18tc:text xml:space="preserve">@yangwla@motorola.com 
Please add the risk link here</x18tc:text>
    <x18tc:mentions>
      <x18tc:mention mentionpersonId="{bfab316f-3c6f-495a-954b-98c3299c9c97}" mentionId="{0bbded5a-ca87-47ed-9f33-23ebfa52dc1c}" startIndex="0" length="21"/>
    </x18tc:mentions>
  </x18tc:threadedComment>
  <x18tc:threadedComment ref="H100" dT="2018-08-06T02:18:11.00" personId="{515ecdfa-17a5-45e9-8370-442994ed0931}" id="{d574cab0-2053-4d1f-aa33-af33edc3ffe7}" done="1">
    <x18tc:text xml:space="preserve">@yangwla@motorola.com 
Please add the risk link here
分配给了</x18tc:text>
    <x18tc:mentions>
      <x18tc:mention mentionpersonId="{bfab316f-3c6f-495a-954b-98c3299c9c97}" mentionId="{e09c8bd2-7d8a-4de6-bd42-6fa652c795b7}" startIndex="0" length="21"/>
    </x18tc:mentions>
  </x18tc:threadedComment>
  <x18tc:threadedComment ref="H92" dT="2018-08-06T01:54:18.00" personId="{515ecdfa-17a5-45e9-8370-442994ed0931}" id="{44da93f0-443e-4e3a-892d-459527fdf948}" done="1">
    <x18tc:text xml:space="preserve">@xiaozh1@motorola.com 
Please insert the issue (one page) link here,Refer to https://docs.google.com/presentation/d/1eNMhFYM8tmQGJBjuZgP6L9bZ_8MNS6UeYGuBx7Mpgak/edit#slide=id.g3d0e129719_0_0
分配给了xiaozh1@motorola.com</x18tc:text>
    <x18tc:mentions>
      <x18tc:mention mentionpersonId="{d3bc4f64-10ef-41fd-9d7c-32349da106cc}" mentionId="{c61ad985-e2ef-4181-b063-829d9e9be2b3}" startIndex="0" length="21"/>
    </x18tc:mentions>
    <x18tc:extLst>
      <ext uri="{F7C98A9C-CBB3-438F-8F68-D28B6AF4A901}">
        <xltc2:checksum/>
        <xltc2:hyperlink startIndex="77" length="113" url="https://docs.google.com/presentation/d/1eNMhFYM8tmQGJBjuZgP6L9bZ_8MNS6UeYGuBx7Mpgak/edit#slide=id.g3d0e129719_0_0"/>
      </ext>
    </x18tc:extLst>
  </x18tc:threadedComment>
  <x18tc:threadedComment ref="I72" dT="2018-10-31T06:51:07.00" personId="{264256c3-bbc9-47ac-9dd7-8d4b1679bb68}" id="{c3bedce7-ffcf-4e93-8695-e96c8c3d8958}" done="1">
    <x18tc:text xml:space="preserve">@changfm1@motorola.com 
故障屏单体相关的故障，这边记一个issue，请关注</x18tc:text>
    <x18tc:mentions>
      <x18tc:mention mentionpersonId="{9f1abf6f-4b70-4fd0-b4d1-53c68e3022c5}" mentionId="{cfdc6d69-9090-41a7-83ca-1ee206a75b4d}" startIndex="0" length="22"/>
    </x18tc:mentions>
  </x18tc:threadedComment>
  <x18tc:threadedComment ref="I72" dT="2018-10-31T07:26:45.00" personId="{577c9a8f-cc82-4e10-8937-2f6f29d8b761}" id="{044d0912-5bbc-450d-b7ec-9db827d7c3b3}" parentId="{c3bedce7-ffcf-4e93-8695-e96c8c3d8958}">
    <x18tc:text xml:space="preserve">Ok</x18tc:text>
  </x18tc:threadedComment>
  <x18tc:threadedComment ref="G33" dT="2019-01-29T04:42:01.00" personId="{264256c3-bbc9-47ac-9dd7-8d4b1679bb68}" id="{96dc1f1b-8192-4ec8-a8dc-0ea0fd440161}" done="1">
    <x18tc:text xml:space="preserve">@fanlf@motorola.com 
Hi  小范
这个是目前红墨水实验的初步整理，请知悉</x18tc:text>
    <x18tc:mentions>
      <x18tc:mention mentionpersonId="{89829eb4-0844-4193-86c6-4fc6afe868fc}" mentionId="{57d0e5ed-b0cf-4f6b-b0e6-1dec7a37ca76}" startIndex="0" length="19"/>
    </x18tc:mentions>
  </x18tc:threadedComment>
  <x18tc:threadedComment ref="G71" dT="2018-11-08T02:47:43.00" personId="{515ecdfa-17a5-45e9-8370-442994ed0931}" id="{d02ae095-3225-4f1c-83c3-1f93499fa180}" done="1">
    <x18tc:text xml:space="preserve">@wuxm5@motorola.com 
Please fill up the content.
分配给了wuxm5@motorola.com</x18tc:text>
    <x18tc:mentions>
      <x18tc:mention mentionpersonId="{200db89f-b2fd-4768-8b3f-704e424e69fc}" mentionId="{d03edf98-7a0d-4511-8595-ecd924217a53}" startIndex="0" length="19"/>
    </x18tc:mentions>
  </x18tc:threadedComment>
  <x18tc:threadedComment ref="G16" dT="2019-05-05T09:56:31.00" personId="{264256c3-bbc9-47ac-9dd7-8d4b1679bb68}" id="{3d7597bc-ad0f-4834-ad65-e1b662461147}" done="1">
    <x18tc:text xml:space="preserve">@wuxm5@motorola.com
Hi 学敏
这个机器请抽空分析下，移动卡，打电话掉电。   线索： 电信卡不复现；移动卡屏幕 揭开也不会，盖上屏幕就会.
分配给了wuxm5@motorola.com</x18tc:text>
    <x18tc:mentions>
      <x18tc:mention mentionpersonId="{200db89f-b2fd-4768-8b3f-704e424e69fc}" mentionId="{1f1fba06-9df2-48eb-8db5-f558428e37a7}" startIndex="0" length="19"/>
    </x18tc:mentions>
  </x18tc:threadedComment>
  <x18tc:threadedComment ref="G16" dT="2019-05-15T04:42:52.00" personId="{264256c3-bbc9-47ac-9dd7-8d4b1679bb68}" id="{c81d6d31-bb9c-4869-9a6b-a2fedf4a4e2b}" parentId="{3d7597bc-ad0f-4834-ad65-e1b662461147}">
    <x18tc:text xml:space="preserve">HI  xuemin
这台机器还是不复现对吧</x18tc:text>
  </x18tc:threadedComment>
  <x18tc:threadedComment ref="G48" dT="2018-12-27T02:52:06.00" personId="{264256c3-bbc9-47ac-9dd7-8d4b1679bb68}" id="{b8a9a388-2c4c-4801-9fb6-be185e4e4c5e}" done="1">
    <x18tc:text xml:space="preserve">@liguoa@motorola.com 
@linfenga@motorola.com 
@fanlf@motorola.com 
SW 单台机器不识别快充的，我这边建个issue。 果子请帮忙更新下信息</x18tc:text>
    <x18tc:mentions>
      <x18tc:mention mentionpersonId="{466ad751-a4a6-489f-b0f0-680e8e3625fe}" mentionId="{07d57342-f5bc-4cab-b3b0-d368cb172195}" startIndex="0" length="20"/>
      <x18tc:mention mentionpersonId="{6c148249-be48-463d-bf99-d2efef89b01f}" mentionId="{cf53baa4-16fc-429f-8ba7-c05672034be5}" startIndex="22" length="22"/>
      <x18tc:mention mentionpersonId="{89829eb4-0844-4193-86c6-4fc6afe868fc}" mentionId="{df161511-c514-4f56-97fd-5b8ebec352f2}" startIndex="46" length="19"/>
    </x18tc:mentions>
  </x18tc:threadedComment>
  <x18tc:threadedComment ref="H62" dT="2018-12-03T02:06:56.00" personId="{264256c3-bbc9-47ac-9dd7-8d4b1679bb68}" id="{fca8626c-62ad-4285-8073-02dd93fa0038}" done="1">
    <x18tc:text xml:space="preserve">@xiongsn1@motorola.com 
@wuxm5@motorola.com 
@puzhe1@motorola.com 
@fanlf@motorola.com 
@liguoa@motorola.com 
Hi 胜男
这是第二次出现，之前是另外一单ALT报了一次，也是重启后回复，当时怀疑可能是CTP翘起导致，继续跟踪。 这次又出现，应该是真有问题，看如何抓出问题所在。</x18tc:text>
    <x18tc:mentions>
      <x18tc:mention mentionpersonId="{29c1a8e0-e66d-4172-98d4-3780dccea77b}" mentionId="{cd508902-972f-492f-afa5-6f89ddef8075}" startIndex="0" length="22"/>
      <x18tc:mention mentionpersonId="{200db89f-b2fd-4768-8b3f-704e424e69fc}" mentionId="{c3e0e1cd-c02c-4a34-a3fc-4f4e0dac917c}" startIndex="24" length="19"/>
      <x18tc:mention mentionpersonId="{3bfa2978-53c6-4689-a7e2-f41898c823e3}" mentionId="{56f8c41a-6a06-4ecf-9e86-8278342bd7e9}" startIndex="45" length="20"/>
      <x18tc:mention mentionpersonId="{89829eb4-0844-4193-86c6-4fc6afe868fc}" mentionId="{ab8a923b-d7f1-4fa4-848f-6842b4a5b5f3}" startIndex="67" length="19"/>
      <x18tc:mention mentionpersonId="{466ad751-a4a6-489f-b0f0-680e8e3625fe}" mentionId="{89e52b29-7914-48f5-96f1-226011a737bd}" startIndex="88" length="20"/>
    </x18tc:mentions>
  </x18tc:threadedComment>
  <x18tc:threadedComment ref="G79" dT="2018-10-23T06:37:16.00" personId="{515ecdfa-17a5-45e9-8370-442994ed0931}" id="{5a42411a-9137-482c-ad59-984a941cb16b}" done="1">
    <x18tc:text xml:space="preserve">@puzhe1@motorola.com 
Please pay attention to Solution 3.
分配给了</x18tc:text>
    <x18tc:mentions>
      <x18tc:mention mentionpersonId="{3bfa2978-53c6-4689-a7e2-f41898c823e3}" mentionId="{34bb9400-3e0b-41f0-bd55-a583ac7e76b0}" startIndex="0" length="20"/>
    </x18tc:mentions>
  </x18tc:threadedComment>
  <x18tc:threadedComment ref="H72" dT="2018-11-16T02:54:30.00" personId="{515ecdfa-17a5-45e9-8370-442994ed0931}" id="{c27f7c94-364b-4abf-854e-e5aaea8ad98a}" done="1">
    <x18tc:text xml:space="preserve">@liguoa@motorola.com 
Please share the issue link
分配给了liguoa@motorola.com</x18tc:text>
    <x18tc:mentions>
      <x18tc:mention mentionpersonId="{466ad751-a4a6-489f-b0f0-680e8e3625fe}" mentionId="{e1b50d27-d3c5-4355-8a92-df86faed1085}" startIndex="0" length="20"/>
    </x18tc:mentions>
  </x18tc:threadedComment>
  <x18tc:threadedComment ref="H72" dT="2018-11-19T01:52:38.00" personId="{515ecdfa-17a5-45e9-8370-442994ed0931}" id="{336aaa34-e3af-4e29-a377-c8fb918bbf46}" parentId="{c27f7c94-364b-4abf-854e-e5aaea8ad98a}">
    <x18tc:text xml:space="preserve">Please provide a link with updation of the issue status.</x18tc:text>
  </x18tc:threadedComment>
  <x18tc:threadedComment ref="H72" dT="2018-11-30T02:10:41.00" personId="{515ecdfa-17a5-45e9-8370-442994ed0931}" id="{59b6b70b-a6ef-44af-8c7d-e8fae766aa5e}" parentId="{c27f7c94-364b-4abf-854e-e5aaea8ad98a}">
    <x18tc:text xml:space="preserve">Please provide a link with updation of the issue status with newest issue template。</x18tc:text>
  </x18tc:threadedComment>
  <x18tc:threadedComment ref="H95" dT="2018-08-27T06:05:00.00" personId="{515ecdfa-17a5-45e9-8370-442994ed0931}" id="{343a7907-f041-4127-86d4-a7ccf7c7ae45}" done="1">
    <x18tc:text xml:space="preserve">@xiongsn1@motorola.com 
@chenwt@motorola.com
分配给了xiongsn1@motorola.com</x18tc:text>
    <x18tc:mentions>
      <x18tc:mention mentionpersonId="{29c1a8e0-e66d-4172-98d4-3780dccea77b}" mentionId="{d9c6ac8d-745d-4e9a-9d47-e944ca587f22}" startIndex="0" length="22"/>
      <x18tc:mention mentionpersonId="{bdd1ce91-40c2-41d8-8897-275c11d3b7d8}" mentionId="{bd320068-fec8-4146-8fb0-10865bf6fc81}" startIndex="24" length="20"/>
    </x18tc:mentions>
  </x18tc:threadedComment>
  <x18tc:threadedComment ref="H95" dT="2018-08-27T06:05:27.00" personId="{515ecdfa-17a5-45e9-8370-442994ed0931}" id="{2d1ef390-d60f-481e-a395-aac4adf67928}" parentId="{343a7907-f041-4127-86d4-a7ccf7c7ae45}">
    <x18tc:text xml:space="preserve">Share the link here</x18tc:text>
  </x18tc:threadedComment>
  <x18tc:threadedComment ref="H95" dT="2018-08-30T06:38:54.00" personId="{264256c3-bbc9-47ac-9dd7-8d4b1679bb68}" id="{beb0ccc1-1180-44d8-8e6d-9464b1e878e1}" parentId="{343a7907-f041-4127-86d4-a7ccf7c7ae45}">
    <x18tc:text xml:space="preserve">SW  issue. waiting for SW check what it is ,why QC make this  change then ok.</x18tc:text>
  </x18tc:threadedComment>
  <x18tc:threadedComment ref="H38" dT="2018-11-16T02:53:53.00" personId="{515ecdfa-17a5-45e9-8370-442994ed0931}" id="{ad0ccc3d-17fc-41a3-aa73-0b772aba27ab}" done="1">
    <x18tc:text xml:space="preserve">@chenbang3@lenovo.com 
Please share the DP Issue Link
分配给了chenbang3@lenovo.com</x18tc:text>
    <x18tc:mentions>
      <x18tc:mention mentionpersonId="{a73e225a-9f48-4c0d-89aa-211a06247db9}" mentionId="{040c5525-e0bb-4f09-bf9e-4fb343d86d2c}" startIndex="0" length="21"/>
    </x18tc:mentions>
  </x18tc:threadedComment>
  <x18tc:threadedComment ref="H38" dT="2018-11-19T01:53:04.00" personId="{515ecdfa-17a5-45e9-8370-442994ed0931}" id="{b7f3dc71-d4ef-4149-87a7-fd34d6a82532}" parentId="{ad0ccc3d-17fc-41a3-aa73-0b772aba27ab}">
    <x18tc:text xml:space="preserve">Please provide a link with updation of the issue status.</x18tc:text>
  </x18tc:threadedComment>
  <x18tc:threadedComment ref="G57" dT="2018-12-06T03:20:19.00" personId="{09d6a95a-384b-4fb3-af77-b5b35f657e9b}" id="{94800c7f-1346-4b25-82a4-b98c601eebaf}" done="1">
    <x18tc:text xml:space="preserve">在03A主板中，天线信号从弹片未先过压敏电阻，后进匹配区。04主板已更正</x18tc:text>
  </x18tc:threadedComment>
  <x18tc:threadedComment ref="I90" dT="2018-09-20T02:53:53.00" personId="{264256c3-bbc9-47ac-9dd7-8d4b1679bb68}" id="{841be113-5570-4e19-a7ff-85d0e59e96a7}" done="1">
    <x18tc:text xml:space="preserve">@chenbang3@lenovo.com 
@fanlf@motorola.com 
Hi bangbang 
请分析这个case 并更新下内容
希望9/20 有个结论，以便确认EVT生产方式。谢谢</x18tc:text>
    <x18tc:mentions>
      <x18tc:mention mentionpersonId="{a73e225a-9f48-4c0d-89aa-211a06247db9}" mentionId="{4a954c8c-e643-46ac-ad4e-0f9ae6c8f172}" startIndex="0" length="21"/>
      <x18tc:mention mentionpersonId="{89829eb4-0844-4193-86c6-4fc6afe868fc}" mentionId="{be71065c-7b80-4f8e-8a87-f8ab4cdbe3d6}" startIndex="23" length="19"/>
    </x18tc:mentions>
  </x18tc:threadedComment>
  <x18tc:threadedComment ref="I93" dT="2018-08-31T09:10:57.00" personId="{264256c3-bbc9-47ac-9dd7-8d4b1679bb68}" id="{81b233a6-81b2-48d4-8a72-ab4ded7fa850}" done="1">
    <x18tc:text xml:space="preserve">@liguoa@motorola.com 
@fanlf@motorola.com 
HI 李果
这边记录了一个电池连接器设计料号不对的问题，请处理case 并更新相关信息，谢谢</x18tc:text>
    <x18tc:mentions>
      <x18tc:mention mentionpersonId="{466ad751-a4a6-489f-b0f0-680e8e3625fe}" mentionId="{c0a92678-30a7-40bf-bdf6-94b0d4d1b856}" startIndex="0" length="20"/>
      <x18tc:mention mentionpersonId="{89829eb4-0844-4193-86c6-4fc6afe868fc}" mentionId="{8da6e438-9fef-4434-93b0-fe4604f5c227}" startIndex="22" length="19"/>
    </x18tc:mentions>
  </x18tc:threadedComment>
  <x18tc:threadedComment ref="I93" dT="2018-08-31T15:34:56.00" personId="{707fe07e-9ef9-437f-a53f-1159714f889b}" id="{1025882f-4501-4ae0-b34c-cdf273ece318}" parentId="{81b233a6-81b2-48d4-8a72-ab4ded7fa850}">
    <x18tc:text xml:space="preserve">Done</x18tc:text>
  </x18tc:threadedComment>
  <x18tc:threadedComment ref="I68" dT="2018-11-13T04:49:41.00" personId="{264256c3-bbc9-47ac-9dd7-8d4b1679bb68}" id="{e46f4e30-910d-46e4-b525-0ee35dea1508}" done="1">
    <x18tc:text xml:space="preserve">@chenbang3@lenovo.com 
@fanlf@motorola.com 
@liguoa@motorola.com 
@wuxm5@motorola.com 
Hi 邦邦
如沟通，这边也更新下，MAX3108 的漏电分析情况。目前看还不乐观。还未找到解决方法。</x18tc:text>
    <x18tc:mentions>
      <x18tc:mention mentionpersonId="{a73e225a-9f48-4c0d-89aa-211a06247db9}" mentionId="{7544a059-0ca9-44f4-b14c-6c5f7d735cab}" startIndex="0" length="21"/>
      <x18tc:mention mentionpersonId="{89829eb4-0844-4193-86c6-4fc6afe868fc}" mentionId="{16fb75fd-4623-4b96-8aa9-2fb268c11799}" startIndex="23" length="19"/>
      <x18tc:mention mentionpersonId="{466ad751-a4a6-489f-b0f0-680e8e3625fe}" mentionId="{953842d2-bd4d-479f-b720-a84379820028}" startIndex="44" length="20"/>
      <x18tc:mention mentionpersonId="{200db89f-b2fd-4768-8b3f-704e424e69fc}" mentionId="{47dcaa20-ea94-4cf7-8ddf-bc405d7dbc1f}" startIndex="66" length="19"/>
    </x18tc:mentions>
  </x18tc:threadedComment>
</x18tc:ThreadedComments>
</file>

<file path=xl/threadedComments/threadedComment1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61" dT="2019-06-26T02:37:01.00" personId="{264256c3-bbc9-47ac-9dd7-8d4b1679bb68}" id="{cdb44d09-241a-4d0a-954b-e7ee6a1d6f58}" done="1">
    <x18tc:text xml:space="preserve">@linfenga@motorola.com 
@xiaozh1@motorola.com
@puzhe1@motorola.com 
Hi 林峰
USB OVP 的耐电流风险，建议收集信息放个链接备存，谢谢</x18tc:text>
    <x18tc:mentions>
      <x18tc:mention mentionpersonId="{6c148249-be48-463d-bf99-d2efef89b01f}" mentionId="{8a097529-754e-4596-90b8-c714b8270ef3}" startIndex="0" length="22"/>
      <x18tc:mention mentionpersonId="{d3bc4f64-10ef-41fd-9d7c-32349da106cc}" mentionId="{391f4747-e6cc-4e79-9728-6cf4eacaca49}" startIndex="24" length="21"/>
      <x18tc:mention mentionpersonId="{3bfa2978-53c6-4689-a7e2-f41898c823e3}" mentionId="{ab1035e8-96fb-426a-a29b-e369e39f3bad}" startIndex="46" length="20"/>
    </x18tc:mentions>
  </x18tc:threadedComment>
  <x18tc:threadedComment ref="I61" dT="2019-06-27T07:20:09.00" personId="{264256c3-bbc9-47ac-9dd7-8d4b1679bb68}" id="{5e9f1ee8-a69c-47b7-b743-05fae0d06b74}" parentId="{cdb44d09-241a-4d0a-954b-e7ee6a1d6f58}">
    <x18tc:text xml:space="preserve">这边记录，至于数据，请备存在服务器并放个链接过来，issue先close了</x18tc:text>
  </x18tc:threadedComment>
  <x18tc:threadedComment ref="G39" dT="2019-08-05T05:31:13.00" personId="{707fe07e-9ef9-437f-a53f-1159714f889b}" id="{7302a66e-95d9-4df0-a49b-de6103f80f34}" done="1">
    <x18tc:text xml:space="preserve">@changfm1@motorola.com ;把上周的那台给你分析无法显示的，更新到这里</x18tc:text>
    <x18tc:mentions>
      <x18tc:mention mentionpersonId="{9f1abf6f-4b70-4fd0-b4d1-53c68e3022c5}" mentionId="{d321d6de-3c2e-471a-ba18-910e4beb5770}" startIndex="0" length="22"/>
    </x18tc:mentions>
  </x18tc:threadedComment>
  <x18tc:threadedComment ref="G39" dT="2019-08-06T04:56:28.00" personId="{264256c3-bbc9-47ac-9dd7-8d4b1679bb68}" id="{26e9eb84-9b15-4953-8d54-48d391b1e89c}" parentId="{7302a66e-95d9-4df0-a49b-de6103f80f34}">
    <x18tc:text xml:space="preserve">HI 芳梅
这台机器有什么更新？</x18tc:text>
  </x18tc:threadedComment>
  <x18tc:threadedComment ref="G39" dT="2019-08-06T06:30:11.00" personId="{577c9a8f-cc82-4e10-8937-2f6f29d8b761}" id="{bfaf1ff7-ee31-4cde-a6a8-68fc8405cc9f}" parentId="{7302a66e-95d9-4df0-a49b-de6103f80f34}">
    <x18tc:text xml:space="preserve">高低温实验室正在做,下班前更新实验结果.</x18tc:text>
  </x18tc:threadedComment>
  <x18tc:threadedComment ref="G39" dT="2019-08-06T09:33:03.00" personId="{577c9a8f-cc82-4e10-8937-2f6f29d8b761}" id="{66e016bf-e4c5-4744-b106-32db2a76ba1f}" parentId="{7302a66e-95d9-4df0-a49b-de6103f80f34}">
    <x18tc:text xml:space="preserve">温冲实验做完了，屏正常亮</x18tc:text>
  </x18tc:threadedComment>
  <x18tc:threadedComment ref="G39" dT="2019-08-06T09:51:48.00" personId="{264256c3-bbc9-47ac-9dd7-8d4b1679bb68}" id="{621b35dd-7616-4047-80c7-abccf04c472e}" parentId="{7302a66e-95d9-4df0-a49b-de6103f80f34}">
    <x18tc:text xml:space="preserve">先close ，DVT1A如有问题再说。 看起来像是个SW问题</x18tc:text>
  </x18tc:threadedComment>
  <x18tc:threadedComment ref="I56" dT="2019-07-16T04:52:05.00" personId="{264256c3-bbc9-47ac-9dd7-8d4b1679bb68}" id="{6f7f7dca-4b79-444c-80de-73c5f300047b}" done="1">
    <x18tc:text xml:space="preserve">@linfenga@motorola.com
@liguoa@motorola.com 
HI 林峰
充电时，电池NTC 温度和电池温度偏差较大的case，我这边建立一个issue ，你更新下 分析link 吧</x18tc:text>
    <x18tc:mentions>
      <x18tc:mention mentionpersonId="{6c148249-be48-463d-bf99-d2efef89b01f}" mentionId="{ddb747cd-7089-453b-bda3-a375c40003dc}" startIndex="0" length="22"/>
      <x18tc:mention mentionpersonId="{466ad751-a4a6-489f-b0f0-680e8e3625fe}" mentionId="{9dd1c8ad-a24f-43b0-925e-7ed9d1fad230}" startIndex="23" length="20"/>
    </x18tc:mentions>
  </x18tc:threadedComment>
  <x18tc:threadedComment ref="G6" dT="2019-11-04T01:56:38.00" personId="{515ecdfa-17a5-45e9-8370-442994ed0931}" id="{af2c98aa-d4bf-4782-89e3-f5fed357c2a9}" done="1">
    <x18tc:text xml:space="preserve">@puzhe1@motorola.com 
这个描述逻辑再看看
分配给了</x18tc:text>
    <x18tc:mentions>
      <x18tc:mention mentionpersonId="{3bfa2978-53c6-4689-a7e2-f41898c823e3}" mentionId="{4f6d8549-fbd9-436c-af78-f825ce85c08e}" startIndex="0" length="20"/>
    </x18tc:mentions>
  </x18tc:threadedComment>
  <x18tc:threadedComment ref="G6" dT="2019-11-04T07:31:36.00" personId="{264256c3-bbc9-47ac-9dd7-8d4b1679bb68}" id="{cc4a55b9-5a21-4ba3-a36c-0a35df7d6604}" parentId="{af2c98aa-d4bf-4782-89e3-f5fed357c2a9}">
    <x18tc:text xml:space="preserve">@liguoa@motorola.com
故障分析有新的发现，TOF_RST pin CPU端 对地短路 2.5R~3.5R，D1和D2 两台故障一致。 相信目前这个是真的直接失效点位了。结合SPK 做ESD摸底测试无法复现问题， 推测故障是TOF相关引起的，往这边分析和复现中，待更新</x18tc:text>
    <x18tc:mentions>
      <x18tc:mention mentionpersonId="{466ad751-a4a6-489f-b0f0-680e8e3625fe}" mentionId="{a14903bc-4f63-44e1-969e-f0ce1a00fa06}" startIndex="0" length="20"/>
    </x18tc:mentions>
  </x18tc:threadedComment>
  <x18tc:threadedComment ref="G19" dT="2019-09-20T01:09:50.00" personId="{264256c3-bbc9-47ac-9dd7-8d4b1679bb68}" id="{d61c43ed-bf22-4751-8602-14003dc0447d}" done="1">
    <x18tc:text xml:space="preserve">@puzhe1@motorola.com 
@liguoa@motorola.com 
Hi puzhe
我放了分析链接哈，以便记录，特别是图片，如果你方便就更新图纸进去，如果不方便，我稍后改完线更新</x18tc:text>
    <x18tc:mentions>
      <x18tc:mention mentionpersonId="{3bfa2978-53c6-4689-a7e2-f41898c823e3}" mentionId="{ea3b91d5-7806-4c6f-bd5b-8e7a25d20591}" startIndex="0" length="20"/>
      <x18tc:mention mentionpersonId="{466ad751-a4a6-489f-b0f0-680e8e3625fe}" mentionId="{6903e9cd-0ada-45a6-a31c-d14fccac8f06}" startIndex="22" length="20"/>
    </x18tc:mentions>
  </x18tc:threadedComment>
  <x18tc:threadedComment ref="I53" dT="2019-08-01T02:37:48.00" personId="{264256c3-bbc9-47ac-9dd7-8d4b1679bb68}" id="{4332df5b-0d82-41a3-82c5-b07262b9e56f}" done="1">
    <x18tc:text xml:space="preserve">@changfm1@motorola.com
@liguoa@motorola.com 
Hi  芳梅
产线烧器件的这个case 打算如何处理？</x18tc:text>
    <x18tc:mentions>
      <x18tc:mention mentionpersonId="{9f1abf6f-4b70-4fd0-b4d1-53c68e3022c5}" mentionId="{380c41d0-0144-4500-9873-2c6b545cbef9}" startIndex="0" length="22"/>
      <x18tc:mention mentionpersonId="{466ad751-a4a6-489f-b0f0-680e8e3625fe}" mentionId="{3635caa6-d128-4f59-8b49-1cb32f227300}" startIndex="23" length="20"/>
    </x18tc:mentions>
  </x18tc:threadedComment>
  <x18tc:threadedComment ref="I53" dT="2019-08-01T08:51:14.00" personId="{264256c3-bbc9-47ac-9dd7-8d4b1679bb68}" id="{5ec9a6d4-f89a-4278-a6d8-47e9ac99c6f3}" parentId="{4332df5b-0d82-41a3-82c5-b07262b9e56f}">
    <x18tc:text xml:space="preserve">产线热插拔管控推动执行到位后关闭请comment下并monitor 这个 case</x18tc:text>
  </x18tc:threadedComment>
  <x18tc:threadedComment ref="H11" dT="2019-11-18T02:26:46.00" personId="{515ecdfa-17a5-45e9-8370-442994ed0931}" id="{58d9c4cc-1e56-46d8-80e4-ac884fe213d4}" done="1">
    <x18tc:text xml:space="preserve">@liguoa@motorola.com 
Any update?
分配给了liguoa@motorola.com</x18tc:text>
    <x18tc:mentions>
      <x18tc:mention mentionpersonId="{466ad751-a4a6-489f-b0f0-680e8e3625fe}" mentionId="{8ede79c0-bed4-4f23-899c-98bd1904c28c}" startIndex="0" length="20"/>
    </x18tc:mentions>
  </x18tc:threadedComment>
  <x18tc:threadedComment ref="H11" dT="2019-11-18T02:59:37.00" personId="{707fe07e-9ef9-437f-a53f-1159714f889b}" id="{6d6fa256-fade-4b56-8dd1-dc732cde1e77}" parentId="{58d9c4cc-1e56-46d8-80e4-ac884fe213d4}">
    <x18tc:text xml:space="preserve">Update, SW log time exception for software causing result to fail.And update software retest pass.</x18tc:text>
  </x18tc:threadedComment>
  <x18tc:threadedComment ref="I52" dT="2019-08-01T02:39:43.00" personId="{264256c3-bbc9-47ac-9dd7-8d4b1679bb68}" id="{3feabdc9-f779-4164-9a17-e25f48d9f473}" done="1">
    <x18tc:text xml:space="preserve">@wuxm5@motorola.com 
@liguoa@motorola.com
@fanlf@motorola.com 
Hi 学敏
请放置个链接哈。这个链接看来还得多台分段落看了，故障现象随着分析有可能会分开</x18tc:text>
    <x18tc:mentions>
      <x18tc:mention mentionpersonId="{200db89f-b2fd-4768-8b3f-704e424e69fc}" mentionId="{30f89283-dfec-49af-942d-83b48ad4a057}" startIndex="0" length="19"/>
      <x18tc:mention mentionpersonId="{466ad751-a4a6-489f-b0f0-680e8e3625fe}" mentionId="{81713245-5b2d-40c0-9024-82525b57582f}" startIndex="21" length="20"/>
      <x18tc:mention mentionpersonId="{89829eb4-0844-4193-86c6-4fc6afe868fc}" mentionId="{3845cc77-9e87-46be-b346-97ba691750dc}" startIndex="42" length="19"/>
    </x18tc:mentions>
  </x18tc:threadedComment>
  <x18tc:threadedComment ref="I44" dT="2019-08-01T03:37:29.00" personId="{264256c3-bbc9-47ac-9dd7-8d4b1679bb68}" id="{521b54ad-db3e-400d-9d85-58914b9cb0ba}" done="1">
    <x18tc:text xml:space="preserve">@xiongsn1@motorola.com 
@liguoa@motorola.com 
机器回来后请分析，并放置链接过来</x18tc:text>
    <x18tc:mentions>
      <x18tc:mention mentionpersonId="{29c1a8e0-e66d-4172-98d4-3780dccea77b}" mentionId="{edb7064b-4bea-42aa-b59e-39aeba057310}" startIndex="0" length="22"/>
      <x18tc:mention mentionpersonId="{466ad751-a4a6-489f-b0f0-680e8e3625fe}" mentionId="{b6887270-d14d-402a-a51e-a8a344e0ab8b}" startIndex="24" length="20"/>
    </x18tc:mentions>
  </x18tc:threadedComment>
  <x18tc:threadedComment ref="I58" dT="2019-07-26T09:32:42.00" personId="{264256c3-bbc9-47ac-9dd7-8d4b1679bb68}" id="{b7d03757-10b5-4836-b21a-4bda15ae916a}" done="1">
    <x18tc:text xml:space="preserve">@liguoa@motorola.com 
@fanlf@motorola.com 
HI 李果
如沟通，请放个链接，然后close这个issue，谢谢</x18tc:text>
    <x18tc:mentions>
      <x18tc:mention mentionpersonId="{466ad751-a4a6-489f-b0f0-680e8e3625fe}" mentionId="{c2a65385-3a29-49b3-ad41-75bab1d2d44f}" startIndex="0" length="20"/>
      <x18tc:mention mentionpersonId="{89829eb4-0844-4193-86c6-4fc6afe868fc}" mentionId="{95b6cb3e-010a-44c6-94c8-af73d0fe2411}" startIndex="22" length="19"/>
    </x18tc:mentions>
  </x18tc:threadedComment>
  <x18tc:threadedComment ref="G24" dT="2019-09-16T07:37:59.00" personId="{264256c3-bbc9-47ac-9dd7-8d4b1679bb68}" id="{4dbd1d7c-6657-4be3-b96c-213b91b92b8b}" done="1">
    <x18tc:text xml:space="preserve">@puzhe1@motorola.com 
@liguoa@motorola.com 
@fanlf@motorola.com 
HI  浦喆
请明确下，04B 这两个增加的TVS位置，要贴什么。 需要将更改落实.</x18tc:text>
    <x18tc:mentions>
      <x18tc:mention mentionpersonId="{3bfa2978-53c6-4689-a7e2-f41898c823e3}" mentionId="{c828cdc4-1e41-4275-867d-a953555c74c4}" startIndex="0" length="20"/>
      <x18tc:mention mentionpersonId="{466ad751-a4a6-489f-b0f0-680e8e3625fe}" mentionId="{dd2bb765-50bf-45ff-aaf9-cdff407d0a7a}" startIndex="22" length="20"/>
      <x18tc:mention mentionpersonId="{89829eb4-0844-4193-86c6-4fc6afe868fc}" mentionId="{744bd7c7-6e90-42ce-98fd-65984d0295df}" startIndex="44" length="19"/>
    </x18tc:mentions>
  </x18tc:threadedComment>
  <x18tc:threadedComment ref="G24" dT="2019-09-19T08:50:24.00" personId="{264256c3-bbc9-47ac-9dd7-8d4b1679bb68}" id="{70b53053-4756-409d-ab93-81ece51eb4c6}" parentId="{4dbd1d7c-6657-4be3-b96c-213b91b92b8b}">
    <x18tc:text xml:space="preserve">那是否明确增加2颗TVS为方案导入？或者还有其他 solution？</x18tc:text>
  </x18tc:threadedComment>
  <x18tc:threadedComment ref="G24" dT="2019-09-19T08:56:41.00" personId="{09d6a95a-384b-4fb3-af77-b5b35f657e9b}" id="{a1d26401-b24f-4974-aa9d-c41156b914bf}" parentId="{4dbd1d7c-6657-4be3-b96c-213b91b92b8b}">
    <x18tc:text xml:space="preserve">没有其他solution了</x18tc:text>
  </x18tc:threadedComment>
  <x18tc:threadedComment ref="I41" dT="2019-08-19T04:30:33.00" personId="{264256c3-bbc9-47ac-9dd7-8d4b1679bb68}" id="{8e973992-35e5-4364-89df-5318ef1df242}" done="1">
    <x18tc:text xml:space="preserve">@liguoa@motorola.com 
@wuxm5@motorola.com 
@fanlf@motorola.com 
EVT ALT后一台不停重启的机器，分析到和modem 相关可能性比较大，由于memory点胶，无法做CPU加焊实验所以做了红墨水。 但是没有发现异常（CPU和 PM6125,PMI632）.  板子无法进一步分析，只能继续跟踪DVT1A的结果。</x18tc:text>
    <x18tc:mentions>
      <x18tc:mention mentionpersonId="{466ad751-a4a6-489f-b0f0-680e8e3625fe}" mentionId="{c1333659-2336-44d2-81b4-12b0fbfe1c77}" startIndex="0" length="20"/>
      <x18tc:mention mentionpersonId="{200db89f-b2fd-4768-8b3f-704e424e69fc}" mentionId="{a63e6020-2869-4b91-a75e-ade16d9706b6}" startIndex="22" length="19"/>
      <x18tc:mention mentionpersonId="{89829eb4-0844-4193-86c6-4fc6afe868fc}" mentionId="{605bb87f-d424-44b8-8732-ac3f2852dd61}" startIndex="43" length="19"/>
    </x18tc:mentions>
  </x18tc:threadedComment>
  <x18tc:threadedComment ref="I41" dT="2019-08-20T01:59:12.00" personId="{ba5e0756-ba59-4eca-8692-a873077ead93}" id="{f8102b62-e4ae-4614-a3ea-ca8d39d98420}" parentId="{8e973992-35e5-4364-89df-5318ef1df242}">
    <x18tc:text xml:space="preserve">是否需要把芯片寄给高通分析内部是否有损伤~</x18tc:text>
  </x18tc:threadedComment>
  <x18tc:threadedComment ref="I41" dT="2019-08-20T02:12:05.00" personId="{707fe07e-9ef9-437f-a53f-1159714f889b}" id="{5fb997cd-a2d9-47ba-9149-435ff38c821e}" parentId="{8e973992-35e5-4364-89df-5318ef1df242}">
    <x18tc:text xml:space="preserve">红墨水拔下来的，无法分析吧~只能DVT1A再跟踪看</x18tc:text>
  </x18tc:threadedComment>
  <x18tc:threadedComment ref="G52" dT="2019-08-22T06:28:11.00" personId="{264256c3-bbc9-47ac-9dd7-8d4b1679bb68}" id="{0a05b887-9917-4a4c-a1e4-bc947d1ed045}" done="1">
    <x18tc:text xml:space="preserve">@wuxm5@motorola.com 
@liguoa@motorola.com 
Hi 李果
请帮忙更新下这个issue 改屏蔽盖的相关信息 （03B  PCB ,什么时候能验证？  其他的没改的点胶什么上面验证？）</x18tc:text>
    <x18tc:mentions>
      <x18tc:mention mentionpersonId="{200db89f-b2fd-4768-8b3f-704e424e69fc}" mentionId="{e0aa4b4d-e26a-4ab5-84ec-fcf78fbf1673}" startIndex="0" length="19"/>
      <x18tc:mention mentionpersonId="{466ad751-a4a6-489f-b0f0-680e8e3625fe}" mentionId="{98a39db6-ed82-4eda-a678-0a94943a84c0}" startIndex="21" length="20"/>
    </x18tc:mentions>
  </x18tc:threadedComment>
  <x18tc:threadedComment ref="I20" dT="2019-09-17T07:32:50.00" personId="{264256c3-bbc9-47ac-9dd7-8d4b1679bb68}" id="{cc0a3a79-fcb9-4fb3-b27b-6f4b822b3ed5}" done="1">
    <x18tc:text xml:space="preserve">@puzhe1@motorola.com 
@xiongsn1@motorola.com 
@liguoa@motorola.com 
@fanlf@motorola.com 
Hi 浦喆 
请帮忙更新下这两台G-sensor 无作用的机器，目前情况，谢谢</x18tc:text>
    <x18tc:mentions>
      <x18tc:mention mentionpersonId="{3bfa2978-53c6-4689-a7e2-f41898c823e3}" mentionId="{f1f8adb0-e00d-4a01-8fd7-88ec42ea004c}" startIndex="0" length="20"/>
      <x18tc:mention mentionpersonId="{29c1a8e0-e66d-4172-98d4-3780dccea77b}" mentionId="{5afb7dbd-effa-4861-83ba-9387721d2915}" startIndex="22" length="22"/>
      <x18tc:mention mentionpersonId="{466ad751-a4a6-489f-b0f0-680e8e3625fe}" mentionId="{1b5a61ae-fd9a-4278-b7cf-97618cd5bb59}" startIndex="46" length="20"/>
      <x18tc:mention mentionpersonId="{89829eb4-0844-4193-86c6-4fc6afe868fc}" mentionId="{ebf31f75-5545-4408-8e82-d0e523ac92cc}" startIndex="68" length="19"/>
    </x18tc:mentions>
  </x18tc:threadedComment>
  <x18tc:threadedComment ref="I20" dT="2019-09-18T10:08:24.00" personId="{264256c3-bbc9-47ac-9dd7-8d4b1679bb68}" id="{dd16a089-8703-4220-a7f2-96022ee29680}" parentId="{cc0a3a79-fcb9-4fb3-b27b-6f4b822b3ed5}">
    <x18tc:text xml:space="preserve">HI  小熊
故障IC 目前ME给的答复是看不出有什么碰到的痕迹。  所以没有线索。  那么就是加紧故障IC的厂家分析，看是否有线索是什么样的力导致的fail。这个case目前PCB上面没有相应的更改可以解决，对吧，马上发DVT2的板子了。</x18tc:text>
  </x18tc:threadedComment>
  <x18tc:threadedComment ref="G37" dT="2019-08-08T02:55:06.00" personId="{264256c3-bbc9-47ac-9dd7-8d4b1679bb68}" id="{e7860a1a-9ec2-4876-8931-aa39590e020b}" done="1">
    <x18tc:text xml:space="preserve">@linfenga@motorola.com 
@liguoa@motorola.com 
Hi 林峰
目前看复测1A能pass ，2A还是fail。请帮看下</x18tc:text>
    <x18tc:mentions>
      <x18tc:mention mentionpersonId="{6c148249-be48-463d-bf99-d2efef89b01f}" mentionId="{491b97d7-e75d-4d99-8a70-7d54d783ce10}" startIndex="0" length="22"/>
      <x18tc:mention mentionpersonId="{466ad751-a4a6-489f-b0f0-680e8e3625fe}" mentionId="{39127fe1-bd88-4331-b7ba-c1dcb347203e}" startIndex="24" length="20"/>
    </x18tc:mentions>
  </x18tc:threadedComment>
  <x18tc:threadedComment ref="E1" dT="2019-08-01T08:39:47.00" personId="{515ecdfa-17a5-45e9-8370-442994ed0931}" id="{fb19304c-eae0-4fd3-8b5d-d47c88acc62b}" done="1">
    <x18tc:text xml:space="preserve">@linfenga@motorola.com
@liguoa@motorola.com
@xiongsn1@motorola.com
@chenwt@motorola.com
@dongjk@motorola.com
@xiaozh1@motorola.com
@chenb3@motorola.com
@changfm1@motorola.com
@fanlf@motorola.com
@wuxm5@motorola.com
@puzhe1@motorola.com
@sunyh1@motorola.com
@chenyc4@motorola.com 
BB Issue Severity Principle as Below:
S1:Block Gerber out          &amp;Solution Not Validated 
S2:Not Block Gerber out  &amp;Solution Not Validated 
S3:Not Block Gerber out  &amp;Solution Validated</x18tc:text>
    <x18tc:mentions>
      <x18tc:mention mentionpersonId="{6c148249-be48-463d-bf99-d2efef89b01f}" mentionId="{5bc917f2-b68d-4c2f-a141-a956a98ab5bc}" startIndex="0" length="22"/>
      <x18tc:mention mentionpersonId="{466ad751-a4a6-489f-b0f0-680e8e3625fe}" mentionId="{09280d7f-ab9c-4d13-b6f1-15d5e626577e}" startIndex="23" length="20"/>
      <x18tc:mention mentionpersonId="{29c1a8e0-e66d-4172-98d4-3780dccea77b}" mentionId="{890db4e0-21b0-48fb-8831-6e11170af60b}" startIndex="44" length="22"/>
      <x18tc:mention mentionpersonId="{bdd1ce91-40c2-41d8-8897-275c11d3b7d8}" mentionId="{3b68906f-c5bd-4db8-a841-39e1e673ad16}" startIndex="67" length="20"/>
      <x18tc:mention mentionpersonId="{c74c1934-3d95-4335-a0ea-764c3940074b}" mentionId="{f88679a0-d83b-4b1b-9cfb-c838383b1e6d}" startIndex="88" length="20"/>
      <x18tc:mention mentionpersonId="{d3bc4f64-10ef-41fd-9d7c-32349da106cc}" mentionId="{fc33ca41-f5e7-4349-a631-895a972c834c}" startIndex="109" length="21"/>
      <x18tc:mention mentionpersonId="{873f86e6-0f3e-4e97-85f8-040caac71fca}" mentionId="{2fd36606-1b2d-402c-987d-7aa00d2fb8db}" startIndex="131" length="20"/>
      <x18tc:mention mentionpersonId="{9f1abf6f-4b70-4fd0-b4d1-53c68e3022c5}" mentionId="{34f96712-5e24-4004-ad80-da4fa6b25d60}" startIndex="152" length="22"/>
      <x18tc:mention mentionpersonId="{89829eb4-0844-4193-86c6-4fc6afe868fc}" mentionId="{1017b934-9505-4983-b26b-df476db8375c}" startIndex="175" length="19"/>
      <x18tc:mention mentionpersonId="{200db89f-b2fd-4768-8b3f-704e424e69fc}" mentionId="{18839159-62ec-43de-8cfd-1eec63633a8b}" startIndex="195" length="19"/>
      <x18tc:mention mentionpersonId="{3bfa2978-53c6-4689-a7e2-f41898c823e3}" mentionId="{6ba371bf-f615-4f6e-9dd4-5428a916fbd1}" startIndex="215" length="20"/>
      <x18tc:mention mentionpersonId="{c556a42b-59b1-4cdd-9130-05835939e801}" mentionId="{917143b2-7c1b-4cba-aa8e-c1f7d572f805}" startIndex="236" length="20"/>
      <x18tc:mention mentionpersonId="{a60f8d20-44c7-49c3-ba87-c3ad095b2ba3}" mentionId="{fb76d546-f208-49c9-a1e7-615fb12ac218}" startIndex="257" length="21"/>
    </x18tc:mentions>
  </x18tc:threadedComment>
  <x18tc:threadedComment ref="I40" dT="2019-09-05T08:47:39.00" personId="{264256c3-bbc9-47ac-9dd7-8d4b1679bb68}" id="{838ccfcd-72a2-473b-b2bf-4199eff3b608}" done="1">
    <x18tc:text xml:space="preserve">@wuxm5@motorola.com 
HI 学敏
我给你的这两台跌落自动关机一次的，请帮忙填写下 实验编号和机器编号，我去查一下实验的具体结果。（这两台是从KP那边拿过来的）</x18tc:text>
    <x18tc:mentions>
      <x18tc:mention mentionpersonId="{200db89f-b2fd-4768-8b3f-704e424e69fc}" mentionId="{d0de4af9-2d57-4b26-9671-f8bc7fee4eb8}" startIndex="0" length="19"/>
    </x18tc:mentions>
  </x18tc:threadedComment>
  <x18tc:threadedComment ref="I40" dT="2019-09-05T08:54:31.00" personId="{ba5e0756-ba59-4eca-8692-a873077ead93}" id="{504b8407-b31a-4e80-a608-190d066b99ee}" parentId="{838ccfcd-72a2-473b-b2bf-4199eff3b608}">
    <x18tc:text xml:space="preserve">WH118417 D4,D10</x18tc:text>
  </x18tc:threadedComment>
  <x18tc:threadedComment ref="I40" dT="2019-09-05T09:26:10.00" personId="{264256c3-bbc9-47ac-9dd7-8d4b1679bb68}" id="{8586f251-91c4-4d91-a623-8974a3d76076}" parentId="{838ccfcd-72a2-473b-b2bf-4199eff3b608}">
    <x18tc:text xml:space="preserve">，top side drop</x18tc:text>
  </x18tc:threadedComment>
  <x18tc:threadedComment ref="I43" dT="2019-09-05T10:22:44.00" personId="{264256c3-bbc9-47ac-9dd7-8d4b1679bb68}" id="{141b175c-d7c1-4495-93a5-fabaf2093b52}" done="1">
    <x18tc:text xml:space="preserve">@liguoa@motorola.com 
@chenb3@motorola.com 
HI 李果
你说的验证 移动器件U5000和屏蔽盖改斜角的是哪一单ALT？ 能否告知下。听说还是有fail</x18tc:text>
    <x18tc:mentions>
      <x18tc:mention mentionpersonId="{466ad751-a4a6-489f-b0f0-680e8e3625fe}" mentionId="{b94d3748-11db-4701-a958-401d4cb04b55}" startIndex="0" length="20"/>
      <x18tc:mention mentionpersonId="{873f86e6-0f3e-4e97-85f8-040caac71fca}" mentionId="{2051266e-9cd0-436f-a46c-ca0fd1a2ab4a}" startIndex="22" length="20"/>
    </x18tc:mentions>
  </x18tc:threadedComment>
  <x18tc:threadedComment ref="I43" dT="2019-09-05T11:12:02.00" personId="{707fe07e-9ef9-437f-a53f-1159714f889b}" id="{71449c04-7b1b-4aac-b005-c5557d315be2}" parentId="{141b175c-d7c1-4495-93a5-fabaf2093b52}">
    <x18tc:text xml:space="preserve">WH18735,A4(5),前后置无法进入
我加焊了可以进入</x18tc:text>
  </x18tc:threadedComment>
  <x18tc:threadedComment ref="I43" dT="2019-09-06T02:01:07.00" personId="{264256c3-bbc9-47ac-9dd7-8d4b1679bb68}" id="{b83e6c3c-ccce-48e9-9074-a822e4a90942}" parentId="{141b175c-d7c1-4495-93a5-fabaf2093b52}">
    <x18tc:text xml:space="preserve">那是否证明只能点胶，应没有其他solution 可以了，需要和ME align 清楚了。</x18tc:text>
  </x18tc:threadedComment>
  <x18tc:threadedComment ref="I57" dT="2019-07-12T06:07:24.00" personId="{264256c3-bbc9-47ac-9dd7-8d4b1679bb68}" id="{fdd7f843-564a-4c32-9fb9-fdb19b0b009a}" done="1">
    <x18tc:text xml:space="preserve">@wuxm5@motorola.com 
@xiaozh1@motorola.com 
@liguoa@motorola.com 
HI 学敏
主板发声的issue，我这边记录一条哈，有更新请update下 。目前看应该
和背光电路有关</x18tc:text>
    <x18tc:mentions>
      <x18tc:mention mentionpersonId="{200db89f-b2fd-4768-8b3f-704e424e69fc}" mentionId="{8e4fe8ee-19ab-43b9-b6dc-d3f26eae30f5}" startIndex="0" length="19"/>
      <x18tc:mention mentionpersonId="{d3bc4f64-10ef-41fd-9d7c-32349da106cc}" mentionId="{c22e136d-9f6b-4bc2-b837-f84d96ac5260}" startIndex="21" length="21"/>
      <x18tc:mention mentionpersonId="{466ad751-a4a6-489f-b0f0-680e8e3625fe}" mentionId="{297be679-84c9-402b-a950-578cf2c7c51c}" startIndex="44" length="20"/>
    </x18tc:mentions>
  </x18tc:threadedComment>
  <x18tc:threadedComment ref="I57" dT="2019-07-12T06:07:48.00" personId="{264256c3-bbc9-47ac-9dd7-8d4b1679bb68}" id="{8d31c353-a0ba-47fa-ab2c-ef18d9b09b6f}" parentId="{fdd7f843-564a-4c32-9fb9-fdb19b0b009a}">
    <x18tc:text xml:space="preserve">也可能是屏的bias电路，</x18tc:text>
  </x18tc:threadedComment>
  <x18tc:threadedComment ref="I57" dT="2019-07-16T04:54:49.00" personId="{264256c3-bbc9-47ac-9dd7-8d4b1679bb68}" id="{a61efdcf-5b93-42e0-b933-01bf97592959}" parentId="{fdd7f843-564a-4c32-9fb9-fdb19b0b009a}">
    <x18tc:text xml:space="preserve">看起来明确是bias电感发声。 接下来呢？</x18tc:text>
  </x18tc:threadedComment>
  <x18tc:threadedComment ref="I57" dT="2019-07-26T08:57:31.00" personId="{264256c3-bbc9-47ac-9dd7-8d4b1679bb68}" id="{9d72e739-7e71-41fc-8d33-10a998463b39}" parentId="{fdd7f843-564a-4c32-9fb9-fdb19b0b009a}">
    <x18tc:text xml:space="preserve">学敏
这个solution 没写，还有SW是否导入也没描述，请更新</x18tc:text>
  </x18tc:threadedComment>
  <x18tc:threadedComment ref="I57" dT="2019-07-26T09:04:57.00" personId="{ba5e0756-ba59-4eca-8692-a873077ead93}" id="{9df56f3d-34f9-4505-a15b-a16ff7201f72}" parentId="{fdd7f843-564a-4c32-9fb9-fdb19b0b009a}">
    <x18tc:text xml:space="preserve">请芳梅更新哈~~
@changfm1@motorola.com</x18tc:text>
    <x18tc:mentions>
      <x18tc:mention mentionpersonId="{9f1abf6f-4b70-4fd0-b4d1-53c68e3022c5}" mentionId="{1faeead2-5a0f-4a73-9b11-622c2a907ffe}" startIndex="9" length="22"/>
    </x18tc:mentions>
  </x18tc:threadedComment>
  <x18tc:threadedComment ref="I57" dT="2019-07-26T09:59:36.00" personId="{264256c3-bbc9-47ac-9dd7-8d4b1679bb68}" id="{7f3cbeaa-851c-44dc-bbe1-54c839609224}" parentId="{fdd7f843-564a-4c32-9fb9-fdb19b0b009a}">
    <x18tc:text xml:space="preserve">HI 芳梅
如沟通，请放置链接然后close 这个issue。下周一处理就可以</x18tc:text>
  </x18tc:threadedComment>
  <x18tc:threadedComment ref="G2" dT="2020-02-26T09:03:07.00" personId="{264256c3-bbc9-47ac-9dd7-8d4b1679bb68}" id="{6c9b6f66-377b-4215-8cbf-0cc1161e7de2}" done="1">
    <x18tc:text xml:space="preserve">@chenb3@motorola.com 
@liguoa@motorola.com 
@fanlf@motorola.com 
HI bangbang 
Racer 先报的这个问题，这个case这两天触发并进行了一些分析，目前可以复现并抓到波形。故障出现在TOFI2C操作时，NFC 触发IC reset，可能因此强制影响到I2C总线了 。 ST厂家答复 建议将TOF的Xshut维持高电平再试一下，但是没有解释为什么要这样。 先验证，再继续确认为什么</x18tc:text>
    <x18tc:mentions>
      <x18tc:mention mentionpersonId="{873f86e6-0f3e-4e97-85f8-040caac71fca}" mentionId="{319e0d9d-7777-4570-9cf0-48cbf143f771}" startIndex="0" length="20"/>
      <x18tc:mention mentionpersonId="{466ad751-a4a6-489f-b0f0-680e8e3625fe}" mentionId="{ecac2a3e-7b14-487b-9c1d-63ac1a0f3a91}" startIndex="22" length="20"/>
      <x18tc:mention mentionpersonId="{89829eb4-0844-4193-86c6-4fc6afe868fc}" mentionId="{5d389892-eb17-444a-acf9-582cbe974203}" startIndex="44" length="19"/>
    </x18tc:mentions>
  </x18tc:threadedComment>
  <x18tc:threadedComment ref="G2" dT="2020-03-09T04:03:43.00" personId="{515ecdfa-17a5-45e9-8370-442994ed0931}" id="{e959c49f-93c0-4c4e-8044-22caaf564116}" parentId="{6c9b6f66-377b-4215-8cbf-0cc1161e7de2}">
    <x18tc:text xml:space="preserve">目前软件在racer上复现的主要问题在reset之后很久（大于90ms），也会在TOF数据叠加的时候，出现NFC异常。</x18tc:text>
  </x18tc:threadedComment>
  <x18tc:threadedComment ref="I49" dT="2019-08-01T02:42:11.00" personId="{264256c3-bbc9-47ac-9dd7-8d4b1679bb68}" id="{c5e13467-ed2b-4c44-80d9-6a6d1dba603b}" done="1">
    <x18tc:text xml:space="preserve">@xiaozh1@motorola.com 
@liguoa@motorola.com 
Hi 志浩
这个case 请先放置下链接文档，描述更新下，其他分析进展能更新的及时更新下，谢谢</x18tc:text>
    <x18tc:mentions>
      <x18tc:mention mentionpersonId="{d3bc4f64-10ef-41fd-9d7c-32349da106cc}" mentionId="{eb1b969b-62f2-4974-b672-3a015d6fa953}" startIndex="0" length="21"/>
      <x18tc:mention mentionpersonId="{466ad751-a4a6-489f-b0f0-680e8e3625fe}" mentionId="{1f0a6327-e79a-4edf-a515-d846f2a0c641}" startIndex="23" length="20"/>
    </x18tc:mentions>
  </x18tc:threadedComment>
  <x18tc:threadedComment ref="I49" dT="2019-08-05T07:27:28.00" personId="{264256c3-bbc9-47ac-9dd7-8d4b1679bb68}" id="{d3bb6e0b-c385-4c31-90f5-a5cc4c659c0b}" parentId="{c5e13467-ed2b-4c44-80d9-6a6d1dba603b}">
    <x18tc:text xml:space="preserve">能否放置个链接</x18tc:text>
  </x18tc:threadedComment>
  <x18tc:threadedComment ref="I49" dT="2019-08-16T02:05:23.00" personId="{515ecdfa-17a5-45e9-8370-442994ed0931}" id="{20d685c3-eb84-4bb5-b1a0-36200529fcef}" parentId="{c5e13467-ed2b-4c44-80d9-6a6d1dba603b}">
    <x18tc:text xml:space="preserve">志浩，请放置一个链接</x18tc:text>
  </x18tc:threadedComment>
  <x18tc:threadedComment ref="I49" dT="2019-08-16T02:39:13.00" personId="{7e913e6b-de4e-4849-9003-1ee307a30106}" id="{9e96395c-df41-4f5e-9b05-b0a63650d4ae}" parentId="{c5e13467-ed2b-4c44-80d9-6a6d1dba603b}">
    <x18tc:text xml:space="preserve">OK</x18tc:text>
  </x18tc:threadedComment>
  <x18tc:threadedComment ref="G17" dT="2019-09-20T03:31:07.00" personId="{264256c3-bbc9-47ac-9dd7-8d4b1679bb68}" id="{a6cf2c5c-d218-477d-a74b-2c3fe9848ae2}" done="1">
    <x18tc:text xml:space="preserve">@liguoa@motorola.com 
@puzhe1@motorola.com 
@fanlf@motorola.com 
滚筒SIM卡断线的case，bb issue 里面update 信息如下，有什么补充请更新下，谢谢</x18tc:text>
    <x18tc:mentions>
      <x18tc:mention mentionpersonId="{466ad751-a4a6-489f-b0f0-680e8e3625fe}" mentionId="{141ceef1-6f18-48ce-8bad-e0aa49fc032e}" startIndex="0" length="20"/>
      <x18tc:mention mentionpersonId="{3bfa2978-53c6-4689-a7e2-f41898c823e3}" mentionId="{feb05204-0e7b-417d-8868-b6da997c6766}" startIndex="22" length="20"/>
      <x18tc:mention mentionpersonId="{89829eb4-0844-4193-86c6-4fc6afe868fc}" mentionId="{1dbaa893-802b-4630-9733-98ecb293bc81}" startIndex="44" length="19"/>
    </x18tc:mentions>
  </x18tc:threadedComment>
  <x18tc:threadedComment ref="G31" dT="2019-09-05T09:45:39.00" personId="{264256c3-bbc9-47ac-9dd7-8d4b1679bb68}" id="{8651cb76-9d41-4346-8c41-c75bea99ad9f}" done="1">
    <x18tc:text xml:space="preserve">@liguoa@motorola.com 
@wuxm5@motorola.com 
Hi 李果
这台机器是做完红墨水吗？还是加焊？  分析完建议直接close 转 ME，否则issue太多了、</x18tc:text>
    <x18tc:mentions>
      <x18tc:mention mentionpersonId="{466ad751-a4a6-489f-b0f0-680e8e3625fe}" mentionId="{b9fc6ce1-6053-49c3-b9d4-3f4d7ec46721}" startIndex="0" length="20"/>
      <x18tc:mention mentionpersonId="{200db89f-b2fd-4768-8b3f-704e424e69fc}" mentionId="{597dde43-f089-4cce-a4d5-fb441af58ca0}" startIndex="22" length="19"/>
    </x18tc:mentions>
  </x18tc:threadedComment>
  <x18tc:threadedComment ref="G31" dT="2019-09-05T09:54:50.00" personId="{707fe07e-9ef9-437f-a53f-1159714f889b}" id="{79961dcf-6169-4f75-9b74-120274d7ad62}" parentId="{8651cb76-9d41-4346-8c41-c75bea99ad9f}">
    <x18tc:text xml:space="preserve">做红墨水了</x18tc:text>
  </x18tc:threadedComment>
  <x18tc:threadedComment ref="G31" dT="2019-09-05T10:16:36.00" personId="{264256c3-bbc9-47ac-9dd7-8d4b1679bb68}" id="{83f31168-7835-4702-8d45-8c75db04f710}" parentId="{8651cb76-9d41-4346-8c41-c75bea99ad9f}">
    <x18tc:text xml:space="preserve">那请更新下issue ，然后monitor 或者 close吧。</x18tc:text>
  </x18tc:threadedComment>
  <x18tc:threadedComment ref="G31" dT="2019-09-05T10:16:51.00" personId="{264256c3-bbc9-47ac-9dd7-8d4b1679bb68}" id="{84344920-d4ef-4f80-891b-ef01b332d6ea}" parentId="{8651cb76-9d41-4346-8c41-c75bea99ad9f}">
    <x18tc:text xml:space="preserve">@学敏</x18tc:text>
  </x18tc:threadedComment>
  <x18tc:threadedComment ref="G31" dT="2019-09-09T01:52:48.00" personId="{515ecdfa-17a5-45e9-8370-442994ed0931}" id="{df5cb280-9a31-4712-8e32-f4e1e3283de6}" parentId="{8651cb76-9d41-4346-8c41-c75bea99ad9f}">
    <x18tc:text xml:space="preserve">Please update @wuxm5@motorola.com</x18tc:text>
    <x18tc:mentions>
      <x18tc:mention mentionpersonId="{200db89f-b2fd-4768-8b3f-704e424e69fc}" mentionId="{f959b402-b97f-4f85-9aa1-c3404dbfb163}" startIndex="14" length="19"/>
    </x18tc:mentions>
  </x18tc:threadedComment>
  <x18tc:threadedComment ref="I42" dT="2019-08-02T04:34:59.00" personId="{264256c3-bbc9-47ac-9dd7-8d4b1679bb68}" id="{a7ec7486-9f84-47e2-9dd7-bbda02836c9c}" done="1">
    <x18tc:text xml:space="preserve">@xiaozh1@motorola.com 
@liguoa@motorola.com
@chenb3@motorola.com 
Hi 志浩
这台机器你也看下，喇叭噪音的，机器应该在邦邦手里（分析camera）</x18tc:text>
    <x18tc:mentions>
      <x18tc:mention mentionpersonId="{d3bc4f64-10ef-41fd-9d7c-32349da106cc}" mentionId="{b88c5e83-e361-4f06-adea-756fcda195bb}" startIndex="0" length="21"/>
      <x18tc:mention mentionpersonId="{466ad751-a4a6-489f-b0f0-680e8e3625fe}" mentionId="{c9717916-ada5-4291-8de5-4a0fd483436e}" startIndex="23" length="20"/>
      <x18tc:mention mentionpersonId="{873f86e6-0f3e-4e97-85f8-040caac71fca}" mentionId="{7280056e-db82-4236-aa08-e36c6cfb41be}" startIndex="44" length="20"/>
    </x18tc:mentions>
  </x18tc:threadedComment>
  <x18tc:threadedComment ref="I42" dT="2019-08-05T07:27:02.00" personId="{264256c3-bbc9-47ac-9dd7-8d4b1679bb68}" id="{4174637e-4371-45ef-b5d4-b05d1ca269ff}" parentId="{a7ec7486-9f84-47e2-9dd7-bbda02836c9c}">
    <x18tc:text xml:space="preserve">HI 志浩
我放了个link
建议更新信息进来</x18tc:text>
  </x18tc:threadedComment>
  <x18tc:threadedComment ref="I42" dT="2019-08-05T08:43:59.00" personId="{264256c3-bbc9-47ac-9dd7-8d4b1679bb68}" id="{78427107-9e4d-4ce0-be79-a0d4df9a1162}" parentId="{a7ec7486-9f84-47e2-9dd7-bbda02836c9c}">
    <x18tc:text xml:space="preserve">Hi 志浩
请更新  以及信息进来，包括表格</x18tc:text>
  </x18tc:threadedComment>
  <x18tc:threadedComment ref="I42" dT="2019-08-05T09:03:36.00" personId="{7e913e6b-de4e-4849-9003-1ee307a30106}" id="{1ade56be-3458-4af9-bc9b-36d5ef96bd4d}" parentId="{a7ec7486-9f84-47e2-9dd7-bbda02836c9c}">
    <x18tc:text xml:space="preserve">OK</x18tc:text>
  </x18tc:threadedComment>
  <x18tc:threadedComment ref="I63" dT="2019-07-26T10:01:46.00" personId="{264256c3-bbc9-47ac-9dd7-8d4b1679bb68}" id="{585d1281-b4e9-482a-99dc-892c19ae572c}" done="1">
    <x18tc:text xml:space="preserve">@dongjk@motorola.com 
@fanlf@motorola.com 
@liguoa@motorola.com 
Hi 小董
这个项我认为可以close，我先改为monitor 。 你下周看下如果确认可以close ，请更新下status，谢谢</x18tc:text>
    <x18tc:mentions>
      <x18tc:mention mentionpersonId="{c74c1934-3d95-4335-a0ea-764c3940074b}" mentionId="{e43b6852-4d39-4ae3-a7ce-d16a69b9eceb}" startIndex="0" length="20"/>
      <x18tc:mention mentionpersonId="{89829eb4-0844-4193-86c6-4fc6afe868fc}" mentionId="{0af2b3f8-afdf-4e15-a6fa-3ade8cd3e776}" startIndex="22" length="19"/>
      <x18tc:mention mentionpersonId="{466ad751-a4a6-489f-b0f0-680e8e3625fe}" mentionId="{c3bce1db-029b-4aa0-8c3b-9e5822e665e9}" startIndex="43" length="20"/>
    </x18tc:mentions>
  </x18tc:threadedComment>
  <x18tc:threadedComment ref="G32" dT="2019-09-05T09:47:27.00" personId="{264256c3-bbc9-47ac-9dd7-8d4b1679bb68}" id="{7b2763be-1b08-437b-8a16-8cb00ad09ada}" done="1">
    <x18tc:text xml:space="preserve">@wuxm5@motorola.com 
@liguoa@motorola.com 
Hi 学敏
如沟通，同一单的B3出现先自动关机，之后直接不开机。这是个线索，这两台是否PMIC也是有管脚虚焊了，所以建议做冷凌跌落看是否能复现。 之后直接做红墨水实验，然后分析结束。（电池部分闲军已经看了）</x18tc:text>
    <x18tc:mentions>
      <x18tc:mention mentionpersonId="{200db89f-b2fd-4768-8b3f-704e424e69fc}" mentionId="{af5561ce-2357-4520-93a4-401921a67748}" startIndex="0" length="19"/>
      <x18tc:mention mentionpersonId="{466ad751-a4a6-489f-b0f0-680e8e3625fe}" mentionId="{f40f5eb8-97ec-4ea3-9a2e-40bbeb261128}" startIndex="21" length="20"/>
    </x18tc:mentions>
  </x18tc:threadedComment>
  <x18tc:threadedComment ref="I68" dT="2019-06-13T09:36:04.00" personId="{264256c3-bbc9-47ac-9dd7-8d4b1679bb68}" id="{82cc1863-83c7-4de6-a03d-f2e33b33822a}" done="1">
    <x18tc:text xml:space="preserve">@chenb3@motorola.com
@wuxm5@motorola.com 
HI 邦邦
R5006 直接删除的更改，你看啥时候提一下原理图修改哈， 先提上去避免忘了，提了后告知下</x18tc:text>
    <x18tc:mentions>
      <x18tc:mention mentionpersonId="{873f86e6-0f3e-4e97-85f8-040caac71fca}" mentionId="{33ed8309-d34e-4a14-b41e-791c3da3ecf8}" startIndex="0" length="20"/>
      <x18tc:mention mentionpersonId="{200db89f-b2fd-4768-8b3f-704e424e69fc}" mentionId="{cb048331-7ddb-455c-ae19-b1b711d00ebf}" startIndex="21" length="19"/>
    </x18tc:mentions>
  </x18tc:threadedComment>
  <x18tc:threadedComment ref="I68" dT="2019-06-20T07:06:42.00" personId="{264256c3-bbc9-47ac-9dd7-8d4b1679bb68}" id="{b48b6321-08f1-4550-9ce3-ec5fa668132e}" parentId="{82cc1863-83c7-4de6-a03d-f2e33b33822a}">
    <x18tc:text xml:space="preserve">我提交更改了
https://docs.google.com/presentation/d/1fLTIqXaTkvqIms4jaZlirWUwlSutK7Y_JQdWUKgIqME/edit#slide=id.g5c519f5b8e_1_0</x18tc:text>
    <x18tc:extLst>
      <ext uri="{F7C98A9C-CBB3-438F-8F68-D28B6AF4A901}">
        <xltc2:checksum/>
        <xltc2:hyperlink startIndex="7" length="113" url="https://docs.google.com/presentation/d/1fLTIqXaTkvqIms4jaZlirWUwlSutK7Y_JQdWUKgIqME/edit#slide=id.g5c519f5b8e_1_0"/>
      </ext>
    </x18tc:extLst>
  </x18tc:threadedComment>
</x18tc:ThreadedComments>
</file>

<file path=xl/threadedComments/threadedComment20.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18" dT="2020-05-13T07:06:54.00" personId="{264256c3-bbc9-47ac-9dd7-8d4b1679bb68}" id="{b05db406-f10a-416a-bd29-67207414c0aa}" done="1">
    <x18tc:text xml:space="preserve">@liguoa@motorola.com 
@linfenga@motorola.com 
@fanlf@motorola.com 
Hi 果子
P-sensor 位置 ME 点胶改善计划如何（主要是针对TCC DVT2 ESD的计划），建议tracking 。 因为DVT2 有类似的风险，如果没有管控到的话。</x18tc:text>
    <x18tc:mentions>
      <x18tc:mention mentionpersonId="{466ad751-a4a6-489f-b0f0-680e8e3625fe}" mentionId="{28d124e2-679d-4ee3-acba-d3a58d651873}" startIndex="0" length="20"/>
      <x18tc:mention mentionpersonId="{6c148249-be48-463d-bf99-d2efef89b01f}" mentionId="{ae3d270b-803f-495a-afee-452d3a25fb96}" startIndex="22" length="22"/>
      <x18tc:mention mentionpersonId="{89829eb4-0844-4193-86c6-4fc6afe868fc}" mentionId="{35925400-cf1f-4d3a-a4b8-2778bcc781e5}" startIndex="46" length="19"/>
    </x18tc:mentions>
  </x18tc:threadedComment>
  <x18tc:threadedComment ref="G18" dT="2020-05-13T07:42:37.00" personId="{707fe07e-9ef9-437f-a53f-1159714f889b}" id="{effe0a64-ead4-4957-9f76-393edceb0ef8}" parentId="{b05db406-f10a-416a-bd29-67207414c0aa}">
    <x18tc:text xml:space="preserve">结构反馈：DVT1壳体之前有发生过Front rim跌落脱胶问题，有优化过胶路和胶量。
DVT2最新壳体的胶路，我看了下都还好。随机测了四个，都在0.6左右。有一个最小的位置是0.56。如下
所以DVT2壳体在Psensor位置胶宽应该都是满足0.5mm。</x18tc:text>
  </x18tc:threadedComment>
  <x18tc:threadedComment ref="G18" dT="2020-05-13T07:55:18.00" personId="{264256c3-bbc9-47ac-9dd7-8d4b1679bb68}" id="{82186196-ec9f-4267-8c6b-2bfc0f00fd3b}" parentId="{b05db406-f10a-416a-bd29-67207414c0aa}">
    <x18tc:text xml:space="preserve">好的，那我补充 DVT2 import ，monitor的状态</x18tc:text>
  </x18tc:threadedComment>
  <x18tc:threadedComment ref="H29" dT="2020-05-13T08:42:26.00" personId="{264256c3-bbc9-47ac-9dd7-8d4b1679bb68}" id="{5df7d963-7858-452a-9a46-9c04e0eef006}" done="1">
    <x18tc:text xml:space="preserve">@linfenga@motorola.com 
hi 林峰
这条就先close 了，config issue。 今天导入新的。 等有新的数据有问题再 new 一个 thermal issue。</x18tc:text>
    <x18tc:mentions>
      <x18tc:mention mentionpersonId="{6c148249-be48-463d-bf99-d2efef89b01f}" mentionId="{cee5127a-5947-4c08-990f-4435bb0a7ac5}" startIndex="0" length="22"/>
    </x18tc:mentions>
  </x18tc:threadedComment>
  <x18tc:threadedComment ref="H77" dT="2020-01-07T02:10:20.00" personId="{264256c3-bbc9-47ac-9dd7-8d4b1679bb68}" id="{e48065d8-22b6-4e78-ae82-3e2b96d46108}" done="1">
    <x18tc:text xml:space="preserve">@chenb3@motorola.com 
@linfenga@motorola.com 
@fanlf@motorola.com 
HI 邦邦 
这个case 你放个分析链接吧，及更新下issue 。  口头沟通，其中一根mipi线P和N反了，1.先确认下SW上面是否能临时单线配反过来用。  2.EVT 肯定也是要改板，建议同步修改。</x18tc:text>
    <x18tc:mentions>
      <x18tc:mention mentionpersonId="{873f86e6-0f3e-4e97-85f8-040caac71fca}" mentionId="{6988d283-6050-446d-8cac-b871bfb086c0}" startIndex="0" length="20"/>
      <x18tc:mention mentionpersonId="{6c148249-be48-463d-bf99-d2efef89b01f}" mentionId="{6211df3f-33e9-4018-afb9-b29eff75ecef}" startIndex="22" length="22"/>
      <x18tc:mention mentionpersonId="{89829eb4-0844-4193-86c6-4fc6afe868fc}" mentionId="{adb9824b-cdd0-4d4d-92e6-aabf96cb4113}" startIndex="46" length="19"/>
    </x18tc:mentions>
  </x18tc:threadedComment>
  <x18tc:threadedComment ref="H77" dT="2020-01-15T05:38:12.00" personId="{264256c3-bbc9-47ac-9dd7-8d4b1679bb68}" id="{fc298018-a6e1-4382-b06e-0d9fca71a749}" parentId="{e48065d8-22b6-4e78-ae82-3e2b96d46108}">
    <x18tc:text xml:space="preserve">hI  bangbang 
mipi 反了的这个case，有更新吗？是否放个分析链接？</x18tc:text>
  </x18tc:threadedComment>
  <x18tc:threadedComment ref="G64" dT="2020-03-26T06:52:00.00" personId="{264256c3-bbc9-47ac-9dd7-8d4b1679bb68}" id="{e58b66ba-853f-4c1e-9a68-c667b42bd633}" done="1">
    <x18tc:text xml:space="preserve">@xiaozh1@motorola.com
@wuxm5@motorola.com  
Hi 志浩
请看下这个风险， 电感和二极管的耐受电流，以及测试一下 短路到FLASHLED后的电流。 对比判断下是否有风险，谢谢</x18tc:text>
    <x18tc:mentions>
      <x18tc:mention mentionpersonId="{d3bc4f64-10ef-41fd-9d7c-32349da106cc}" mentionId="{11742562-4c4c-4353-878e-0aa8fd613dcf}" startIndex="0" length="21"/>
      <x18tc:mention mentionpersonId="{200db89f-b2fd-4768-8b3f-704e424e69fc}" mentionId="{e2acc5a9-ab3b-4a7e-9799-e6e66cb87efd}" startIndex="22" length="19"/>
    </x18tc:mentions>
  </x18tc:threadedComment>
  <x18tc:threadedComment ref="G75" dT="2020-01-10T02:25:20.00" personId="{09d6a95a-384b-4fb3-af77-b5b35f657e9b}" id="{4b8e49ba-6501-4c5c-b398-c35c37f894f8}" done="1">
    <x18tc:text xml:space="preserve">李果，老板，我把ANT risk放在bb issue这里了</x18tc:text>
  </x18tc:threadedComment>
  <x18tc:threadedComment ref="G75" dT="2020-01-10T02:25:36.00" personId="{09d6a95a-384b-4fb3-af77-b5b35f657e9b}" id="{dc59f0b1-ae3f-4f3c-8b41-6de4e8909a17}" parentId="{4b8e49ba-6501-4c5c-b398-c35c37f894f8}">
    <x18tc:text xml:space="preserve">@liguoa@motorola.com 
@fanlf@motorola.com</x18tc:text>
    <x18tc:mentions>
      <x18tc:mention mentionpersonId="{466ad751-a4a6-489f-b0f0-680e8e3625fe}" mentionId="{9168cc95-bdeb-4c35-b35e-b1db29c790dc}" startIndex="0" length="20"/>
      <x18tc:mention mentionpersonId="{89829eb4-0844-4193-86c6-4fc6afe868fc}" mentionId="{f2ff2bae-a350-426c-b492-6f3edda5418e}" startIndex="22" length="19"/>
    </x18tc:mentions>
  </x18tc:threadedComment>
  <x18tc:threadedComment ref="H78" dT="2020-01-07T02:29:56.00" personId="{264256c3-bbc9-47ac-9dd7-8d4b1679bb68}" id="{1741d71c-c63b-4b20-adbc-ffeaf4cfe8ad}" done="1">
    <x18tc:text xml:space="preserve">@xiongsn1@motorola.com 
这个case 请先放置个分析ppt 链接，已经分析的这些内容放上去吧，包括波形测量及一些看法，谢谢</x18tc:text>
    <x18tc:mentions>
      <x18tc:mention mentionpersonId="{29c1a8e0-e66d-4172-98d4-3780dccea77b}" mentionId="{f6d04bea-e693-49e4-879d-b28ab6ad92d6}" startIndex="0" length="22"/>
    </x18tc:mentions>
  </x18tc:threadedComment>
  <x18tc:threadedComment ref="H78" dT="2020-01-15T05:38:55.00" personId="{264256c3-bbc9-47ac-9dd7-8d4b1679bb68}" id="{14d57eec-56b1-48ca-9bd8-278119d657dd}" parentId="{1741d71c-c63b-4b20-adbc-ffeaf4cfe8ad}">
    <x18tc:text xml:space="preserve">这个case 请补一下今天讨论的信息。 并将分析链接放上来吧，</x18tc:text>
  </x18tc:threadedComment>
  <x18tc:threadedComment ref="G46" dT="2020-04-10T02:02:24.00" personId="{264256c3-bbc9-47ac-9dd7-8d4b1679bb68}" id="{25673c6d-0865-49a0-9c0c-0311e6646155}" done="1">
    <x18tc:text xml:space="preserve">@linfenga@motorola.com 
HI 林峰
今天我们一起看下Vbus 浪涌测试fail 的issue，谢谢</x18tc:text>
    <x18tc:mentions>
      <x18tc:mention mentionpersonId="{6c148249-be48-463d-bf99-d2efef89b01f}" mentionId="{8b9e3b36-0299-42b1-89fc-30f866a0ab99}" startIndex="0" length="22"/>
    </x18tc:mentions>
  </x18tc:threadedComment>
  <x18tc:threadedComment ref="G24" dT="2020-05-13T09:13:36.00" personId="{264256c3-bbc9-47ac-9dd7-8d4b1679bb68}" id="{2ecbcf15-f128-4e79-bff7-6318abaca1bf}" done="1">
    <x18tc:text xml:space="preserve">@xiaozh1@motorola.com 
@fanlf@motorola.com 
@linfenga@motorola.com 
Hi 志浩，小范
Audio 的这两个issue ，直接close ？  如要维持 monitor状态，请更新下monitor 的计划并改下状态，谢谢</x18tc:text>
    <x18tc:mentions>
      <x18tc:mention mentionpersonId="{d3bc4f64-10ef-41fd-9d7c-32349da106cc}" mentionId="{36d30f2f-c6af-42d2-8906-5063bc212e4c}" startIndex="0" length="21"/>
      <x18tc:mention mentionpersonId="{89829eb4-0844-4193-86c6-4fc6afe868fc}" mentionId="{3d3582e8-56e3-447a-b277-583c2e14efb0}" startIndex="23" length="19"/>
      <x18tc:mention mentionpersonId="{6c148249-be48-463d-bf99-d2efef89b01f}" mentionId="{ece7dbe7-802d-458d-a908-39a19a5c8051}" startIndex="44" length="22"/>
    </x18tc:mentions>
  </x18tc:threadedComment>
  <x18tc:threadedComment ref="G52" dT="2020-03-26T01:46:37.00" personId="{264256c3-bbc9-47ac-9dd7-8d4b1679bb68}" id="{be9002ca-258d-4c2d-9cd5-c867227328ef}" done="1">
    <x18tc:text xml:space="preserve">@changfm1@motorola.com 
@dongjk@motorola.com
@linfenga@motorola.com 
Hi芳梅
实验的issue ，你记得更新哈。
预计会由小董 创建issue ，各owner
更新哈，并且最好能附上分析报告link（如果有的话）。 一段时间后还没更新，我也会追一追哈，谢谢</x18tc:text>
    <x18tc:mentions>
      <x18tc:mention mentionpersonId="{9f1abf6f-4b70-4fd0-b4d1-53c68e3022c5}" mentionId="{efd1cc9b-7c5c-4705-91be-d5d951fa0931}" startIndex="0" length="22"/>
      <x18tc:mention mentionpersonId="{c74c1934-3d95-4335-a0ea-764c3940074b}" mentionId="{dc193c18-d26b-4384-be36-bbd31f251605}" startIndex="24" length="20"/>
      <x18tc:mention mentionpersonId="{6c148249-be48-463d-bf99-d2efef89b01f}" mentionId="{ef7977af-5bd7-4df5-b555-31f20662b8eb}" startIndex="45" length="22"/>
    </x18tc:mentions>
  </x18tc:threadedComment>
  <x18tc:threadedComment ref="G52" dT="2020-03-26T02:25:45.00" personId="{515ecdfa-17a5-45e9-8370-442994ed0931}" id="{9af604b2-7cb9-46bb-8e6f-b47e0bcb02cd}" parentId="{be9002ca-258d-4c2d-9cd5-c867227328ef}">
    <x18tc:text xml:space="preserve">Issue登记的Owner还是专家自己，嘉琨负责测试中心，协助提醒专家那些测试失败但没有记录到Issue进行闭环的问题。</x18tc:text>
  </x18tc:threadedComment>
  <x18tc:threadedComment ref="I2" dT="2020-08-21T06:26:54.00" personId="{264256c3-bbc9-47ac-9dd7-8d4b1679bb68}" id="{94b750c3-e32e-4acf-b9dd-019d1fa32725}" done="1">
    <x18tc:text xml:space="preserve">@changfm1@motorola.com 
@linfenga@motorola.com @fanlf@motorola.com 
@chenwt@motorola.com 
Hi  各位，我在BBissue 里面记一条 game performance 的case， 简单summary 目前的信息。便于跟踪</x18tc:text>
    <x18tc:mentions>
      <x18tc:mention mentionpersonId="{9f1abf6f-4b70-4fd0-b4d1-53c68e3022c5}" mentionId="{729d345a-cda3-4877-85ea-a64a4bcaa412}" startIndex="0" length="22"/>
      <x18tc:mention mentionpersonId="{6c148249-be48-463d-bf99-d2efef89b01f}" mentionId="{d25ee22e-abbc-4b26-a7cf-b55564f8aaa8}" startIndex="24" length="22"/>
      <x18tc:mention mentionpersonId="{89829eb4-0844-4193-86c6-4fc6afe868fc}" mentionId="{86e60c80-96d2-4d4c-b111-0b2b613282b4}" startIndex="47" length="19"/>
      <x18tc:mention mentionpersonId="{bdd1ce91-40c2-41d8-8897-275c11d3b7d8}" mentionId="{2185b267-bf95-4ab2-ba90-4261fc43d36a}" startIndex="68" length="20"/>
    </x18tc:mentions>
  </x18tc:threadedComment>
  <x18tc:threadedComment ref="I2" dT="2020-08-27T07:56:18.00" personId="{264256c3-bbc9-47ac-9dd7-8d4b1679bb68}" id="{463c7960-6f53-4d6e-bf0a-f043c80170fa}" parentId="{94b750c3-e32e-4acf-b9dd-019d1fa32725}">
    <x18tc:text xml:space="preserve">这个case 这周无声无息的了，状态我改为monitor 。  你们看下还有啥跟进的不？或者有信息可以share下？ 然后看是否就close了</x18tc:text>
  </x18tc:threadedComment>
  <x18tc:threadedComment ref="G56" dT="2020-03-19T08:53:55.00" personId="{264256c3-bbc9-47ac-9dd7-8d4b1679bb68}" id="{9ccb662c-377a-48b7-bfc8-7c043373a5f3}" done="1">
    <x18tc:text xml:space="preserve">@xiongsn1@motorola.com 
@linfenga@motorola.com
@dongjk@motorola.com 
@fanlf@motorola.com
HI 林峰
如沟通，这个是这次RD ALT 实验发现的功能性的真问题，我们需要确认ME的更改节奏 并了解验证节奏，后面应该还会要我们进行分析。因为后面报上来的 问题是功能无作用，会先找BB分析确认的。</x18tc:text>
    <x18tc:mentions>
      <x18tc:mention mentionpersonId="{29c1a8e0-e66d-4172-98d4-3780dccea77b}" mentionId="{9f83437e-517a-4f70-8c4f-89f1310e6184}" startIndex="0" length="22"/>
      <x18tc:mention mentionpersonId="{6c148249-be48-463d-bf99-d2efef89b01f}" mentionId="{6f77fdd0-9f3d-4ce1-a4ec-837338f5d676}" startIndex="24" length="22"/>
      <x18tc:mention mentionpersonId="{c74c1934-3d95-4335-a0ea-764c3940074b}" mentionId="{5e7949e5-0fe1-4cc5-9016-30d619c5b137}" startIndex="47" length="20"/>
      <x18tc:mention mentionpersonId="{89829eb4-0844-4193-86c6-4fc6afe868fc}" mentionId="{7d1c056e-e015-4d49-a89f-2c3d5f1b224a}" startIndex="69" length="19"/>
    </x18tc:mentions>
  </x18tc:threadedComment>
  <x18tc:threadedComment ref="G56" dT="2020-03-23T03:34:46.00" personId="{264256c3-bbc9-47ac-9dd7-8d4b1679bb68}" id="{8767a01a-65ba-41cb-ad3c-6abb780a90d9}" parentId="{9ccb662c-377a-48b7-bfc8-7c043373a5f3}">
    <x18tc:text xml:space="preserve">HI  林峰，胜男 
我刚看项目周报，针对这个case ME的更改描述是 will implement in DVT1 white color build ，所以DVT1 的实验依然会报fail才对，请先知悉并做一定的准备。 比如 ：到时候故障机是否直接由ME直接拆了？（EVT2机器的ME正式实验这周应该就会启动了，故障机是否是实验完成后统一寄到厦门分析？）</x18tc:text>
  </x18tc:threadedComment>
  <x18tc:threadedComment ref="E11" dT="2020-04-23T09:02:26.00" personId="{264256c3-bbc9-47ac-9dd7-8d4b1679bb68}" id="{db387339-b50d-4dad-b1ca-a910d67a5dd3}" done="1">
    <x18tc:text xml:space="preserve">@dongjk@motorola.com 
@linfenga@motorola.com 
@fanlf@motorola.com 
hi 小董
这个issue目前 的分析初步指向memory相关。 2pcs 故障memory 寄给厂家三星，待你跟紧下分析情况。   这个问题如果稳定出现，后续工厂维修会有比较大的麻烦。优先级别目前不太好定（暂时不会被追杀，但是如果持续下去无法改进，DVT exit 等关键节点我担心NPI会有卡关动作 ）。</x18tc:text>
    <x18tc:mentions>
      <x18tc:mention mentionpersonId="{c74c1934-3d95-4335-a0ea-764c3940074b}" mentionId="{43a1a41f-a0ad-4a58-b878-c826d62d6e50}" startIndex="0" length="20"/>
      <x18tc:mention mentionpersonId="{6c148249-be48-463d-bf99-d2efef89b01f}" mentionId="{7153c016-bc07-488c-8ff8-96a060a6189f}" startIndex="22" length="22"/>
      <x18tc:mention mentionpersonId="{89829eb4-0844-4193-86c6-4fc6afe868fc}" mentionId="{3339fc40-c69a-4063-b5cb-24cd43504a9f}" startIndex="46" length="19"/>
    </x18tc:mentions>
  </x18tc:threadedComment>
  <x18tc:threadedComment ref="G51" dT="2020-04-08T06:48:02.00" personId="{264256c3-bbc9-47ac-9dd7-8d4b1679bb68}" id="{56e9d288-04e3-4633-b1a7-00e815f4b5c5}" done="1">
    <x18tc:text xml:space="preserve">@chenb3@motorola.com 
@fanlf@motorola.com 
@linfenga@motorola.com 
Hi bangbang
关于后摄启动几秒钟后卡住问题。这台机器可以复现，昨天机器在SW分析。如果有更新，请记得更新下信息，谢谢</x18tc:text>
    <x18tc:mentions>
      <x18tc:mention mentionpersonId="{873f86e6-0f3e-4e97-85f8-040caac71fca}" mentionId="{fac2401b-69e2-4bcd-a2be-e881b2674e8a}" startIndex="0" length="20"/>
      <x18tc:mention mentionpersonId="{89829eb4-0844-4193-86c6-4fc6afe868fc}" mentionId="{2bc2b3f1-74c3-4f96-ac41-381a38ec95a8}" startIndex="22" length="19"/>
      <x18tc:mention mentionpersonId="{6c148249-be48-463d-bf99-d2efef89b01f}" mentionId="{e036f526-dfaf-4a4e-947a-101ce4f668ea}" startIndex="43" length="22"/>
    </x18tc:mentions>
  </x18tc:threadedComment>
  <x18tc:threadedComment ref="G51" dT="2020-04-08T07:16:18.00" personId="{ebaaa9f7-3383-43fa-980b-04e22673f815}" id="{938efbfe-fd8d-423d-b2bb-604c4b38edf0}" parentId="{56e9d288-04e3-4633-b1a7-00e815f4b5c5}">
    <x18tc:text xml:space="preserve">还没有遭到rootcause。怀疑是mclk配置相关。故障机的mclk在idle状态有250mV的抬高（应该为0V的）。和这个case一样的现象，软件看到是i2c error就认为是硬件问题就关闭了。https://idart.mot.com/browse/IKSWQ-80124。这一单的机器trackid获取不到了，故障机已入库。</x18tc:text>
    <x18tc:extLst>
      <ext uri="{F7C98A9C-CBB3-438F-8F68-D28B6AF4A901}">
        <xltc2:checksum/>
        <xltc2:hyperlink startIndex="100" length="67" url="https://idart.mot.com/browse/IKSWQ-80124。这一单的机器trackid获取不到了，故障机已入库。"/>
      </ext>
    </x18tc:extLst>
  </x18tc:threadedComment>
  <x18tc:threadedComment ref="G51" dT="2020-04-13T07:14:19.00" personId="{264256c3-bbc9-47ac-9dd7-8d4b1679bb68}" id="{c2215770-9f36-4038-8aa6-96db78ea0225}" parentId="{56e9d288-04e3-4633-b1a7-00e815f4b5c5}">
    <x18tc:text xml:space="preserve">HI  邦邦
这个issue 等到有一版正式SW出来后，你验证下并补充SW版本号 就将issue close 吧，谢谢</x18tc:text>
  </x18tc:threadedComment>
  <x18tc:threadedComment ref="G51" dT="2020-04-13T07:26:38.00" personId="{ebaaa9f7-3383-43fa-980b-04e22673f815}" id="{a3175221-74a4-4dd1-886b-16acbe43ad94}" parentId="{56e9d288-04e3-4633-b1a7-00e815f4b5c5}">
    <x18tc:text xml:space="preserve">对我们来说，可以close了。盛麒更新了case：https://idart.mot.com/browse/IKSWQ-80124。他已经验证并提交代码。他的解释是一些版本区分的逻辑判断错误，跑到racer的代码中了。（另外，同时发现他们使用了googlekey的gpio_26作为rf det，也已修改。）</x18tc:text>
    <x18tc:extLst>
      <ext uri="{F7C98A9C-CBB3-438F-8F68-D28B6AF4A901}">
        <xltc2:checksum/>
        <xltc2:hyperlink startIndex="25" length="118" url="https://idart.mot.com/browse/IKSWQ-80124。他已经验证并提交代码。他的解释是一些版本区分的逻辑判断错误，跑到racer的代码中了。（另外，同时发现他们使用了googlekey的gpio_26作为rf"/>
      </ext>
    </x18tc:extLst>
  </x18tc:threadedComment>
  <x18tc:threadedComment ref="G51" dT="2020-04-13T09:21:58.00" personId="{264256c3-bbc9-47ac-9dd7-8d4b1679bb68}" id="{9b985885-de0b-48d6-9424-3e71bbe65149}" parentId="{56e9d288-04e3-4633-b1a7-00e815f4b5c5}">
    <x18tc:text xml:space="preserve">好的，谢谢。 但是一般来说，最好是issue提出方确认issue close才是真正close。</x18tc:text>
  </x18tc:threadedComment>
  <x18tc:threadedComment ref="G51" dT="2020-04-13T09:22:35.00" personId="{264256c3-bbc9-47ac-9dd7-8d4b1679bb68}" id="{0b18bfc7-058b-451f-a276-b555ecb190b6}" parentId="{56e9d288-04e3-4633-b1a7-00e815f4b5c5}">
    <x18tc:text xml:space="preserve">单独BB，确实可以close 。CR 就SW自行跟踪</x18tc:text>
  </x18tc:threadedComment>
  <x18tc:threadedComment ref="H9" dT="2020-06-18T03:09:35.00" personId="{264256c3-bbc9-47ac-9dd7-8d4b1679bb68}" id="{48fc605e-f73f-4d3d-b106-e006717d41ab}" done="1">
    <x18tc:text xml:space="preserve">@linfenga@motorola.com 
@xiongsn1@motorola.com 
@chenb3@motorola.com 
@fanlf@motorola.com 
Hi 林峰，胜男，邦邦
AR core 认证fail的事情，我这边先创建个issue。目前为止了解到的信息我放上去了， 请继续处理，谢谢</x18tc:text>
    <x18tc:mentions>
      <x18tc:mention mentionpersonId="{6c148249-be48-463d-bf99-d2efef89b01f}" mentionId="{d322815e-da9d-46b2-b8d2-9078f38cf3d4}" startIndex="0" length="22"/>
      <x18tc:mention mentionpersonId="{29c1a8e0-e66d-4172-98d4-3780dccea77b}" mentionId="{938479ca-f507-4fe3-808e-70a07484ebf9}" startIndex="24" length="22"/>
      <x18tc:mention mentionpersonId="{873f86e6-0f3e-4e97-85f8-040caac71fca}" mentionId="{6977a090-5bf8-4864-8adb-6578e8db550d}" startIndex="48" length="20"/>
      <x18tc:mention mentionpersonId="{89829eb4-0844-4193-86c6-4fc6afe868fc}" mentionId="{b8f17f63-196c-4d69-984b-0cb1439e3dd4}" startIndex="70" length="19"/>
    </x18tc:mentions>
  </x18tc:threadedComment>
  <x18tc:threadedComment ref="H13" dT="2020-05-20T03:10:38.00" personId="{264256c3-bbc9-47ac-9dd7-8d4b1679bb68}" id="{f9726dde-a56c-47ca-ab6f-5c1a4b3e9241}" done="1">
    <x18tc:text xml:space="preserve">@changfm1@motorola.com 
@wuxm5@motorola.com 
@linfenga@motorola.com 
liberty 的issue，背光电路各种器件概率性烧毁，我们看是否有类似的风险，需要check</x18tc:text>
    <x18tc:mentions>
      <x18tc:mention mentionpersonId="{9f1abf6f-4b70-4fd0-b4d1-53c68e3022c5}" mentionId="{a7714af8-8c19-4d7b-a2c4-7ab1d3d29865}" startIndex="0" length="22"/>
      <x18tc:mention mentionpersonId="{200db89f-b2fd-4768-8b3f-704e424e69fc}" mentionId="{4b992469-30bb-4421-b9fd-e8567664651b}" startIndex="24" length="19"/>
      <x18tc:mention mentionpersonId="{6c148249-be48-463d-bf99-d2efef89b01f}" mentionId="{0f155995-60ee-465c-a7b9-e6fe855c3bd3}" startIndex="45" length="22"/>
    </x18tc:mentions>
  </x18tc:threadedComment>
  <x18tc:threadedComment ref="G30" dT="2020-05-11T06:11:00.00" personId="{264256c3-bbc9-47ac-9dd7-8d4b1679bb68}" id="{61a9b639-a1e4-4df2-b797-ddcb7a3774e3}" done="1">
    <x18tc:text xml:space="preserve">@xiongsn1@motorola.com 
@linfenga@motorola.com 
@chenwt@motorola.com 
Hi 熊，林峰
这边记录个issue，DVT2 生产的M-sensor 。状态未明，等级先不放。 文档链接我先放置一个，有信息更新 可以一起更新</x18tc:text>
    <x18tc:mentions>
      <x18tc:mention mentionpersonId="{29c1a8e0-e66d-4172-98d4-3780dccea77b}" mentionId="{b36033c5-7ddc-4785-8ccb-5b682eecbc13}" startIndex="0" length="22"/>
      <x18tc:mention mentionpersonId="{6c148249-be48-463d-bf99-d2efef89b01f}" mentionId="{77284b65-29de-4201-b3a7-4b0be0d728b5}" startIndex="24" length="22"/>
      <x18tc:mention mentionpersonId="{bdd1ce91-40c2-41d8-8897-275c11d3b7d8}" mentionId="{91db2baf-45d2-4789-b4df-02278c3df05c}" startIndex="48" length="20"/>
    </x18tc:mentions>
  </x18tc:threadedComment>
  <x18tc:threadedComment ref="G30" dT="2020-05-12T09:59:54.00" personId="{264256c3-bbc9-47ac-9dd7-8d4b1679bb68}" id="{2649b9b3-4feb-4a7e-beb3-5cc7c8e91f56}" parentId="{61a9b639-a1e4-4df2-b797-ddcb7a3774e3}">
    <x18tc:text xml:space="preserve">DVT2 NTF的事情，清理了。改为Vbat供电测试暂时没有问题，跟踪就好，这边先close 。至于 表面划伤，单独开了个issue跟踪</x18tc:text>
  </x18tc:threadedComment>
  <x18tc:threadedComment ref="G71" dT="2020-02-26T08:31:34.00" personId="{264256c3-bbc9-47ac-9dd7-8d4b1679bb68}" id="{240ba66e-8033-43f2-b2f1-dc66afca9502}" done="1">
    <x18tc:text xml:space="preserve">@wuxm5@motorola.com 
@linfenga@motorola.com 
@fanlf@motorola.com 
Hi 学敏
底电流的case，我先开个issue跟踪哈，你有什么更新请加上去，如有文档建议同步放文档链接，谢谢</x18tc:text>
    <x18tc:mentions>
      <x18tc:mention mentionpersonId="{200db89f-b2fd-4768-8b3f-704e424e69fc}" mentionId="{12d436b8-89e3-4474-9cfa-bbbebfd5d6d1}" startIndex="0" length="19"/>
      <x18tc:mention mentionpersonId="{6c148249-be48-463d-bf99-d2efef89b01f}" mentionId="{151507ec-d8ab-4ad7-a0d2-43bb459f9155}" startIndex="21" length="22"/>
      <x18tc:mention mentionpersonId="{89829eb4-0844-4193-86c6-4fc6afe868fc}" mentionId="{89e2fc89-4cc1-496d-bc66-85fac40b7aa0}" startIndex="45" length="19"/>
    </x18tc:mentions>
  </x18tc:threadedComment>
  <x18tc:threadedComment ref="G71" dT="2020-03-18T01:38:49.00" personId="{264256c3-bbc9-47ac-9dd7-8d4b1679bb68}" id="{51b2ca7c-9d60-4af3-8945-3a92665db0e9}" parentId="{240ba66e-8033-43f2-b2f1-dc66afca9502}">
    <x18tc:text xml:space="preserve">底电流的case 你自己更新下哈</x18tc:text>
  </x18tc:threadedComment>
  <x18tc:threadedComment ref="G71" dT="2020-03-18T01:39:34.00" personId="{264256c3-bbc9-47ac-9dd7-8d4b1679bb68}" id="{3d8a01fe-93a2-43d6-8ab6-aa90c0c7f483}" parentId="{240ba66e-8033-43f2-b2f1-dc66afca9502}">
    <x18tc:text xml:space="preserve">@wuxm5@motorola.com
@liguoa@motorola.com 
更新信息后如果觉得可以close 就close</x18tc:text>
    <x18tc:mentions>
      <x18tc:mention mentionpersonId="{200db89f-b2fd-4768-8b3f-704e424e69fc}" mentionId="{50d50b86-f8f1-458c-b443-b6e0ebd2d2c3}" startIndex="0" length="19"/>
      <x18tc:mention mentionpersonId="{466ad751-a4a6-489f-b0f0-680e8e3625fe}" mentionId="{375d8259-df33-4217-a96a-663e3abbab35}" startIndex="20" length="20"/>
    </x18tc:mentions>
  </x18tc:threadedComment>
  <x18tc:threadedComment ref="G71" dT="2020-03-18T01:48:44.00" personId="{ba5e0756-ba59-4eca-8692-a873077ead93}" id="{91225153-01c1-42b9-8d21-1d4ddabb1ed4}" parentId="{240ba66e-8033-43f2-b2f1-dc66afca9502}">
    <x18tc:text xml:space="preserve">更新完毕，close</x18tc:text>
  </x18tc:threadedComment>
  <x18tc:threadedComment ref="H15" dT="2020-05-15T09:33:51.00" personId="{264256c3-bbc9-47ac-9dd7-8d4b1679bb68}" id="{87f524f0-db01-4754-8729-23edfd34109e}" done="1">
    <x18tc:text xml:space="preserve">@changfm1@motorola.com 
@linfenga@motorola.com 
@fanlf@motorola.com 
Hi 芳梅
关于低亮度下，有时候背光会闪的问题，这边放个issue. 你补充下具体信息哈，谢谢</x18tc:text>
    <x18tc:mentions>
      <x18tc:mention mentionpersonId="{9f1abf6f-4b70-4fd0-b4d1-53c68e3022c5}" mentionId="{d6c7b030-b5b0-4973-a6e0-e0fa77aaa712}" startIndex="0" length="22"/>
      <x18tc:mention mentionpersonId="{6c148249-be48-463d-bf99-d2efef89b01f}" mentionId="{89d8a57f-277e-445c-b0d6-c476ab494674}" startIndex="24" length="22"/>
      <x18tc:mention mentionpersonId="{89829eb4-0844-4193-86c6-4fc6afe868fc}" mentionId="{57a982ad-f477-4b32-815f-4ef8fd5c8d4b}" startIndex="48" length="19"/>
    </x18tc:mentions>
  </x18tc:threadedComment>
  <x18tc:threadedComment ref="G36" dT="2020-04-27T02:28:13.00" personId="{515ecdfa-17a5-45e9-8370-442994ed0931}" id="{c367abf5-127d-47c3-9953-88e3ebe129d3}" done="1">
    <x18tc:text xml:space="preserve">@linfenga@motorola.com 
Please Check the issue status
分配给了linfenga@motorola.com</x18tc:text>
    <x18tc:mentions>
      <x18tc:mention mentionpersonId="{6c148249-be48-463d-bf99-d2efef89b01f}" mentionId="{eda6e0b5-a9af-4b06-a9b1-581a0f2cc9eb}" startIndex="0" length="22"/>
    </x18tc:mentions>
  </x18tc:threadedComment>
</x18tc:ThreadedComments>
</file>

<file path=xl/threadedComments/threadedComment2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2" dT="2021-03-31T10:16:06.00" personId="{264256c3-bbc9-47ac-9dd7-8d4b1679bb68}" id="{bca6c993-1930-4c2c-bd12-04066e5dfece}" done="1">
    <x18tc:text xml:space="preserve">@wuxm5@motorola.com 
HI 学敏
这台机器是个线索，感觉是半坏不坏的状态。  分析线索请帮忙更新下这里，或者放个链接？谢谢</x18tc:text>
    <x18tc:mentions>
      <x18tc:mention mentionpersonId="{200db89f-b2fd-4768-8b3f-704e424e69fc}" mentionId="{0df5f1d8-9feb-4410-93fb-86263d7a17cd}" startIndex="0" length="19"/>
    </x18tc:mentions>
  </x18tc:threadedComment>
  <x18tc:threadedComment ref="H32" dT="2020-09-23T06:34:13.00" personId="{264256c3-bbc9-47ac-9dd7-8d4b1679bb68}" id="{8f910e8b-22b6-4322-bc44-385bd84775a0}" done="1">
    <x18tc:text xml:space="preserve">@linfenga@motorola.com 
Hi  linfeng
BB issue ，加入了 产线 thermal 得这两个问题，请跟进bing update下</x18tc:text>
    <x18tc:mentions>
      <x18tc:mention mentionpersonId="{6c148249-be48-463d-bf99-d2efef89b01f}" mentionId="{cfdeebae-165b-46cb-a0b4-f9e77270c13b}" startIndex="0" length="22"/>
    </x18tc:mentions>
  </x18tc:threadedComment>
  <x18tc:threadedComment ref="G8" dT="2020-12-17T05:11:11.00" personId="{515ecdfa-17a5-45e9-8370-442994ed0931}" id="{4c5a7d97-c0fa-44c4-ae92-b20697fc8f10}" done="1">
    <x18tc:text xml:space="preserve">@chenbang3@lenovo.com 
Please summary DP compatible issue here.
分配给了chenbang3@lenovo.com</x18tc:text>
    <x18tc:mentions>
      <x18tc:mention mentionpersonId="{a73e225a-9f48-4c0d-89aa-211a06247db9}" mentionId="{8082761d-d8e8-4559-ad97-0b61daa015d2}" startIndex="0" length="21"/>
    </x18tc:mentions>
  </x18tc:threadedComment>
  <x18tc:threadedComment ref="G8" dT="2020-12-17T10:43:49.00" personId="{264256c3-bbc9-47ac-9dd7-8d4b1679bb68}" id="{24276977-4b07-4997-a408-de0069459ff5}" parentId="{4c5a7d97-c0fa-44c4-ae92-b20697fc8f10}">
    <x18tc:text xml:space="preserve">HI 邦邦，信息不对，这只是其中一个cr 。请看下小范转发的邮件，里面有excel 链接，我们的总体看，才能核对，谢谢</x18tc:text>
  </x18tc:threadedComment>
  <x18tc:threadedComment ref="G8" dT="2020-12-18T06:10:49.00" personId="{264256c3-bbc9-47ac-9dd7-8d4b1679bb68}" id="{d777b668-ee79-4a50-aa15-2837df85d0ed}" parentId="{4c5a7d97-c0fa-44c4-ae92-b20697fc8f10}">
    <x18tc:text xml:space="preserve">@@changfm1@motorola.com 
HI 芳梅
如沟通，请帮忙将我们复制出来的 issue summary link放过来，谢谢</x18tc:text>
    <x18tc:mentions>
      <x18tc:mention mentionpersonId="{9f1abf6f-4b70-4fd0-b4d1-53c68e3022c5}" mentionId="{df2b1857-4681-42be-84ab-9c816faded16}" startIndex="1" length="22"/>
    </x18tc:mentions>
  </x18tc:threadedComment>
  <x18tc:threadedComment ref="G8" dT="2020-12-18T06:20:00.00" personId="{577c9a8f-cc82-4e10-8937-2f6f29d8b761}" id="{5734605a-8276-45ed-a192-25014e19b4dd}" parentId="{4c5a7d97-c0fa-44c4-ae92-b20697fc8f10}">
    <x18tc:text xml:space="preserve">放置了最新的link链接</x18tc:text>
  </x18tc:threadedComment>
  <x18tc:threadedComment ref="G8" dT="2020-12-18T06:20:35.00" personId="{577c9a8f-cc82-4e10-8937-2f6f29d8b761}" id="{62a46629-c20f-430f-a25b-35350c0b4ea0}" parentId="{4c5a7d97-c0fa-44c4-ae92-b20697fc8f10}">
    <x18tc:text xml:space="preserve">复制了一份到tahoe issue文件夹 下</x18tc:text>
  </x18tc:threadedComment>
  <x18tc:threadedComment ref="G8" dT="2021-03-15T08:36:36.00" personId="{264256c3-bbc9-47ac-9dd7-8d4b1679bb68}" id="{e36ba790-e49c-4a21-9203-6be67a9b838e}" parentId="{4c5a7d97-c0fa-44c4-ae92-b20697fc8f10}">
    <x18tc:text xml:space="preserve">暂时先这样了。 兼容性问题总还是有的</x18tc:text>
  </x18tc:threadedComment>
  <x18tc:threadedComment ref="G5" dT="2021-03-15T10:01:38.00" personId="{264256c3-bbc9-47ac-9dd7-8d4b1679bb68}" id="{9c681864-2a36-4b8d-a8a3-ce4e89cfe7a8}" done="0">
    <x18tc:text xml:space="preserve">@fanlf@motorola.com 
DP转HDMI 厂家测试机器出现插充电器重启的case，我先建个 NA状态的case 哈。 试产的故障机正在寄往厦门，收到后分析看看</x18tc:text>
    <x18tc:mentions>
      <x18tc:mention mentionpersonId="{89829eb4-0844-4193-86c6-4fc6afe868fc}" mentionId="{a9ed8ff9-984c-4443-a430-f3f7b081339c}" startIndex="0" length="19"/>
    </x18tc:mentions>
  </x18tc:threadedComment>
  <x18tc:threadedComment ref="G5" dT="2021-03-24T10:19:20.00" personId="{264256c3-bbc9-47ac-9dd7-8d4b1679bb68}" id="{5a58386b-c7b6-40d0-96e8-c33482ca8a89}" parentId="{9c681864-2a36-4b8d-a8a3-ce4e89cfe7a8}">
    <x18tc:text xml:space="preserve">@liguoa@motorola.com 
HI 果子
合并这两个case ，这个case 分析出啦故障和 售后的那台一样的，USB D+/D- 异常阻抗</x18tc:text>
    <x18tc:mentions>
      <x18tc:mention mentionpersonId="{466ad751-a4a6-489f-b0f0-680e8e3625fe}" mentionId="{0cb06c0c-225b-49b5-b454-77331442bb41}" startIndex="0" length="20"/>
    </x18tc:mentions>
  </x18tc:threadedComment>
  <x18tc:threadedComment ref="H38" dT="2020-06-08T02:08:55.00" personId="{264256c3-bbc9-47ac-9dd7-8d4b1679bb68}" id="{9f24aa58-bd6a-453d-9b46-0080bb67b1a5}" done="1">
    <x18tc:text xml:space="preserve">@linfenga@motorola.com 
这个issue请关注下，布局限制 ，CPU无法依据热管来布局，不知道是否有优化可能 或者要如何处理，谢谢</x18tc:text>
    <x18tc:mentions>
      <x18tc:mention mentionpersonId="{6c148249-be48-463d-bf99-d2efef89b01f}" mentionId="{407aaf22-a9aa-4446-a734-e6d54b598135}" startIndex="0" length="22"/>
    </x18tc:mentions>
  </x18tc:threadedComment>
  <x18tc:threadedComment ref="H11" dT="2020-11-25T07:10:04.00" personId="{264256c3-bbc9-47ac-9dd7-8d4b1679bb68}" id="{a42db68e-af24-4206-b423-505b1ca64aa3}" done="0">
    <x18tc:text xml:space="preserve">@linfenga@motorola.com 
@@fanlf@motorola.com 
Hi 林峰
thermal 我issue 先放两个哈。  一个是SPK位置的，一个是 LTE datacall fail的，大致描述我放上去了。具体内容你更新下，比如转英文，并看是否有链接。 呵呵</x18tc:text>
    <x18tc:mentions>
      <x18tc:mention mentionpersonId="{6c148249-be48-463d-bf99-d2efef89b01f}" mentionId="{f2866714-be17-47d5-a47a-83468eff86c0}" startIndex="0" length="22"/>
      <x18tc:mention mentionpersonId="{89829eb4-0844-4193-86c6-4fc6afe868fc}" mentionId="{e8450326-dd46-45d0-a5b7-da709609a19c}" startIndex="25" length="19"/>
    </x18tc:mentions>
  </x18tc:threadedComment>
  <x18tc:threadedComment ref="H11" dT="2020-12-21T06:38:20.00" personId="{264256c3-bbc9-47ac-9dd7-8d4b1679bb68}" id="{013c8024-4bd8-408a-9acc-c947f490a7a9}" parentId="{a42db68e-af24-4206-b423-505b1ca64aa3}">
    <x18tc:text xml:space="preserve">HI  林峰  LTE datacall fail ，之前放置monitor ，这个已经清理了吧。  
还有上次说的CPU 限制频率 bug ，是否也复测pass 了？请帮忙更新下</x18tc:text>
  </x18tc:threadedComment>
  <x18tc:threadedComment ref="H11" dT="2020-12-22T07:16:22.00" personId="{861507d4-5da4-4a89-b3c0-95a0157954d9}" id="{86e8ffa7-4f10-486a-a328-21feb468143e}" parentId="{a42db68e-af24-4206-b423-505b1ca64aa3}">
    <x18tc:text xml:space="preserve">复测邓玲要正式的SW版本，新的config SW正在code review，预计这周完成复测</x18tc:text>
  </x18tc:threadedComment>
  <x18tc:threadedComment ref="G37" dT="2020-08-20T09:09:16.00" personId="{264256c3-bbc9-47ac-9dd7-8d4b1679bb68}" id="{db6acaf5-115f-4c8b-9384-7d45f3a9367b}" done="1">
    <x18tc:text xml:space="preserve">@chenb3@motorola.com 
@hankai4@motorola.com 
Hi 邦邦 ，韩凯
原则上我们评估过及处理过的一些case ，BB issue 上做个存档，便于回查。请更新下这个case 后续的更多实验结果。谢谢</x18tc:text>
    <x18tc:mentions>
      <x18tc:mention mentionpersonId="{873f86e6-0f3e-4e97-85f8-040caac71fca}" mentionId="{916f83b9-2450-426f-b91b-0b1261e65318}" startIndex="0" length="20"/>
      <x18tc:mention mentionpersonId="{d702ad81-eb9f-441c-b96d-4f0c49761fea}" mentionId="{c896dda6-fd50-47fa-b33f-3d0718ae6bc5}" startIndex="22" length="21"/>
    </x18tc:mentions>
  </x18tc:threadedComment>
  <x18tc:threadedComment ref="G37" dT="2020-08-24T06:28:39.00" personId="{264256c3-bbc9-47ac-9dd7-8d4b1679bb68}" id="{b8428f56-650c-4149-98d1-a86855a5cb78}" parentId="{db6acaf5-115f-4c8b-9384-7d45f3a9367b}">
    <x18tc:text xml:space="preserve">好的，demo 和单样品 都确认过漏电流ok，close 这个 risk 。 如有问题，邦邦 重新起个 issue，谢谢</x18tc:text>
  </x18tc:threadedComment>
  <x18tc:threadedComment ref="H4" dT="2021-03-24T10:14:43.00" personId="{264256c3-bbc9-47ac-9dd7-8d4b1679bb68}" id="{a02ee09f-53e7-4a5e-8ee7-6a44e370e612}" done="1">
    <x18tc:text xml:space="preserve">@liguoa@motorola.com 
@fanlf@motorola.com
@linfenga@motorola.com
@hankai4@motorola.com 
@xiaozh1@motorola.com 
HI 李果
如当面沟通，目前售后1台故障机到我们手里，从分析线索看，D+、D- TVS应该是坏了，然后CPU D+、D- 也都坏了。 因为阻抗都是异常了。 ESD 应该不至于将TVS搞坏，那么大可能是EOS。  1. 请邓玲帮忙安排下tahoe USB D+D-的EOS 测试   ,其他Action TBD</x18tc:text>
    <x18tc:mentions>
      <x18tc:mention mentionpersonId="{466ad751-a4a6-489f-b0f0-680e8e3625fe}" mentionId="{4449845a-4c8c-4ad5-811f-cc9cd09cb40b}" startIndex="0" length="20"/>
      <x18tc:mention mentionpersonId="{89829eb4-0844-4193-86c6-4fc6afe868fc}" mentionId="{4d46cbd5-ff1b-449b-a8f6-b5b5c6669896}" startIndex="22" length="19"/>
      <x18tc:mention mentionpersonId="{6c148249-be48-463d-bf99-d2efef89b01f}" mentionId="{4c474afa-f08b-4d60-9d07-ebe8339a64f4}" startIndex="42" length="22"/>
      <x18tc:mention mentionpersonId="{d702ad81-eb9f-441c-b96d-4f0c49761fea}" mentionId="{c6664621-5c4a-4e4e-a919-fbc5bb5e3128}" startIndex="65" length="21"/>
      <x18tc:mention mentionpersonId="{d3bc4f64-10ef-41fd-9d7c-32349da106cc}" mentionId="{a46b973b-9dcd-4846-a166-3a9a1222e490}" startIndex="88" length="21"/>
    </x18tc:mentions>
  </x18tc:threadedComment>
  <x18tc:threadedComment ref="H4" dT="2021-03-24T10:15:40.00" personId="{264256c3-bbc9-47ac-9dd7-8d4b1679bb68}" id="{508c7964-ef61-4ee5-b417-5a61a2609fa0}" parentId="{a02ee09f-53e7-4a5e-8ee7-6a44e370e612}">
    <x18tc:text xml:space="preserve">HI 果子
小板上的TVS 我拆下来给你帮忙寄给厂家分析下？</x18tc:text>
  </x18tc:threadedComment>
  <x18tc:threadedComment ref="H20" dT="2020-11-11T10:22:44.00" personId="{264256c3-bbc9-47ac-9dd7-8d4b1679bb68}" id="{c9163cc9-820d-40c2-9891-48dcd8ff2f9a}" done="1">
    <x18tc:text xml:space="preserve">@liguoa@motorola.com 
@hankai4@motorola.com 
@@fanlf@motorola.com 
HI  韩凯，李果
我整理了下下午讨论的模拟试验信息，我们可以尝试模拟来判断底部ESD 后不开机可能的原因。 从目前的结果看VBOB 的可能性很小。</x18tc:text>
    <x18tc:mentions>
      <x18tc:mention mentionpersonId="{466ad751-a4a6-489f-b0f0-680e8e3625fe}" mentionId="{ec24876d-9d27-4a8b-b1be-38a504faff57}" startIndex="0" length="20"/>
      <x18tc:mention mentionpersonId="{d702ad81-eb9f-441c-b96d-4f0c49761fea}" mentionId="{a83ca417-9b9d-4287-aada-211bd6918dda}" startIndex="22" length="21"/>
      <x18tc:mention mentionpersonId="{89829eb4-0844-4193-86c6-4fc6afe868fc}" mentionId="{642a4424-d63e-4b3e-a089-2d7953a1ffd6}" startIndex="46" length="19"/>
    </x18tc:mentions>
  </x18tc:threadedComment>
  <x18tc:threadedComment ref="G7" dT="2021-01-15T03:25:54.00" personId="{264256c3-bbc9-47ac-9dd7-8d4b1679bb68}" id="{a6606373-bd54-4bb0-bb26-03f9a3282e5b}" done="1">
    <x18tc:text xml:space="preserve">@wuxm5@motorola.com 
@changfm1@motorola.com 
Hi 学敏，芳梅
这个case，目前为止进展如何？
测试人员反馈，降低电流的版本，有改善。  15%电量不复现。  但是没有尝试更低的。    我们这边呢？</x18tc:text>
    <x18tc:mentions>
      <x18tc:mention mentionpersonId="{200db89f-b2fd-4768-8b3f-704e424e69fc}" mentionId="{31934496-a604-4286-92df-a0181de563a2}" startIndex="0" length="19"/>
      <x18tc:mention mentionpersonId="{9f1abf6f-4b70-4fd0-b4d1-53c68e3022c5}" mentionId="{c08eab5a-2d05-4a26-8fa8-953d11abd466}" startIndex="21" length="22"/>
    </x18tc:mentions>
  </x18tc:threadedComment>
  <x18tc:threadedComment ref="G7" dT="2021-01-19T09:29:16.00" personId="{264256c3-bbc9-47ac-9dd7-8d4b1679bb68}" id="{45a7f6cb-dcce-45ef-8d25-c0cc71db8d67}" parentId="{a6606373-bd54-4bb0-bb26-03f9a3282e5b}">
    <x18tc:text xml:space="preserve">@fanlf@motorola.com 
Hi芳梅
这个case 突出两个问题
1.闪光灯电流2.4A，这个远远超过我们的预期范围。  这个后续和camera team 如何达成一致？  需要考虑下-------芳梅
2. Batfet设定的关闭OCP 是5A。这个是QC默认值，但是其实不太好，后续看下更改为更大的值，比如8A（小于电池最大值*90%？） ---- 学敏</x18tc:text>
    <x18tc:mentions>
      <x18tc:mention mentionpersonId="{89829eb4-0844-4193-86c6-4fc6afe868fc}" mentionId="{0c7d4823-9d9c-4c51-96ea-1ba31e20abaa}" startIndex="0" length="19"/>
    </x18tc:mentions>
  </x18tc:threadedComment>
  <x18tc:threadedComment ref="G7" dT="2021-01-19T09:58:37.00" personId="{577c9a8f-cc82-4e10-8937-2f6f29d8b761}" id="{1f1a5e98-caff-41c5-b7bb-c8be2b8fb056}" parentId="{a6606373-bd54-4bb0-bb26-03f9a3282e5b}">
    <x18tc:text xml:space="preserve">文亭，设计初期KP会和我确认电流最大设置，双l冷灯750+750。KP会把信息传递给camera team, 最大值750+750写进软件。硬件也会然后根据电流，也会去设计Flash的线宽和flash 小板的散热面积。效果调试电流最大电流变更，KP team会通知到。这次是效果调试后期功能增加，突然变更闪光灯电流，且未传递到KP和我。jira 测试例一般会在PVT阶段测闪关灯模式的电流和主闪时间。一次测试并不能监控到各个阶段，我会和生鸿讨论下，流程如何完善，能否防呆。</x18tc:text>
  </x18tc:threadedComment>
  <x18tc:threadedComment ref="H23" dT="2020-10-22T06:41:26.00" personId="{264256c3-bbc9-47ac-9dd7-8d4b1679bb68}" id="{b3464ac7-a66b-4055-a608-a0f53adb8903}" done="1">
    <x18tc:text xml:space="preserve">@wuxm5@motorola.com 
@liguoa@motorola.com 
hi学敏
这个case 放个链接吧，以便记录一些你的分析和判断，谢谢</x18tc:text>
    <x18tc:mentions>
      <x18tc:mention mentionpersonId="{200db89f-b2fd-4768-8b3f-704e424e69fc}" mentionId="{0d236ed7-1173-437d-afc3-ad1a426df38c}" startIndex="0" length="19"/>
      <x18tc:mention mentionpersonId="{466ad751-a4a6-489f-b0f0-680e8e3625fe}" mentionId="{160de6ce-ffd1-4519-a865-ca8b2b23915f}" startIndex="21" length="20"/>
    </x18tc:mentions>
  </x18tc:threadedComment>
  <x18tc:threadedComment ref="H23" dT="2020-11-02T01:52:24.00" personId="{264256c3-bbc9-47ac-9dd7-8d4b1679bb68}" id="{f741d105-a92e-4836-95de-f023eb556546}" parentId="{b3464ac7-a66b-4055-a608-a0f53adb8903}">
    <x18tc:text xml:space="preserve">Hi 李果，学敏
你们看下这个case 及 邮件 沟通下，是否就此close 或者又下一步action</x18tc:text>
  </x18tc:threadedComment>
  <x18tc:threadedComment ref="H23" dT="2020-11-04T07:47:11.00" personId="{264256c3-bbc9-47ac-9dd7-8d4b1679bb68}" id="{52440727-00c0-4ff6-be9b-ad0f39089570}" parentId="{b3464ac7-a66b-4055-a608-a0f53adb8903}">
    <x18tc:text xml:space="preserve">HI 李果，学敏
这个case 邮件没有总结，请看如何结案掉，谢谢</x18tc:text>
  </x18tc:threadedComment>
  <x18tc:threadedComment ref="H23" dT="2020-11-05T06:27:20.00" personId="{707fe07e-9ef9-437f-a53f-1159714f889b}" id="{84bac41b-9416-4c20-9b88-08d89ea56a3a}" parentId="{b3464ac7-a66b-4055-a608-a0f53adb8903}">
    <x18tc:text xml:space="preserve">将修正BSP-target,关闭此case</x18tc:text>
  </x18tc:threadedComment>
  <x18tc:threadedComment ref="H16" dT="2020-09-28T02:48:29.00" personId="{515ecdfa-17a5-45e9-8370-442994ed0931}" id="{6032a5f1-700f-40f0-9848-0bd5a9559ec7}" done="1">
    <x18tc:text xml:space="preserve">@xiaozh1@motorola.com 
Please attach link here.
分配给了xiaozh1@motorola.com</x18tc:text>
    <x18tc:mentions>
      <x18tc:mention mentionpersonId="{d3bc4f64-10ef-41fd-9d7c-32349da106cc}" mentionId="{fc0d24cc-f1d3-4c04-bdb7-26f078698c0a}" startIndex="0" length="21"/>
    </x18tc:mentions>
  </x18tc:threadedComment>
  <x18tc:threadedComment ref="H16" dT="2020-11-02T01:51:18.00" personId="{264256c3-bbc9-47ac-9dd7-8d4b1679bb68}" id="{b28b25bf-97f3-4d29-980d-4e8b27d609b6}" parentId="{6032a5f1-700f-40f0-9848-0bd5a9559ec7}">
    <x18tc:text xml:space="preserve">HI  志浩
这个issue reopen ，请更新下 最新状态吧，看是否重新放一页 DVT1的状态 以及 几种方案。</x18tc:text>
  </x18tc:threadedComment>
  <x18tc:threadedComment ref="H16" dT="2020-11-02T03:04:40.00" personId="{264256c3-bbc9-47ac-9dd7-8d4b1679bb68}" id="{3aeadc61-d18f-4c8e-a19b-a0a05e4794b2}" parentId="{6032a5f1-700f-40f0-9848-0bd5a9559ec7}">
    <x18tc:text xml:space="preserve">Hi 志浩
如沟通，目前对这个case ，有一个更好的方案，基本会导入到风采版本里面。  要更改主板和主FPC。   请summary下case。  如果要更改，建议至少周三就要启动更改。谢谢。   6号主FPC风采，9号主板风采</x18tc:text>
  </x18tc:threadedComment>
  <x18tc:threadedComment ref="I25" dT="2020-09-29T03:10:37.00" personId="{264256c3-bbc9-47ac-9dd7-8d4b1679bb68}" id="{d953dc15-bd96-4cca-af2e-ecff5177696d}" done="1">
    <x18tc:text xml:space="preserve">@liguoa@motorola.com 
@fanlf@motorola.com Hi 李果
请更新这个case，谢谢</x18tc:text>
    <x18tc:mentions>
      <x18tc:mention mentionpersonId="{466ad751-a4a6-489f-b0f0-680e8e3625fe}" mentionId="{d7e6dd70-9d02-40e3-b8cf-c169934b88f5}" startIndex="0" length="20"/>
      <x18tc:mention mentionpersonId="{89829eb4-0844-4193-86c6-4fc6afe868fc}" mentionId="{0c22b2af-097a-4928-89c4-ad15ad5bec0b}" startIndex="22" length="19"/>
    </x18tc:mentions>
  </x18tc:threadedComment>
</x18tc:ThreadedComments>
</file>

<file path=xl/threadedComments/threadedComment2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60" dT="2017-11-17T02:41:44.00" personId="{264256c3-bbc9-47ac-9dd7-8d4b1679bb68}" id="{86bd4a21-83ef-4da7-a3f9-5b5e53b4438c}" done="1">
    <x18tc:text xml:space="preserve">@linfenga@motorola.com 
hi 林峰
请更新下这个case的进展</x18tc:text>
    <x18tc:mentions>
      <x18tc:mention mentionpersonId="{6c148249-be48-463d-bf99-d2efef89b01f}" mentionId="{c78338a2-968f-4c2a-bbfa-75bf44316cf4}" startIndex="0" length="22"/>
    </x18tc:mentions>
  </x18tc:threadedComment>
  <x18tc:threadedComment ref="I60" dT="2017-11-24T09:58:07.00" personId="{264256c3-bbc9-47ac-9dd7-8d4b1679bb68}" id="{9faec495-cc2a-4455-b4c1-00cc57ce50f0}" parentId="{86bd4a21-83ef-4da7-a3f9-5b5e53b4438c}">
    <x18tc:text xml:space="preserve">这个case 结论是?是否可以关闭，或者monitor？</x18tc:text>
  </x18tc:threadedComment>
  <x18tc:threadedComment ref="I60" dT="2017-11-27T02:23:33.00" personId="{861507d4-5da4-4a89-b3c0-95a0157954d9}" id="{644d0952-c791-4e91-90a1-789fa7938c5e}" parentId="{86bd4a21-83ef-4da7-a3f9-5b5e53b4438c}">
    <x18tc:text xml:space="preserve">和邓玲确认了，可以关闭了； 手机充满电之后就不影响ALT测试了~</x18tc:text>
  </x18tc:threadedComment>
  <x18tc:threadedComment ref="I61" dT="2017-11-17T02:41:07.00" personId="{264256c3-bbc9-47ac-9dd7-8d4b1679bb68}" id="{649e06b7-4ba2-4a55-aa3e-8cc0e426107d}" done="1">
    <x18tc:text xml:space="preserve">@changfm1@motorola.com 
请更新这个case 的进展，应该可以close了</x18tc:text>
    <x18tc:mentions>
      <x18tc:mention mentionpersonId="{9f1abf6f-4b70-4fd0-b4d1-53c68e3022c5}" mentionId="{e1700bbf-ec33-4932-8b06-bdbb71c27c3a}" startIndex="0" length="22"/>
    </x18tc:mentions>
  </x18tc:threadedComment>
  <x18tc:threadedComment ref="I61" dT="2017-11-20T03:51:47.00" personId="{577c9a8f-cc82-4e10-8937-2f6f29d8b761}" id="{4d9cb9d1-ea24-4a49-86af-a8e6e684ad91}" parentId="{649e06b7-4ba2-4a55-aa3e-8cc0e426107d}">
    <x18tc:text xml:space="preserve">更新了，并Close</x18tc:text>
  </x18tc:threadedComment>
  <x18tc:threadedComment ref="I62" dT="2017-11-17T02:39:48.00" personId="{264256c3-bbc9-47ac-9dd7-8d4b1679bb68}" id="{eefbcf27-2cf5-4428-abfd-71e2c4df3bef}" done="1">
    <x18tc:text xml:space="preserve">@xiaozh1@motorola.com 
HI 志浩
耳机插入瞬间的噪声问题，请更新下进展</x18tc:text>
    <x18tc:mentions>
      <x18tc:mention mentionpersonId="{d3bc4f64-10ef-41fd-9d7c-32349da106cc}" mentionId="{0b8474da-d1ec-4b4e-a9ee-8744c3b1127f}" startIndex="0" length="21"/>
    </x18tc:mentions>
  </x18tc:threadedComment>
  <x18tc:threadedComment ref="I26" dT="2018-01-18T07:59:52.00" personId="{515ecdfa-17a5-45e9-8370-442994ed0931}" id="{d705723f-1b43-42c3-b359-fa48b120f206}" done="1">
    <x18tc:text xml:space="preserve">@liguoa@motorola.com 
please raise a doc.
分配给了liguoa@motorola.com</x18tc:text>
    <x18tc:mentions>
      <x18tc:mention mentionpersonId="{466ad751-a4a6-489f-b0f0-680e8e3625fe}" mentionId="{7f739e9d-3cd0-4966-a262-16f6c19d17db}" startIndex="0" length="20"/>
    </x18tc:mentions>
  </x18tc:threadedComment>
  <x18tc:threadedComment ref="I79" dT="2017-07-03T10:07:53.00" personId="{264256c3-bbc9-47ac-9dd7-8d4b1679bb68}" id="{8068c0ad-5b46-4f7f-be40-cca5f1f9cac5}" done="1">
    <x18tc:text xml:space="preserve">@chenw24@motorola.com 
@xiaozh1@motorola.com 
@fanlf@motorola.com 
Hi 陈威
目前 TypeC USB3.0 正反插的控制通过PM660的CC_OUT进行控制，但这个是否是正确的控制逻辑，请从整条USB3.0链路进行确认。 其他相关，比如USB2.0，耳机 的正反插切换逻辑，也请确认 重要！！
分配给了</x18tc:text>
    <x18tc:mentions>
      <x18tc:mention mentionpersonId="{a04b8025-a96c-4e81-a99d-9d3df5d81c51}" mentionId="{8b92ce70-fc35-4a28-9c79-4ea612a74255}" startIndex="0" length="21"/>
      <x18tc:mention mentionpersonId="{d3bc4f64-10ef-41fd-9d7c-32349da106cc}" mentionId="{24646b9c-08e3-4c4d-8dfe-9ff93b461a9f}" startIndex="23" length="21"/>
      <x18tc:mention mentionpersonId="{89829eb4-0844-4193-86c6-4fc6afe868fc}" mentionId="{7b7ff612-ba17-48aa-a11e-29ac2d13b308}" startIndex="46" length="19"/>
    </x18tc:mentions>
  </x18tc:threadedComment>
  <x18tc:threadedComment ref="I81" dT="2017-06-20T10:26:26.00" personId="{264256c3-bbc9-47ac-9dd7-8d4b1679bb68}" id="{cbdf52b1-5896-4ddc-ba14-ed16775770b0}" done="1">
    <x18tc:text xml:space="preserve">@xiaozh1@motorola.com 
@fanlf@motorola.com 
志浩
请和马超核对具体选择细节，特别关注两个方面：真正充电速度（含温升后）+ 对整机的温升硬性
分配给了xiaozh1@motorola.com</x18tc:text>
    <x18tc:mentions>
      <x18tc:mention mentionpersonId="{d3bc4f64-10ef-41fd-9d7c-32349da106cc}" mentionId="{50c604f4-03e8-4552-b4d6-7c833c86aca8}" startIndex="0" length="21"/>
      <x18tc:mention mentionpersonId="{89829eb4-0844-4193-86c6-4fc6afe868fc}" mentionId="{08eb275a-9bb7-4ca0-8ba6-7b032c907545}" startIndex="23" length="19"/>
    </x18tc:mentions>
  </x18tc:threadedComment>
  <x18tc:threadedComment ref="I81" dT="2017-06-21T09:40:53.00" personId="{264256c3-bbc9-47ac-9dd7-8d4b1679bb68}" id="{4cb52a6c-a7ac-466e-bfde-fe8b226958b8}" parentId="{cbdf52b1-5896-4ddc-ba14-ed16775770b0}">
    <x18tc:text xml:space="preserve">@linfenga@motorola.com</x18tc:text>
    <x18tc:mentions>
      <x18tc:mention mentionpersonId="{6c148249-be48-463d-bf99-d2efef89b01f}" mentionId="{97f2867d-3862-426b-b110-0ce5e37d96d9}" startIndex="0" length="22"/>
    </x18tc:mentions>
  </x18tc:threadedComment>
  <x18tc:threadedComment ref="G50" dT="2017-12-12T02:56:03.00" personId="{515ecdfa-17a5-45e9-8370-442994ed0931}" id="{f2199fd9-cb16-417c-9280-c1a9df3e10df}" done="1">
    <x18tc:text xml:space="preserve">@linfenga@motorola.com 
Please see my comment
分配给了linfenga@motorola.com</x18tc:text>
    <x18tc:mentions>
      <x18tc:mention mentionpersonId="{6c148249-be48-463d-bf99-d2efef89b01f}" mentionId="{d4e8579d-fd62-42e9-90be-ab01f0e61117}" startIndex="0" length="22"/>
    </x18tc:mentions>
  </x18tc:threadedComment>
  <x18tc:threadedComment ref="L2" dT="2019-04-28T09:33:01.00" personId="{515ecdfa-17a5-45e9-8370-442994ed0931}" id="{e676f6f9-f949-47ec-a1bc-7289ecb02879}" done="1">
    <x18tc:text xml:space="preserve">@chenwt@motorola.com 
帮忙补充Change的值，可以不用挂链接.
分配给了chenwt@motorola.com</x18tc:text>
    <x18tc:mentions>
      <x18tc:mention mentionpersonId="{bdd1ce91-40c2-41d8-8897-275c11d3b7d8}" mentionId="{0cb1c92f-e4c7-4656-8df0-0c2dd82c0ee4}" startIndex="0" length="20"/>
    </x18tc:mentions>
  </x18tc:threadedComment>
  <x18tc:threadedComment ref="L2" dT="2019-04-28T09:51:01.00" personId="{264256c3-bbc9-47ac-9dd7-8d4b1679bb68}" id="{1497ddfb-3fbc-4489-b83a-913fb063e2dd}" parentId="{e676f6f9-f949-47ec-a1bc-7289ecb02879}">
    <x18tc:text xml:space="preserve">没明白change的 值是什么意思</x18tc:text>
  </x18tc:threadedComment>
  <x18tc:threadedComment ref="G71" dT="2017-06-16T07:41:53.00" personId="{264256c3-bbc9-47ac-9dd7-8d4b1679bb68}" id="{f1b848e6-1eac-405f-9434-636c65cfcf91}" done="1">
    <x18tc:text xml:space="preserve">@xiongsn1@motorola.com 
@yangwla@motorola.com 
@fanlf@motorola.com
@wuxm5@motorola.com 
HI 小熊
shelby 目前天线提出需要上端和下端都可以检测SAR。 SAR cap sensor 目前是有3个通道，目前chicago team 设计是三个通道都用上。但是按照之前的设计，检测的FPC（天线）和sensor 之间距离不宜过远，那么如何设计？
分配给了xiongsn1@motorola.com</x18tc:text>
    <x18tc:mentions>
      <x18tc:mention mentionpersonId="{29c1a8e0-e66d-4172-98d4-3780dccea77b}" mentionId="{dfff6028-2450-43da-9292-b3d4450edf73}" startIndex="0" length="22"/>
      <x18tc:mention mentionpersonId="{bfab316f-3c6f-495a-954b-98c3299c9c97}" mentionId="{712bc76e-8e62-410a-bd33-e48f0bd0eb68}" startIndex="24" length="21"/>
      <x18tc:mention mentionpersonId="{89829eb4-0844-4193-86c6-4fc6afe868fc}" mentionId="{2155b61a-21eb-43e2-8cba-ff48354978cd}" startIndex="47" length="19"/>
      <x18tc:mention mentionpersonId="{200db89f-b2fd-4768-8b3f-704e424e69fc}" mentionId="{1437abe7-8498-4561-a0d0-24d9608eb9a6}" startIndex="67" length="19"/>
    </x18tc:mentions>
  </x18tc:threadedComment>
  <x18tc:threadedComment ref="G71" dT="2017-06-27T06:11:37.00" personId="{264256c3-bbc9-47ac-9dd7-8d4b1679bb68}" id="{2e65f2bb-0c7b-4343-a42f-1f597ee95c60}" parentId="{f1b848e6-1eac-405f-9434-636c65cfcf91}">
    <x18tc:text xml:space="preserve">HI 小熊，文亮
如沟通，天线更新信息：上端不需要cap sensor ，只要满足下方三个天线都要检测，所以评估1个IC 驱动三个下方天线的方案，谢谢</x18tc:text>
  </x18tc:threadedComment>
  <x18tc:threadedComment ref="G71" dT="2017-06-27T06:30:18.00" personId="{bd64dc66-6b89-428c-92a4-0e252df79ace}" id="{1cdd77fd-f44f-4edb-8601-2f68361906fc}" parentId="{f1b848e6-1eac-405f-9434-636c65cfcf91}">
    <x18tc:text xml:space="preserve">文亮reply：Semtech过来交流提供的最新Capsensor (SX9325)，可以满足3通道的要求。按照上次讨论的方案，可以满足一个驱动IC提供三个通道的要求。所以，我们还是按照上次的方案往前走</x18tc:text>
  </x18tc:threadedComment>
  <x18tc:threadedComment ref="G71" dT="2017-08-29T06:27:18.00" personId="{bd64dc66-6b89-428c-92a4-0e252df79ace}" id="{000d0fe6-3b19-4d5f-b55d-1feaff0514f2}" parentId="{f1b848e6-1eac-405f-9434-636c65cfcf91}">
    <x18tc:text xml:space="preserve">Semtech仅3通道，无法满足shelby需求，SME建议更改为Cypress的多通道方案</x18tc:text>
  </x18tc:threadedComment>
  <x18tc:threadedComment ref="I42" dT="2017-06-21T09:40:12.00" personId="{264256c3-bbc9-47ac-9dd7-8d4b1679bb68}" id="{48305f72-36ad-49e8-8824-d361f54eadca}" done="1">
    <x18tc:text xml:space="preserve">@chenw24@motorola.com 
@fanlf@motorola.com 
Hi 陈威
请整理一下SD卡的Risk具体数据，并考虑下应对方案。把链接放上来
谢谢
分配给了</x18tc:text>
    <x18tc:mentions>
      <x18tc:mention mentionpersonId="{a04b8025-a96c-4e81-a99d-9d3df5d81c51}" mentionId="{e8e08173-3e61-4346-9576-8b32c05587b9}" startIndex="0" length="21"/>
      <x18tc:mention mentionpersonId="{89829eb4-0844-4193-86c6-4fc6afe868fc}" mentionId="{80570834-dd0c-4ccc-a87f-ea586319703a}" startIndex="23" length="19"/>
    </x18tc:mentions>
  </x18tc:threadedComment>
  <x18tc:threadedComment ref="I42" dT="2017-06-26T09:06:47.00" personId="{264256c3-bbc9-47ac-9dd7-8d4b1679bb68}" id="{507e189f-5860-4438-8c01-ab32fb680795}" parentId="{48305f72-36ad-49e8-8824-d361f54eadca}">
    <x18tc:text xml:space="preserve">HI  陈威，有什么更新吗？</x18tc:text>
  </x18tc:threadedComment>
  <x18tc:threadedComment ref="I42" dT="2017-06-26T09:30:28.00" personId="{9a5f9c6f-8403-4392-aa6a-8362575a7a0a}" id="{e4824120-c4f9-49cb-93dd-be422d426999}" parentId="{48305f72-36ad-49e8-8824-d361f54eadca}">
    <x18tc:text xml:space="preserve">已经更新啦。ppt里。</x18tc:text>
  </x18tc:threadedComment>
  <x18tc:threadedComment ref="I42" dT="2017-06-26T10:35:26.00" personId="{515ecdfa-17a5-45e9-8370-442994ed0931}" id="{a0f5d64b-991c-41d4-adfb-cad003b36eba}" parentId="{48305f72-36ad-49e8-8824-d361f54eadca}">
    <x18tc:text xml:space="preserve">应对方案是什么？</x18tc:text>
  </x18tc:threadedComment>
  <x18tc:threadedComment ref="I42" dT="2017-06-27T02:14:55.00" personId="{9a5f9c6f-8403-4392-aa6a-8362575a7a0a}" id="{52b6273c-1822-4398-86a3-f59df3d39fe9}" parentId="{48305f72-36ad-49e8-8824-d361f54eadca}">
    <x18tc:text xml:space="preserve">1、屏蔽保护好相关的信号线，2、严格按照要求保持信号线宽。等长，阻抗连续性等。我目前也只能想到这些。因为他这个线长限制是根据时延计算出来的，而时延本身就是和线长强相关，可以看下志浩有没什么高招，或者提交一个case给高通。</x18tc:text>
  </x18tc:threadedComment>
  <x18tc:threadedComment ref="I42" dT="2017-11-06T03:20:31.00" personId="{515ecdfa-17a5-45e9-8370-442994ed0931}" id="{977b8f3e-d182-4cdd-a8f2-b0beb8844306}" parentId="{48305f72-36ad-49e8-8824-d361f54eadca}">
    <x18tc:text xml:space="preserve">@chenw24@motorola.com 
What‘s the latest status？’</x18tc:text>
    <x18tc:mentions>
      <x18tc:mention mentionpersonId="{a04b8025-a96c-4e81-a99d-9d3df5d81c51}" mentionId="{5c8b6818-e745-4afd-a12d-f3a1a70b9489}" startIndex="0" length="21"/>
    </x18tc:mentions>
  </x18tc:threadedComment>
  <x18tc:threadedComment ref="I42" dT="2017-11-06T05:54:47.00" personId="{9a5f9c6f-8403-4392-aa6a-8362575a7a0a}" id="{19609569-d339-4fc2-8655-8ccf3300b00a}" parentId="{48305f72-36ad-49e8-8824-d361f54eadca}">
    <x18tc:text xml:space="preserve">EVT测试，识别读写没问题，但是性能没有测试，因为系统不稳定，很多功能没有完善。软件建议后推。信号测试因为EVT2板对信号走线又做了优化，机器到了后再做相关信号及性能测试。</x18tc:text>
  </x18tc:threadedComment>
  <x18tc:threadedComment ref="I42" dT="2017-11-16T07:24:54.00" personId="{9a5f9c6f-8403-4392-aa6a-8362575a7a0a}" id="{b6429775-2844-4d19-8007-0f7c09369956}" parentId="{48305f72-36ad-49e8-8824-d361f54eadca}">
    <x18tc:text xml:space="preserve">目前测试了EVT2的机器，基带一张64G T卡读写ok（时钟运行在200M）（log显示偶尔报错），软件的一张64G T卡读写出现错误（时钟运行在100M），无法完成手机--T卡的拷贝。看log显示数据传输错误，报错很多。（houdini以及eagle拷贝正常）。目前需要测试下这张卡的信号以及对比其他手机信号，需要看下是否还能有什么改善措施。</x18tc:text>
  </x18tc:threadedComment>
  <x18tc:threadedComment ref="I42" dT="2017-11-20T06:29:50.00" personId="{9a5f9c6f-8403-4392-aa6a-8362575a7a0a}" id="{fad6d1a0-c3a9-42b1-a0bb-3150e1bd1f21}" parentId="{48305f72-36ad-49e8-8824-d361f54eadca}">
    <x18tc:text xml:space="preserve">测试更新：对于100M的高速卡，houdini实际是跑在50M。 而对于200M的卡，主要是上升沿以及下降沿时间有稍微超标。其他spec in</x18tc:text>
  </x18tc:threadedComment>
  <x18tc:threadedComment ref="I42" dT="2017-11-20T06:29:59.00" personId="{9a5f9c6f-8403-4392-aa6a-8362575a7a0a}" id="{cb0bb3e9-b68b-4134-bff9-ec601265490e}" parentId="{48305f72-36ad-49e8-8824-d361f54eadca}">
    <x18tc:text xml:space="preserve">https://drive.google.com/drive/folders/1vP-TmbHOgnEhaSvwPYIrUEd2m8nhV43Q</x18tc:text>
    <x18tc:extLst>
      <ext uri="{F7C98A9C-CBB3-438F-8F68-D28B6AF4A901}">
        <xltc2:checksum/>
        <xltc2:hyperlink startIndex="0" length="72" url="https://drive.google.com/drive/folders/1vP-TmbHOgnEhaSvwPYIrUEd2m8nhV43Q"/>
      </ext>
    </x18tc:extLst>
  </x18tc:threadedComment>
  <x18tc:threadedComment ref="I42" dT="2017-12-12T02:57:18.00" personId="{515ecdfa-17a5-45e9-8370-442994ed0931}" id="{51aa0b72-2d7b-4fee-b963-3b5d4b010886}" parentId="{48305f72-36ad-49e8-8824-d361f54eadca}">
    <x18tc:text xml:space="preserve">@chenw24@motorola.com 
调整33R到10R或0R的变化是否有影响？</x18tc:text>
    <x18tc:mentions>
      <x18tc:mention mentionpersonId="{a04b8025-a96c-4e81-a99d-9d3df5d81c51}" mentionId="{bc974ac5-7422-4426-87a2-82523f9ba445}" startIndex="0" length="21"/>
    </x18tc:mentions>
  </x18tc:threadedComment>
  <x18tc:threadedComment ref="I42" dT="2017-12-12T05:48:56.00" personId="{9a5f9c6f-8403-4392-aa6a-8362575a7a0a}" id="{790ac689-05bc-4c51-b94c-79250ca9147a}" parentId="{48305f72-36ad-49e8-8824-d361f54eadca}">
    <x18tc:text xml:space="preserve">调整到10R,sd卡端，上升下降时间有优化，cpu端波形变差，我把数据整理下更新到ppt上。</x18tc:text>
  </x18tc:threadedComment>
  <x18tc:threadedComment ref="I42" dT="2017-12-12T08:38:47.00" personId="{9a5f9c6f-8403-4392-aa6a-8362575a7a0a}" id="{0b12cfee-a68b-4edb-8f42-e523df647ac7}" parentId="{48305f72-36ad-49e8-8824-d361f54eadca}">
    <x18tc:text xml:space="preserve">https://drive.google.com/drive/folders/1vP-TmbHOgnEhaSvwPYIrUEd2m8nhV43Q 已更新</x18tc:text>
    <x18tc:extLst>
      <ext uri="{F7C98A9C-CBB3-438F-8F68-D28B6AF4A901}">
        <xltc2:checksum/>
        <xltc2:hyperlink startIndex="0" length="72" url="https://drive.google.com/drive/folders/1vP-TmbHOgnEhaSvwPYIrUEd2m8nhV43Q"/>
      </ext>
    </x18tc:extLst>
  </x18tc:threadedComment>
  <x18tc:threadedComment ref="I75" dT="2017-06-21T01:49:22.00" personId="{264256c3-bbc9-47ac-9dd7-8d4b1679bb68}" id="{2b47dedd-64f4-4ec6-93d7-3f17650b248b}" done="1">
    <x18tc:text xml:space="preserve">@linfenga@motorola.com 
@fanlf@motorola.com 
@xiaozh1@motorola.com 
Hi linfeng
请开一个PPT 整理shelby 的thermal Risk 或者明确是Issue的case. 我们提上项目堆叠issue S1（从目前看应该是S1）
分配给了linfenga@motorola.com</x18tc:text>
    <x18tc:mentions>
      <x18tc:mention mentionpersonId="{6c148249-be48-463d-bf99-d2efef89b01f}" mentionId="{7c3a5e52-41b2-4987-959c-728aaef1fd2a}" startIndex="0" length="22"/>
      <x18tc:mention mentionpersonId="{89829eb4-0844-4193-86c6-4fc6afe868fc}" mentionId="{0a727144-15c1-436b-b9c6-7889cd934d6c}" startIndex="24" length="19"/>
      <x18tc:mention mentionpersonId="{d3bc4f64-10ef-41fd-9d7c-32349da106cc}" mentionId="{f09793a9-9809-4535-baba-0b0b58fca3d6}" startIndex="45" length="21"/>
    </x18tc:mentions>
  </x18tc:threadedComment>
  <x18tc:threadedComment ref="I36" dT="2018-01-25T00:41:21.00" personId="{264256c3-bbc9-47ac-9dd7-8d4b1679bb68}" id="{2410d91d-b2c1-47df-a81a-da3ca4891dbb}" done="1">
    <x18tc:text xml:space="preserve">@liguoa@motorola.com 
@yangwla@motorola.com 
@fanlf@motorola.com 
@chenbang3@lenovo.com 
Hi 李果
这台机器分析结果如何？后续action？</x18tc:text>
    <x18tc:mentions>
      <x18tc:mention mentionpersonId="{466ad751-a4a6-489f-b0f0-680e8e3625fe}" mentionId="{dbbb4605-dad6-494d-bc33-60ff43bc10a2}" startIndex="0" length="20"/>
      <x18tc:mention mentionpersonId="{bfab316f-3c6f-495a-954b-98c3299c9c97}" mentionId="{daac7193-99ce-49de-9fa0-d017bc8c4f5c}" startIndex="22" length="21"/>
      <x18tc:mention mentionpersonId="{89829eb4-0844-4193-86c6-4fc6afe868fc}" mentionId="{a7c8c25b-b5c1-4604-b651-d22437cfaefa}" startIndex="45" length="19"/>
      <x18tc:mention mentionpersonId="{a73e225a-9f48-4c0d-89aa-211a06247db9}" mentionId="{71deb44d-678b-4638-a327-68495a3503f0}" startIndex="66" length="21"/>
    </x18tc:mentions>
  </x18tc:threadedComment>
  <x18tc:threadedComment ref="I67" dT="2017-11-06T03:21:35.00" personId="{515ecdfa-17a5-45e9-8370-442994ed0931}" id="{2f3123d8-ccfa-4265-886c-2a53be16ee5d}" done="1">
    <x18tc:text xml:space="preserve">@liguoa@motorola.com 
please update the latest status.</x18tc:text>
    <x18tc:mentions>
      <x18tc:mention mentionpersonId="{466ad751-a4a6-489f-b0f0-680e8e3625fe}" mentionId="{867837e9-a08f-4510-b2ed-21e8e445ee5a}" startIndex="0" length="20"/>
    </x18tc:mentions>
  </x18tc:threadedComment>
  <x18tc:threadedComment ref="I67" dT="2017-11-06T05:50:30.00" personId="{707fe07e-9ef9-437f-a53f-1159714f889b}" id="{7016ea85-73f7-48aa-b24a-45d0054fb995}" parentId="{2f3123d8-ccfa-4265-886c-2a53be16ee5d}">
    <x18tc:text xml:space="preserve">No update, EVT2 will update</x18tc:text>
  </x18tc:threadedComment>
  <x18tc:threadedComment ref="H32" dT="2018-01-15T02:54:00.00" personId="{515ecdfa-17a5-45e9-8370-442994ed0931}" id="{3224fe55-68c6-46a8-8544-7a94b05a3f90}" done="1">
    <x18tc:text xml:space="preserve">@liguoa@motorola.com 
Please initial a Doc.and update timely.
分配给了liguoa@motorola.com</x18tc:text>
    <x18tc:mentions>
      <x18tc:mention mentionpersonId="{466ad751-a4a6-489f-b0f0-680e8e3625fe}" mentionId="{7f3fd215-2b89-4883-9c70-2d62793f3681}" startIndex="0" length="20"/>
    </x18tc:mentions>
  </x18tc:threadedComment>
  <x18tc:threadedComment ref="H32" dT="2018-01-15T09:07:51.00" personId="{707fe07e-9ef9-437f-a53f-1159714f889b}" id="{c3ed8226-e223-4675-90d7-328ad0914680}" parentId="{3224fe55-68c6-46a8-8544-7a94b05a3f90}">
    <x18tc:text xml:space="preserve">done</x18tc:text>
  </x18tc:threadedComment>
  <x18tc:threadedComment ref="I72" dT="2017-07-25T09:02:37.00" personId="{264256c3-bbc9-47ac-9dd7-8d4b1679bb68}" id="{d10f2f4f-ee6e-4e22-b8b9-12eb806f4736}" done="1">
    <x18tc:text xml:space="preserve">@yangwla@motorola.com 
@xiaozh1@motorola.com 
Hi 文亮
请确认下shelby 的OVP设计，在充电更改之后</x18tc:text>
    <x18tc:mentions>
      <x18tc:mention mentionpersonId="{bfab316f-3c6f-495a-954b-98c3299c9c97}" mentionId="{f6fd4b83-f2ae-438d-bb66-8358af4d72d5}" startIndex="0" length="21"/>
      <x18tc:mention mentionpersonId="{d3bc4f64-10ef-41fd-9d7c-32349da106cc}" mentionId="{3e38e30f-7753-4887-acb0-22d83a69f3da}" startIndex="23" length="21"/>
    </x18tc:mentions>
  </x18tc:threadedComment>
  <x18tc:threadedComment ref="G29" dT="2018-02-26T08:57:43.00" personId="{515ecdfa-17a5-45e9-8370-442994ed0931}" id="{8402dc4e-ed1b-40bf-a612-b7251b32626a}" done="1">
    <x18tc:text xml:space="preserve">@linfenga@motorola.com 
Please update the latest status of thermal
分配给了linfenga@motorola.com</x18tc:text>
    <x18tc:mentions>
      <x18tc:mention mentionpersonId="{6c148249-be48-463d-bf99-d2efef89b01f}" mentionId="{ca34a668-fd1c-4548-b758-899b907f914a}" startIndex="0" length="22"/>
    </x18tc:mentions>
  </x18tc:threadedComment>
  <x18tc:threadedComment ref="G26" dT="2018-02-23T02:10:12.00" personId="{5d445140-7d74-481e-b6ce-e9a82a2ecf79}" id="{0f4c363e-6584-4279-9a92-2d083d7b4f5b}" done="1">
    <x18tc:text xml:space="preserve">this issue should be closed since the Hassel mod can work in DVT2B within OPW28.32 and later version.
@fanlf@motorola.com</x18tc:text>
    <x18tc:mentions>
      <x18tc:mention mentionpersonId="{89829eb4-0844-4193-86c6-4fc6afe868fc}" mentionId="{7d92e185-1e24-4552-bc13-5029e3f6335c}" startIndex="102" length="19"/>
    </x18tc:mentions>
  </x18tc:threadedComment>
  <x18tc:threadedComment ref="I8" dT="2018-04-14T03:05:13.00" personId="{264256c3-bbc9-47ac-9dd7-8d4b1679bb68}" id="{a3cfc22f-fe63-4af0-880a-6bb16e6e2c13}" done="1">
    <x18tc:text xml:space="preserve">@xiongsn1@motorola.com 
@yangwla@motorola.com 
@fanlf@motorola.com 
HI xiong 
请更新该case，请先创建个文档链接
ME ALT分析链接我加了一列放上来了</x18tc:text>
    <x18tc:mentions>
      <x18tc:mention mentionpersonId="{29c1a8e0-e66d-4172-98d4-3780dccea77b}" mentionId="{5c4f847f-51f1-4f3a-a236-175dbc55a3a1}" startIndex="0" length="22"/>
      <x18tc:mention mentionpersonId="{bfab316f-3c6f-495a-954b-98c3299c9c97}" mentionId="{6cf5f43c-fb5c-4e73-b20e-592bcf90d91b}" startIndex="24" length="21"/>
      <x18tc:mention mentionpersonId="{89829eb4-0844-4193-86c6-4fc6afe868fc}" mentionId="{378323f8-8201-4ce0-9280-b2101cd79b02}" startIndex="47" length="19"/>
    </x18tc:mentions>
  </x18tc:threadedComment>
  <x18tc:threadedComment ref="I8" dT="2018-07-16T03:34:55.00" personId="{515ecdfa-17a5-45e9-8370-442994ed0931}" id="{f500865b-e4e2-4609-b5e6-63252475278f}" parentId="{a3cfc22f-fe63-4af0-880a-6bb16e6e2c13}">
    <x18tc:text xml:space="preserve">熊，注意回应一些文档的Comment</x18tc:text>
  </x18tc:threadedComment>
  <x18tc:threadedComment ref="I58" dT="2017-11-13T02:03:36.00" personId="{515ecdfa-17a5-45e9-8370-442994ed0931}" id="{3ef21c9a-e649-46d4-b930-d32dcf17db14}" done="1">
    <x18tc:text xml:space="preserve">@chenwt@motorola.com 
@linfenga@motorola.com 
Two Issues on ALT.</x18tc:text>
    <x18tc:mentions>
      <x18tc:mention mentionpersonId="{bdd1ce91-40c2-41d8-8897-275c11d3b7d8}" mentionId="{40093f71-48e1-42d9-b7e7-d5364719a5df}" startIndex="0" length="20"/>
      <x18tc:mention mentionpersonId="{6c148249-be48-463d-bf99-d2efef89b01f}" mentionId="{b4b58e5a-e436-4078-bb20-c627e3827cba}" startIndex="22" length="22"/>
    </x18tc:mentions>
  </x18tc:threadedComment>
  <x18tc:threadedComment ref="I37" dT="2018-01-09T12:03:26.00" personId="{264256c3-bbc9-47ac-9dd7-8d4b1679bb68}" id="{254f449d-c5a8-47f9-81b3-236afb3b581c}" done="1">
    <x18tc:text xml:space="preserve">@wangxhl@motorola.com 
@chenbang3@lenovo.com
@weiweij@motorola.com 
HI 仙华
可以帮忙share下目前这个case 的情况 （比如不良率情况）</x18tc:text>
    <x18tc:mentions>
      <x18tc:mention mentionpersonId="{75d4b9e0-6c37-4fd7-975d-3ced5f37b66a}" mentionId="{0a9d0ffd-b60f-4aff-9d48-b6a2bbb86e1c}" startIndex="0" length="21"/>
      <x18tc:mention mentionpersonId="{a73e225a-9f48-4c0d-89aa-211a06247db9}" mentionId="{019eac53-00e9-4363-bd58-7dc31711f437}" startIndex="23" length="21"/>
      <x18tc:mention mentionpersonId="{76e0e797-6687-462a-8567-9676a8603ee0}" mentionId="{71424efe-9cf3-4e37-a652-1337aaa3dc7e}" startIndex="45" length="21"/>
    </x18tc:mentions>
  </x18tc:threadedComment>
  <x18tc:threadedComment ref="I37" dT="2018-01-22T01:24:48.00" personId="{515ecdfa-17a5-45e9-8370-442994ed0931}" id="{6a1ae6e3-a774-4215-9451-66f41ea89e29}" parentId="{254f449d-c5a8-47f9-81b3-236afb3b581c}">
    <x18tc:text xml:space="preserve">@chenbang3@lenovo.com 
Is it a real issue or not? SW Solving?</x18tc:text>
    <x18tc:mentions>
      <x18tc:mention mentionpersonId="{a73e225a-9f48-4c0d-89aa-211a06247db9}" mentionId="{e0d93570-1a7f-4385-8993-aee860947d54}" startIndex="0" length="21"/>
    </x18tc:mentions>
  </x18tc:threadedComment>
  <x18tc:threadedComment ref="G85" dT="2017-06-16T03:26:02.00" personId="{264256c3-bbc9-47ac-9dd7-8d4b1679bb68}" id="{bbf6513c-6080-4a1c-b1a7-70267024495a}" done="1">
    <x18tc:text xml:space="preserve">@xiaozh1@motorola.com 
@liguoa@motorola.com 
@chenw24@motorola.com 
@fanlf@motorola.com 
Hi 志浩 
请关注 Typec 做耳机接口的设计中，FM如何实现。早上李果问 赵高星，答复660没有这种参考设计，845也相关设计，待更新信息。
分配给了xiaozh1@motorola.com</x18tc:text>
    <x18tc:mentions>
      <x18tc:mention mentionpersonId="{d3bc4f64-10ef-41fd-9d7c-32349da106cc}" mentionId="{458532dc-52d9-432a-99df-b4f5c9b9c336}" startIndex="0" length="21"/>
      <x18tc:mention mentionpersonId="{466ad751-a4a6-489f-b0f0-680e8e3625fe}" mentionId="{efd68af5-f8fa-4b48-ae85-a13c09bfbe33}" startIndex="23" length="20"/>
      <x18tc:mention mentionpersonId="{a04b8025-a96c-4e81-a99d-9d3df5d81c51}" mentionId="{40eeae27-ae50-483f-825c-d70558026ba9}" startIndex="45" length="21"/>
      <x18tc:mention mentionpersonId="{89829eb4-0844-4193-86c6-4fc6afe868fc}" mentionId="{db169cf0-1796-4a5f-948b-b18c67653f2d}" startIndex="68" length="19"/>
    </x18tc:mentions>
  </x18tc:threadedComment>
  <x18tc:threadedComment ref="C1" dT="2017-06-27T07:15:52.00" personId="{264256c3-bbc9-47ac-9dd7-8d4b1679bb68}" id="{63227d85-6df1-4075-a205-9561e7e2a522}" done="1">
    <x18tc:text xml:space="preserve">@fanlf@motorola.com 
@linfenga@motorola.com 
@liguoa@motorola.com 
@dongjk@motorola.com 
HI 小范
BB issue list 中我建议增加一条component ，看起来会比较清晰一些，你看ok不？</x18tc:text>
    <x18tc:mentions>
      <x18tc:mention mentionpersonId="{89829eb4-0844-4193-86c6-4fc6afe868fc}" mentionId="{93a99da1-3720-43f6-9f16-61293f5a99d7}" startIndex="0" length="19"/>
      <x18tc:mention mentionpersonId="{6c148249-be48-463d-bf99-d2efef89b01f}" mentionId="{20f145df-3198-4a17-95a5-b2b9f4e558db}" startIndex="21" length="22"/>
      <x18tc:mention mentionpersonId="{466ad751-a4a6-489f-b0f0-680e8e3625fe}" mentionId="{b9201b6b-8f36-492b-8213-53854972e346}" startIndex="45" length="20"/>
      <x18tc:mention mentionpersonId="{c74c1934-3d95-4335-a0ea-764c3940074b}" mentionId="{6111f744-d0d1-46e6-adeb-b259f0804d31}" startIndex="67" length="20"/>
    </x18tc:mentions>
  </x18tc:threadedComment>
</x18tc:ThreadedComments>
</file>

<file path=xl/threadedComments/threadedComment2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15" dT="2019-05-28T07:01:22.00" personId="{264256c3-bbc9-47ac-9dd7-8d4b1679bb68}" id="{12c64019-bb47-430e-84eb-6b460d96b382}" done="1">
    <x18tc:text xml:space="preserve">@changfm1@motorola.com 
Hi 芳梅
这个case改板后是否已经ok，请确认并关闭该case</x18tc:text>
    <x18tc:mentions>
      <x18tc:mention mentionpersonId="{9f1abf6f-4b70-4fd0-b4d1-53c68e3022c5}" mentionId="{95382cf9-0fcd-430c-832c-a8380dedd099}" startIndex="0" length="22"/>
    </x18tc:mentions>
  </x18tc:threadedComment>
  <x18tc:threadedComment ref="H7" dT="2019-06-14T10:14:46.00" personId="{861507d4-5da4-4a89-b3c0-95a0157954d9}" id="{6e68cf5f-c1b2-4900-b76d-f1b7e398866c}" done="1">
    <x18tc:text xml:space="preserve">@changfm1@motorola.com ,ALT 跌落花屏的问题请将分析链接update</x18tc:text>
    <x18tc:mentions>
      <x18tc:mention mentionpersonId="{9f1abf6f-4b70-4fd0-b4d1-53c68e3022c5}" mentionId="{8cfc9ef2-0748-4499-8691-d7cf5ada6e59}" startIndex="0" length="22"/>
    </x18tc:mentions>
  </x18tc:threadedComment>
  <x18tc:threadedComment ref="G33" dT="2019-04-29T08:46:18.00" personId="{515ecdfa-17a5-45e9-8370-442994ed0931}" id="{a9cd659a-9f58-4684-a3d6-1d8911fe8d49}" done="1">
    <x18tc:text xml:space="preserve">@chenb3@motorola.com 
Please inform ME.
分配给了</x18tc:text>
    <x18tc:mentions>
      <x18tc:mention mentionpersonId="{873f86e6-0f3e-4e97-85f8-040caac71fca}" mentionId="{341e4086-f3c4-4dc0-a13e-d2ebbeb21ed0}" startIndex="0" length="20"/>
    </x18tc:mentions>
  </x18tc:threadedComment>
  <x18tc:threadedComment ref="H9" dT="2019-06-14T10:11:08.00" personId="{861507d4-5da4-4a89-b3c0-95a0157954d9}" id="{365ac459-0d57-4dce-a5e5-bf1dbb1f8e74}" done="1">
    <x18tc:text xml:space="preserve">@puzhe1@motorola.com ,请更新下这个case的分析链接</x18tc:text>
    <x18tc:mentions>
      <x18tc:mention mentionpersonId="{3bfa2978-53c6-4689-a7e2-f41898c823e3}" mentionId="{aed24faa-05f4-4213-87f7-aeff041bb683}" startIndex="0" length="20"/>
    </x18tc:mentions>
  </x18tc:threadedComment>
  <x18tc:threadedComment ref="I26" dT="2019-04-03T02:44:22.00" personId="{264256c3-bbc9-47ac-9dd7-8d4b1679bb68}" id="{5db0834a-ccc3-465e-99b4-c50fb2fdfde9}" done="1">
    <x18tc:text xml:space="preserve">@linfenga@motorola.com 
@chenb3@motorola.com 
Hi 陈邦，林峰
这边应该有camera相关的issue 吧，无论BB内部是否处理完，应该有个记录，即使Bb内部处理完，还要评估对外部的影响多大。</x18tc:text>
    <x18tc:mentions>
      <x18tc:mention mentionpersonId="{6c148249-be48-463d-bf99-d2efef89b01f}" mentionId="{0398dff6-5b66-4834-bcb2-6f80d90d4a4b}" startIndex="0" length="22"/>
      <x18tc:mention mentionpersonId="{873f86e6-0f3e-4e97-85f8-040caac71fca}" mentionId="{574fab3f-cb04-4543-969d-4ed9ea3070dc}" startIndex="24" length="20"/>
    </x18tc:mentions>
  </x18tc:threadedComment>
  <x18tc:threadedComment ref="I26" dT="2019-04-04T06:25:08.00" personId="{264256c3-bbc9-47ac-9dd7-8d4b1679bb68}" id="{93ef788f-9be0-4f9a-a03a-0219f4791419}" parentId="{5db0834a-ccc3-465e-99b4-c50fb2fdfde9}">
    <x18tc:text xml:space="preserve">Impact  部分没有提供 ，那就是DVT1A 所有机器OIS都无法使用？ 更新SW也没用对吧</x18tc:text>
  </x18tc:threadedComment>
  <x18tc:threadedComment ref="I26" dT="2019-04-04T06:41:13.00" personId="{ebaaa9f7-3383-43fa-980b-04e22673f815}" id="{5621afda-64c9-4626-b553-8ce145587f61}" parentId="{5db0834a-ccc3-465e-99b4-c50fb2fdfde9}">
    <x18tc:text xml:space="preserve">DVT1A / DVT1B所有机器，Tele OIS Gyro不能用，SW不能控制，无法通过更新SW更改。</x18tc:text>
  </x18tc:threadedComment>
  <x18tc:threadedComment ref="L23" dT="2019-04-28T09:32:36.00" personId="{515ecdfa-17a5-45e9-8370-442994ed0931}" id="{0996f802-f381-4294-9918-ea51a519b1de}" done="1">
    <x18tc:text xml:space="preserve">@linfenga@motorola.com 
帮忙补充Change的值，可以不用挂链接.
分配给了linfenga@motorola.com</x18tc:text>
    <x18tc:mentions>
      <x18tc:mention mentionpersonId="{6c148249-be48-463d-bf99-d2efef89b01f}" mentionId="{b18281d6-a991-4bac-bd14-f75709427de4}" startIndex="0" length="22"/>
    </x18tc:mentions>
  </x18tc:threadedComment>
  <x18tc:threadedComment ref="L23" dT="2019-04-29T06:26:44.00" personId="{861507d4-5da4-4a89-b3c0-95a0157954d9}" id="{1975bba2-7d45-4782-92a2-ba8ade31e48a}" parentId="{0996f802-f381-4294-9918-ea51a519b1de}">
    <x18tc:text xml:space="preserve">change指的是？针对这个Issue，没有改PCB，DVT2A结构在PCB TOP面会有一个大支架来保护屏，看下DVT2A的ALT结果，另外还有一单会把U2400上的导热垫片换成更硬的材质，看是否能缓解crack的风险。如果DVT2A还是出现U2400 crack，那只能点胶了</x18tc:text>
  </x18tc:threadedComment>
  <x18tc:threadedComment ref="I36" dT="2019-04-03T01:51:47.00" personId="{264256c3-bbc9-47ac-9dd7-8d4b1679bb68}" id="{bd0a8b7b-6583-4844-84df-600bb8821e0e}" done="1">
    <x18tc:text xml:space="preserve">@wuxm5@motorola.com 
@changfm1@motorola.com 
Hi 芳梅，学敏
1.这个case 是否有分析报告，请放上来下。 2.更新下结论，不应该还在S2 应该已经解决方案导入的阶段了吧</x18tc:text>
    <x18tc:mentions>
      <x18tc:mention mentionpersonId="{200db89f-b2fd-4768-8b3f-704e424e69fc}" mentionId="{5e0d4719-0ccd-4739-8490-2a7947dd21b6}" startIndex="0" length="19"/>
      <x18tc:mention mentionpersonId="{9f1abf6f-4b70-4fd0-b4d1-53c68e3022c5}" mentionId="{12421517-1088-479d-b880-e10f3e329445}" startIndex="21" length="22"/>
    </x18tc:mentions>
  </x18tc:threadedComment>
  <x18tc:threadedComment ref="I36" dT="2019-04-03T02:00:27.00" personId="{ba5e0756-ba59-4eca-8692-a873077ead93}" id="{8a6fdb20-d23c-4855-8ccd-63858cd060ec}" parentId="{bd0a8b7b-6583-4844-84df-600bb8821e0e}">
    <x18tc:text xml:space="preserve">先置close，文档这两天补上</x18tc:text>
  </x18tc:threadedComment>
  <x18tc:threadedComment ref="I36" dT="2019-04-08T08:19:38.00" personId="{ba5e0756-ba59-4eca-8692-a873077ead93}" id="{4c3ceae8-9994-49c2-a726-9b9f1720a62e}" parentId="{bd0a8b7b-6583-4844-84df-600bb8821e0e}">
    <x18tc:text xml:space="preserve">报告文档完成</x18tc:text>
  </x18tc:threadedComment>
  <x18tc:threadedComment ref="G36" dT="2019-07-17T09:18:02.00" personId="{264256c3-bbc9-47ac-9dd7-8d4b1679bb68}" id="{0ac3b4d6-bd7f-4e88-bc15-c6c0ed0807ff}" done="1">
    <x18tc:text xml:space="preserve">@linfenga@motorola.com 
@changfm1@motorola.com 
@wuxm5@motorola.com 
@fanlf@motorola.com 
quattro 这个case的solution 没有被执行，也没有校验，目前ramp 出现问题了，先执行solution，后面再看下如何优化solution的导入跟踪。</x18tc:text>
    <x18tc:mentions>
      <x18tc:mention mentionpersonId="{6c148249-be48-463d-bf99-d2efef89b01f}" mentionId="{b2533228-0811-449d-afa3-f7bd3214914e}" startIndex="0" length="22"/>
      <x18tc:mention mentionpersonId="{9f1abf6f-4b70-4fd0-b4d1-53c68e3022c5}" mentionId="{65d1cf32-33d9-460e-865b-9a53d298b707}" startIndex="24" length="22"/>
      <x18tc:mention mentionpersonId="{200db89f-b2fd-4768-8b3f-704e424e69fc}" mentionId="{9e9de017-3496-4e58-8879-9130b2466577}" startIndex="48" length="19"/>
      <x18tc:mention mentionpersonId="{89829eb4-0844-4193-86c6-4fc6afe868fc}" mentionId="{24a672fd-7fe0-4aa5-837d-044416e32499}" startIndex="69" length="19"/>
    </x18tc:mentions>
  </x18tc:threadedComment>
  <x18tc:threadedComment ref="I42" dT="2019-03-21T09:18:56.00" personId="{264256c3-bbc9-47ac-9dd7-8d4b1679bb68}" id="{fe6a52cc-a0ec-4345-bbec-eabffed72a69}" done="1">
    <x18tc:text xml:space="preserve">@linfenga@motorola.com 
Hi 林峰
这边的仿真描述完全看不懂，是指哪个IC有大应力 需要关注的呢?</x18tc:text>
    <x18tc:mentions>
      <x18tc:mention mentionpersonId="{6c148249-be48-463d-bf99-d2efef89b01f}" mentionId="{7ea0911a-eaef-4059-a53b-d57da2e026ff}" startIndex="0" length="22"/>
    </x18tc:mentions>
  </x18tc:threadedComment>
  <x18tc:threadedComment ref="I42" dT="2019-03-21T13:22:27.00" personId="{861507d4-5da4-4a89-b3c0-95a0157954d9}" id="{e463fc63-0032-43ed-81f7-c514c1288242}" parentId="{fe6a52cc-a0ec-4345-bbec-eabffed72a69}">
    <x18tc:text xml:space="preserve">第12页，pixworks和Audio codec 那个区域风险最大。</x18tc:text>
  </x18tc:threadedComment>
  <x18tc:threadedComment ref="I42" dT="2019-03-22T01:51:33.00" personId="{264256c3-bbc9-47ac-9dd7-8d4b1679bb68}" id="{8b9c8e4b-ad02-49be-96e3-9dd84ef4911a}" parentId="{fe6a52cc-a0ec-4345-bbec-eabffed72a69}">
    <x18tc:text xml:space="preserve">目前为止没有发现这边的问题。 反倒是PMIC 和CPUmemory部分有问题。 等待正式屏蔽盖的ALT和滚筒来确认吧，下周初应该就会有结果，一起关注下</x18tc:text>
  </x18tc:threadedComment>
  <x18tc:threadedComment ref="I44" dT="2019-03-20T06:58:34.00" personId="{264256c3-bbc9-47ac-9dd7-8d4b1679bb68}" id="{e74be5df-a9e2-4e16-9825-9f47bd330b1c}" done="1">
    <x18tc:text xml:space="preserve">@chenb3@motorola.com 
@linfenga@motorola.com 
Hi bangbang
Quattro USB DVT1A 产线发现个问题：9008 和 fastboot 两个模式下都无法识别USB3.0 ，请知悉并处理</x18tc:text>
    <x18tc:mentions>
      <x18tc:mention mentionpersonId="{873f86e6-0f3e-4e97-85f8-040caac71fca}" mentionId="{c7776b5c-b7c0-4688-b0c2-10d1252f57a1}" startIndex="0" length="20"/>
      <x18tc:mention mentionpersonId="{6c148249-be48-463d-bf99-d2efef89b01f}" mentionId="{6b62c0d0-5fd7-4860-9389-b7dcc4eeaee8}" startIndex="22" length="22"/>
    </x18tc:mentions>
  </x18tc:threadedComment>
  <x18tc:threadedComment ref="I44" dT="2019-03-20T06:59:08.00" personId="{264256c3-bbc9-47ac-9dd7-8d4b1679bb68}" id="{9a4f0fdb-e920-4064-82ec-5f697cff7997}" parentId="{e74be5df-a9e2-4e16-9825-9f47bd330b1c}">
    <x18tc:text xml:space="preserve">我自己用林峰留在这的板子试了下确实如此</x18tc:text>
  </x18tc:threadedComment>
  <x18tc:threadedComment ref="I44" dT="2019-03-20T07:10:16.00" personId="{ebaaa9f7-3383-43fa-980b-04e22673f815}" id="{20334031-1179-4cc9-b1e0-41021bd3e534}" parentId="{e74be5df-a9e2-4e16-9825-9f47bd330b1c}">
    <x18tc:text xml:space="preserve">已知问题，bootloader(fastboot mode)下还没有配置DP/USB开关的电源。所以导致USB3.0不通。跃才正在处理。</x18tc:text>
  </x18tc:threadedComment>
  <x18tc:threadedComment ref="G38" dT="2019-03-19T11:49:04.00" personId="{861507d4-5da4-4a89-b3c0-95a0157954d9}" id="{847bcbf4-a0ca-4ddc-b287-fdd7fb8a3c55}" done="1">
    <x18tc:text xml:space="preserve">@chenwt@motorola.com ,滚筒实验后不开机的，帮忙建一个link 跟踪下，谢谢~
分配给了chenwt@motorola.com</x18tc:text>
    <x18tc:mentions>
      <x18tc:mention mentionpersonId="{bdd1ce91-40c2-41d8-8897-275c11d3b7d8}" mentionId="{0c67820f-e604-4dfa-9b97-99bed02f7e0e}" startIndex="0" length="20"/>
    </x18tc:mentions>
  </x18tc:threadedComment>
  <x18tc:threadedComment ref="G38" dT="2019-03-19T12:50:01.00" personId="{264256c3-bbc9-47ac-9dd7-8d4b1679bb68}" id="{1d613e59-81cc-416a-861e-53af0ee95a4b}" parentId="{847bcbf4-a0ca-4ddc-b287-fdd7fb8a3c55}">
    <x18tc:text xml:space="preserve">done</x18tc:text>
  </x18tc:threadedComment>
  <x18tc:threadedComment ref="G26" dT="2019-04-04T06:49:28.00" personId="{264256c3-bbc9-47ac-9dd7-8d4b1679bb68}" id="{6eabe48d-e6d7-48b7-b3d3-83c2c8d8e877}" done="1">
    <x18tc:text xml:space="preserve">@linfenga@motorola.com 
@fanlf@motorola.com 
Hi 林峰
建议，如果这个case 明确DVT1A&amp;1B机器OIS都不能用，建议通知一下HPM和PI， DVT1B 会启动DF的。</x18tc:text>
    <x18tc:mentions>
      <x18tc:mention mentionpersonId="{6c148249-be48-463d-bf99-d2efef89b01f}" mentionId="{f4f06183-ea02-4570-aa64-421bb643862c}" startIndex="0" length="22"/>
      <x18tc:mention mentionpersonId="{89829eb4-0844-4193-86c6-4fc6afe868fc}" mentionId="{ae9cda93-82ab-43c2-b2ec-76068dcdb1bf}" startIndex="24" length="19"/>
    </x18tc:mentions>
  </x18tc:threadedComment>
  <x18tc:threadedComment ref="G26" dT="2019-04-11T01:56:05.00" personId="{264256c3-bbc9-47ac-9dd7-8d4b1679bb68}" id="{fb8ba85b-4522-42bb-b0f3-de50a5885b0f}" parentId="{6eabe48d-e6d7-48b7-b3d3-83c2c8d8e877}">
    <x18tc:text xml:space="preserve">@chenb3@motorola.com 
Hi 林峰  ，这个issue 重新改为monitor ，因为Impact 没清理完，今天HPM提出来（1.说清缘由和后续建议防护方案  2. 给出rework的支持 ，包括国内 返工支持 和国外 返工说明提供），清理完了后再close</x18tc:text>
    <x18tc:mentions>
      <x18tc:mention mentionpersonId="{873f86e6-0f3e-4e97-85f8-040caac71fca}" mentionId="{b6c51126-932c-40c9-9c37-a54cc4d6a4f7}" startIndex="0" length="20"/>
    </x18tc:mentions>
  </x18tc:threadedComment>
  <x18tc:threadedComment ref="G26" dT="2019-04-28T07:59:11.00" personId="{264256c3-bbc9-47ac-9dd7-8d4b1679bb68}" id="{fa82773f-dc1b-46c6-bd51-029e7e27d521}" parentId="{6eabe48d-e6d7-48b7-b3d3-83c2c8d8e877}">
    <x18tc:text xml:space="preserve">Hi 邦邦 
这个case 算是都过去了吧，该通知的以及后续 流程优化，是否都ok了？</x18tc:text>
  </x18tc:threadedComment>
  <x18tc:threadedComment ref="I12" dT="2019-05-31T02:27:42.00" personId="{264256c3-bbc9-47ac-9dd7-8d4b1679bb68}" id="{e94c099e-a29b-4318-9f28-23e77db0cebd}" done="1">
    <x18tc:text xml:space="preserve">@xiaozh1@motorola.com
@linfenga@motorola.com 
Hi 志浩  
这个case 的分析lync 请放上来，issue 内容可以一起更新</x18tc:text>
    <x18tc:mentions>
      <x18tc:mention mentionpersonId="{d3bc4f64-10ef-41fd-9d7c-32349da106cc}" mentionId="{4fb672a2-2084-45cf-8173-881c10b20287}" startIndex="0" length="21"/>
      <x18tc:mention mentionpersonId="{6c148249-be48-463d-bf99-d2efef89b01f}" mentionId="{4020c471-03b1-480d-8958-ee1b9f1e55d7}" startIndex="22" length="22"/>
    </x18tc:mentions>
  </x18tc:threadedComment>
  <x18tc:threadedComment ref="I12" dT="2019-05-31T02:27:52.00" personId="{264256c3-bbc9-47ac-9dd7-8d4b1679bb68}" id="{d356d730-4055-4e52-aede-c67ea6be2226}" parentId="{e94c099e-a29b-4318-9f28-23e77db0cebd}">
    <x18tc:text xml:space="preserve">[S2]Issue:  40℃关机充电出现一次误识别为USB充电的问题</x18tc:text>
  </x18tc:threadedComment>
  <x18tc:threadedComment ref="H3" dT="2019-07-31T01:21:27.00" personId="{264256c3-bbc9-47ac-9dd7-8d4b1679bb68}" id="{0ff1ee69-6dda-48ac-9ee7-b218a113fc2e}" done="0">
    <x18tc:text xml:space="preserve">@wuxm5@motorola.com 
@xiaozh1@motorola.com 
Hi 学敏
这边是否文档链接，或者你将上周share 的文档链接放上来也可以？</x18tc:text>
    <x18tc:mentions>
      <x18tc:mention mentionpersonId="{200db89f-b2fd-4768-8b3f-704e424e69fc}" mentionId="{3b1343bf-57c9-4f85-a7bb-2162800aaaf4}" startIndex="0" length="19"/>
      <x18tc:mention mentionpersonId="{d3bc4f64-10ef-41fd-9d7c-32349da106cc}" mentionId="{af44a3c3-77c7-4bd9-b91e-f1f48f8ab925}" startIndex="21" length="21"/>
    </x18tc:mentions>
  </x18tc:threadedComment>
  <x18tc:threadedComment ref="H3" dT="2019-07-31T01:50:59.00" personId="{ba5e0756-ba59-4eca-8692-a873077ead93}" id="{6b89795a-b9b3-4627-a6be-a22c685cedd5}" parentId="{0ff1ee69-6dda-48ac-9ee7-b218a113fc2e}">
    <x18tc:text xml:space="preserve">done!</x18tc:text>
  </x18tc:threadedComment>
  <x18tc:threadedComment ref="H3" dT="2019-07-31T02:04:32.00" personId="{264256c3-bbc9-47ac-9dd7-8d4b1679bb68}" id="{f6a57cff-3576-4551-91dc-9b7b81a017fc}" parentId="{0ff1ee69-6dda-48ac-9ee7-b218a113fc2e}">
    <x18tc:text xml:space="preserve">似乎还是没看到link</x18tc:text>
  </x18tc:threadedComment>
  <x18tc:threadedComment ref="H3" dT="2019-08-16T03:22:16.00" personId="{515ecdfa-17a5-45e9-8370-442994ed0931}" id="{9a137cea-d483-4602-a6dc-04a95130525e}" parentId="{0ff1ee69-6dda-48ac-9ee7-b218a113fc2e}">
    <x18tc:text xml:space="preserve">学敏，附上Link</x18tc:text>
  </x18tc:threadedComment>
  <x18tc:threadedComment ref="G41" dT="2019-03-18T02:56:11.00" personId="{861507d4-5da4-4a89-b3c0-95a0157954d9}" id="{7662b163-39fd-4cb1-b4ce-12ad9a6bdcd8}" done="1">
    <x18tc:text xml:space="preserve">@xiongsn1@motorola.com ,DVT1A 厂线发现几天P-sensor 无作用的，怀疑硅胶套偏移，请跟进
分配给了xiongsn1@motorola.com</x18tc:text>
    <x18tc:mentions>
      <x18tc:mention mentionpersonId="{29c1a8e0-e66d-4172-98d4-3780dccea77b}" mentionId="{80049ffe-c058-4cc8-8acb-afac21d28c28}" startIndex="0" length="22"/>
    </x18tc:mentions>
  </x18tc:threadedComment>
  <x18tc:threadedComment ref="G41" dT="2019-04-28T07:58:13.00" personId="{264256c3-bbc9-47ac-9dd7-8d4b1679bb68}" id="{cc2c8c62-9381-4e59-925f-aa89551e3679}" parentId="{7662b163-39fd-4cb1-b4ce-12ad9a6bdcd8}">
    <x18tc:text xml:space="preserve">这个case 有update？ 如果没有直接close ，后续万一有问题再reopen</x18tc:text>
  </x18tc:threadedComment>
  <x18tc:threadedComment ref="G41" dT="2019-04-28T08:17:10.00" personId="{264256c3-bbc9-47ac-9dd7-8d4b1679bb68}" id="{f60e82db-05b9-478c-a031-6c6a5fc5e696}" parentId="{7662b163-39fd-4cb1-b4ce-12ad9a6bdcd8}">
    <x18tc:text xml:space="preserve">如沟通，没有相关反馈，先close，有问题再开启</x18tc:text>
  </x18tc:threadedComment>
</x18tc:ThreadedComments>
</file>

<file path=xl/threadedComments/threadedComment2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5" dT="2017-04-13T08:49:48.00" personId="{515ecdfa-17a5-45e9-8370-442994ed0931}" id="{63f1721d-2827-424e-926a-c87e2e9db9a3}" done="1">
    <x18tc:text xml:space="preserve">@yangwla@motorola.com 
Please update the RE Issue Status
分配给了</x18tc:text>
    <x18tc:mentions>
      <x18tc:mention mentionpersonId="{bfab316f-3c6f-495a-954b-98c3299c9c97}" mentionId="{28e5e5df-6e7f-4146-9ed3-c3c0933c77d9}" startIndex="0" length="21"/>
    </x18tc:mentions>
  </x18tc:threadedComment>
  <x18tc:threadedComment ref="G3" dT="2017-05-08T02:01:39.00" personId="{515ecdfa-17a5-45e9-8370-442994ed0931}" id="{57737e94-cbbb-4958-8388-0d905fa2640b}" done="1">
    <x18tc:text xml:space="preserve">@liguoa@motorola.com 
Please update Issue Timely
分配给了liguoa@motorola.com</x18tc:text>
    <x18tc:mentions>
      <x18tc:mention mentionpersonId="{466ad751-a4a6-489f-b0f0-680e8e3625fe}" mentionId="{9302a66c-1b7a-4f43-ba7e-dbc4a67a7cbc}" startIndex="0" length="20"/>
    </x18tc:mentions>
  </x18tc:threadedComment>
  <x18tc:threadedComment ref="G3" dT="2017-05-08T02:30:22.00" personId="{707fe07e-9ef9-437f-a53f-1159714f889b}" id="{a09cd036-715f-472f-b708-323913709513}" parentId="{57737e94-cbbb-4958-8388-0d905fa2640b}">
    <x18tc:text xml:space="preserve">done</x18tc:text>
  </x18tc:threadedComment>
</x18tc:ThreadedComments>
</file>

<file path=xl/threadedComments/threadedComment2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3" dT="2017-06-05T01:45:35.00" personId="{515ecdfa-17a5-45e9-8370-442994ed0931}" id="{fc7083f4-09fa-41a0-aa2a-fb7953d215be}" done="0">
    <x18tc:text xml:space="preserve">@yangwla@motorola.com 
Please update ESD Design Rule&amp;Review Content,Share me with the link.
分配给了</x18tc:text>
    <x18tc:mentions>
      <x18tc:mention mentionpersonId="{bfab316f-3c6f-495a-954b-98c3299c9c97}" mentionId="{3bc4f5ca-b794-40e4-88db-60d748c0179e}" startIndex="0" length="21"/>
    </x18tc:mentions>
  </x18tc:threadedComment>
  <x18tc:threadedComment ref="H5" dT="2017-05-12T08:09:07.00" personId="{515ecdfa-17a5-45e9-8370-442994ed0931}" id="{694a6e63-e83e-4038-9372-000bb61fedc8}" done="1">
    <x18tc:text xml:space="preserve">@xiongsn1@motorola.com 
Please Attach the FA Report on this link
分配给了xiongsn1@motorola.com</x18tc:text>
    <x18tc:mentions>
      <x18tc:mention mentionpersonId="{29c1a8e0-e66d-4172-98d4-3780dccea77b}" mentionId="{8d489294-bcaa-4a02-80c9-3abf2bb9eb54}" startIndex="0" length="22"/>
    </x18tc:mentions>
  </x18tc:threadedComment>
  <x18tc:threadedComment ref="H5" dT="2017-05-16T07:45:59.00" personId="{bd64dc66-6b89-428c-92a4-0e252df79ace}" id="{4f6993db-76e0-4ebb-a37f-ab58b4992986}" parentId="{694a6e63-e83e-4038-9372-000bb61fedc8}">
    <x18tc:text xml:space="preserve">FA report had been uploaded</x18tc:text>
  </x18tc:threadedComment>
  <x18tc:threadedComment ref="H6" dT="2017-05-12T08:09:46.00" personId="{515ecdfa-17a5-45e9-8370-442994ed0931}" id="{294330c1-32b1-43c4-9dac-983f2342f42c}" done="0">
    <x18tc:text xml:space="preserve">@yangwla@motorola.com 
Please Attach the FA Report on this link.
分配给了</x18tc:text>
    <x18tc:mentions>
      <x18tc:mention mentionpersonId="{bfab316f-3c6f-495a-954b-98c3299c9c97}" mentionId="{b58aeacb-f218-4807-b1f2-fe3847473334}" startIndex="0" length="21"/>
    </x18tc:mentions>
  </x18tc:threadedComment>
  <x18tc:threadedComment ref="A6" dT="2017-05-02T05:08:04.00" personId="{515ecdfa-17a5-45e9-8370-442994ed0931}" id="{1151a8c1-a74d-40d1-a3d9-65349d1e68c9}" done="0">
    <x18tc:text xml:space="preserve">@yangwla@motorola.com 
@linfenga@motorola.com 
Please create the Cert ESD Issue.
分配给了</x18tc:text>
    <x18tc:mentions>
      <x18tc:mention mentionpersonId="{bfab316f-3c6f-495a-954b-98c3299c9c97}" mentionId="{0565f874-9809-4c08-8931-f2318a00c2f9}" startIndex="0" length="21"/>
      <x18tc:mention mentionpersonId="{6c148249-be48-463d-bf99-d2efef89b01f}" mentionId="{c418a02c-3429-4307-a64b-b5f6643620b9}" startIndex="23" length="22"/>
    </x18tc:mentions>
  </x18tc:threadedComment>
  <x18tc:threadedComment ref="G5" dT="2017-05-08T02:02:22.00" personId="{515ecdfa-17a5-45e9-8370-442994ed0931}" id="{4b6e845c-6fcf-4ddf-8ff5-55aae583073d}" done="1">
    <x18tc:text xml:space="preserve">@linfenga@motorola.com 
Please update Issue Timely
分配给了linfenga@motorola.com</x18tc:text>
    <x18tc:mentions>
      <x18tc:mention mentionpersonId="{6c148249-be48-463d-bf99-d2efef89b01f}" mentionId="{845c53fb-57a6-4d42-aa93-c6f86eb6ffce}" startIndex="0" length="22"/>
    </x18tc:mentions>
  </x18tc:threadedComment>
</x18tc:ThreadedComments>
</file>

<file path=xl/threadedComments/threadedComment2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12" dT="2022-04-02T06:56:30.00" personId="{264256c3-bbc9-47ac-9dd7-8d4b1679bb68}" id="{5506672a-e229-405c-ac35-f85e181f228b}" done="1">
    <x18tc:text xml:space="preserve">@xiaozh1@motorola.com 
EVB 模拟开关漏电，建议放一个分析结果，以便闭环哈，呵呵</x18tc:text>
    <x18tc:mentions>
      <x18tc:mention mentionpersonId="{d3bc4f64-10ef-41fd-9d7c-32349da106cc}" mentionId="{6b6c92ec-c795-4f8c-ba3f-9c52be3fea98}" startIndex="0" length="21"/>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docs.google.com/presentation/d/1kbZqUaYfibMI_4t8xFZKno74DzcwFrBFckKza_3r880/edit?slide=id.g3e2dc31d900_0_556" TargetMode="External"/><Relationship Id="rId5" Type="http://schemas.openxmlformats.org/officeDocument/2006/relationships/drawing" Target="../drawings/drawing3.xml"/><Relationship Id="rId6"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1" Type="http://schemas.openxmlformats.org/officeDocument/2006/relationships/hyperlink" Target="https://docs.google.com/presentation/d/1AnFK-G5qbHbUGwKEqeaTlQduiQnPlIr3ElXOxfCWx6c/edit?slide=id.g3b72306d46a_0_0" TargetMode="External"/><Relationship Id="rId10" Type="http://schemas.openxmlformats.org/officeDocument/2006/relationships/hyperlink" Target="https://docs.google.com/presentation/d/1Tr7HCpQqKljJSP6vlYHrWofaa904mu-VYD5WDfexoRM/edit?slide=id.g3b8ed285337_1_4" TargetMode="External"/><Relationship Id="rId13" Type="http://schemas.openxmlformats.org/officeDocument/2006/relationships/hyperlink" Target="https://docs.google.com/presentation/d/1AnFK-G5qbHbUGwKEqeaTlQduiQnPlIr3ElXOxfCWx6c/edit?slide=id.g3b64d1e5f1d_7_2" TargetMode="External"/><Relationship Id="rId12" Type="http://schemas.openxmlformats.org/officeDocument/2006/relationships/hyperlink" Target="https://docs.google.com/presentation/d/1AnFK-G5qbHbUGwKEqeaTlQduiQnPlIr3ElXOxfCWx6c/edit?slide=id.g3b8cf5b156b_0_0" TargetMode="External"/><Relationship Id="rId1" Type="http://schemas.openxmlformats.org/officeDocument/2006/relationships/comments" Target="../comments4.xml"/><Relationship Id="rId2" Type="http://schemas.openxmlformats.org/officeDocument/2006/relationships/hyperlink" Target="https://docs.google.com/presentation/d/1iT9YU9fJPAxa-9xU1ZjW7mxzlHWPx4FiCoHmMkf3S68/edit?slide=id.g3bd82dabf54_0_1000" TargetMode="External"/><Relationship Id="rId3" Type="http://schemas.openxmlformats.org/officeDocument/2006/relationships/hyperlink" Target="https://docs.google.com/presentation/d/1lK_Xjdc47wRbUWTFCKwXaVrxxJGKEM9UCyLPr7LmfZ0/edit?slide=id.g4057557fca_0_46" TargetMode="External"/><Relationship Id="rId4" Type="http://schemas.openxmlformats.org/officeDocument/2006/relationships/hyperlink" Target="https://idart.mot.com/browse/IKSWW-198501" TargetMode="External"/><Relationship Id="rId9" Type="http://schemas.openxmlformats.org/officeDocument/2006/relationships/hyperlink" Target="https://docs.google.com/presentation/d/1AnFK-G5qbHbUGwKEqeaTlQduiQnPlIr3ElXOxfCWx6c/edit?slide=id.g3b64d1e5f1d_7_7" TargetMode="External"/><Relationship Id="rId15" Type="http://schemas.openxmlformats.org/officeDocument/2006/relationships/drawing" Target="../drawings/drawing4.xml"/><Relationship Id="rId14" Type="http://schemas.openxmlformats.org/officeDocument/2006/relationships/hyperlink" Target="https://docs.google.com/spreadsheets/d/10ejWbP6_zl_msQrrNs1RAcMe9wTVUWyl/edit?gid=294267230" TargetMode="External"/><Relationship Id="rId16" Type="http://schemas.openxmlformats.org/officeDocument/2006/relationships/vmlDrawing" Target="../drawings/vmlDrawing4.vml"/><Relationship Id="rId5" Type="http://schemas.openxmlformats.org/officeDocument/2006/relationships/hyperlink" Target="https://docs.google.com/presentation/d/14NGaxNiwGoctP-tfjQBiPDryXRn2yaxVM-G0pY3jEyA/edit?slide=id.g4057557fca_0_46" TargetMode="External"/><Relationship Id="rId6" Type="http://schemas.openxmlformats.org/officeDocument/2006/relationships/hyperlink" Target="https://docs.google.com/presentation/d/1uxA-qIc3HmjP2FcekQ3fUqvagISQ_6su-VMnVrqk9hs/edit?slide=id.g3e6c11f8795_0_1534" TargetMode="External"/><Relationship Id="rId7" Type="http://schemas.openxmlformats.org/officeDocument/2006/relationships/hyperlink" Target="https://docs.google.com/spreadsheets/d/1k3QlOqCkhgzX_xCLcfWSKxVeq3p68MlpTngx73s_Ang/edit?gid=0" TargetMode="External"/><Relationship Id="rId8" Type="http://schemas.openxmlformats.org/officeDocument/2006/relationships/hyperlink" Target="https://docs.google.com/presentation/d/1NnX6wmZNY2j_HvRBDAvkERzuHiovbKxDsNJeOP5sxgU/edit?slide=id.g4057557fca_0_46" TargetMode="External"/></Relationships>
</file>

<file path=xl/worksheets/_rels/sheet5.xml.rels><?xml version="1.0" encoding="UTF-8" standalone="yes"?><Relationships xmlns="http://schemas.openxmlformats.org/package/2006/relationships"><Relationship Id="rId20" Type="http://schemas.openxmlformats.org/officeDocument/2006/relationships/hyperlink" Target="https://docs.google.com/presentation/d/1PZL7NXsDG2kxJUB90FL33SO6FaJHzhuTC0hdDZHr2Tk/edit?slide=id.g3a1e8c62dc1_0_0" TargetMode="External"/><Relationship Id="rId11" Type="http://schemas.openxmlformats.org/officeDocument/2006/relationships/hyperlink" Target="https://docs.google.com/presentation/d/1LR6YW2Jq95AWg6E6_bhDOOpgdulKpCFmIHck00rD1Yw/edit?slide=id.g3aa45faaec9_0_2" TargetMode="External"/><Relationship Id="rId22" Type="http://schemas.openxmlformats.org/officeDocument/2006/relationships/vmlDrawing" Target="../drawings/vmlDrawing5.vml"/><Relationship Id="rId10" Type="http://schemas.openxmlformats.org/officeDocument/2006/relationships/hyperlink" Target="https://docs.google.com/presentation/d/1b_ItOhRKobWDLmVsA0C3XzFKhlcbUSHMGYr2jAnlEjA/edit?slide=id.g4057557fca_0_46" TargetMode="External"/><Relationship Id="rId21" Type="http://schemas.openxmlformats.org/officeDocument/2006/relationships/drawing" Target="../drawings/drawing5.xml"/><Relationship Id="rId13" Type="http://schemas.openxmlformats.org/officeDocument/2006/relationships/hyperlink" Target="https://drive.google.com/drive/folders/1VNzJ0sIXi3Do-AWzyFVZ8bDP5n2Hk7U2" TargetMode="External"/><Relationship Id="rId12" Type="http://schemas.openxmlformats.org/officeDocument/2006/relationships/hyperlink" Target="https://docs.google.com/presentation/d/1cTwF3dwc4BchNyqU8of2_L00nbckKBXUIaaXeS0W814/edit?slide=id.g3604203e1b6_0_5" TargetMode="External"/><Relationship Id="rId1" Type="http://schemas.openxmlformats.org/officeDocument/2006/relationships/comments" Target="../comments5.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hyperlink" Target="https://docs.google.com/presentation/d/1BxKmgJGeko2lEjhLmh-30tqNy-HR8jJtMjrgnEbBoZA/edit?slide=id.g4057557fca_0_46" TargetMode="External"/><Relationship Id="rId9" Type="http://schemas.openxmlformats.org/officeDocument/2006/relationships/hyperlink" Target="https://docs.google.com/presentation/d/1Rc-pPU9d77EnsLX5Kx2-lnsprm8wbtD9JARS9TqICss/edit?slide=id.g31774eae4e2_1_4" TargetMode="External"/><Relationship Id="rId15" Type="http://schemas.openxmlformats.org/officeDocument/2006/relationships/hyperlink" Target="https://docs.google.com/presentation/d/1KKdIhgLFqqqxd4WKb9QjWe68Cz52fRoNtwtx03vYUxs/edit?slide=id.p7" TargetMode="External"/><Relationship Id="rId14" Type="http://schemas.openxmlformats.org/officeDocument/2006/relationships/hyperlink" Target="https://docs.google.com/presentation/d/1PZL7NXsDG2kxJUB90FL33SO6FaJHzhuTC0hdDZHr2Tk/edit?slide=id.g3a1c26a8540_0_9" TargetMode="External"/><Relationship Id="rId17" Type="http://schemas.openxmlformats.org/officeDocument/2006/relationships/hyperlink" Target="https://idart.mot.com/browse/IKSWW-75804" TargetMode="External"/><Relationship Id="rId16" Type="http://schemas.openxmlformats.org/officeDocument/2006/relationships/hyperlink" Target="https://docs.google.com/presentation/d/1EnwvGsKezhmKTJtPTF-1iI2duAXiHcDjRnr6SHDoMFs/edit?slide=id.g3a06e91e72e_0_6" TargetMode="External"/><Relationship Id="rId5" Type="http://schemas.openxmlformats.org/officeDocument/2006/relationships/hyperlink" Target="https://idart.mot.com/browse/IKSWW-163405" TargetMode="External"/><Relationship Id="rId19" Type="http://schemas.openxmlformats.org/officeDocument/2006/relationships/hyperlink" Target="https://idart.mot.com/browse/IKSWW-75804" TargetMode="External"/><Relationship Id="rId6" Type="http://schemas.openxmlformats.org/officeDocument/2006/relationships/hyperlink" Target="https://docs.google.com/presentation/d/1tLJ22XvPuAPEuINokdJ1-qoRB0b-NEjdVPqNNlZsl-o/edit?slide=id.g4057557fca_0_46" TargetMode="External"/><Relationship Id="rId18" Type="http://schemas.openxmlformats.org/officeDocument/2006/relationships/hyperlink" Target="https://docs.google.com/presentation/d/1EnwvGsKezhmKTJtPTF-1iI2duAXiHcDjRnr6SHDoMFs/edit" TargetMode="External"/><Relationship Id="rId7" Type="http://schemas.openxmlformats.org/officeDocument/2006/relationships/hyperlink" Target="https://docs.google.com/presentation/d/1hzOvOpPfbYIkX6oxC7eUyrXy4NaFXp4krjE-ohAvjXg/edit?slide=id.g3a7d2f18eda_0_1" TargetMode="External"/><Relationship Id="rId8" Type="http://schemas.openxmlformats.org/officeDocument/2006/relationships/hyperlink" Target="https://docs.google.com/presentation/d/1RR5hGhzYzf451OuJ4j2HezxX-oAiQpOLNWG4J9Wcw_4/edit?slide=id.g3aa45faaec9_0_2" TargetMode="External"/></Relationships>
</file>

<file path=xl/worksheets/_rels/sheet6.xml.rels><?xml version="1.0" encoding="UTF-8" standalone="yes"?><Relationships xmlns="http://schemas.openxmlformats.org/package/2006/relationships"><Relationship Id="rId11" Type="http://schemas.openxmlformats.org/officeDocument/2006/relationships/hyperlink" Target="https://idart.mot.com/browse/IKSWW-51092" TargetMode="External"/><Relationship Id="rId10" Type="http://schemas.openxmlformats.org/officeDocument/2006/relationships/hyperlink" Target="https://docs.google.com/presentation/d/1le9K1ydrmn93V_8NNpiM-DfRDl4wEjZL_GJHKR4rozk/edit?slide=id.g384c0765c91_0_1" TargetMode="External"/><Relationship Id="rId13" Type="http://schemas.openxmlformats.org/officeDocument/2006/relationships/hyperlink" Target="https://docs.google.com/presentation/d/1KFaHh0oBqYopHFaVGxtkvzQOQyqnQWhGEJjS8ZQMy-k/edit?slide=id.g3830732499c_0_33" TargetMode="External"/><Relationship Id="rId12" Type="http://schemas.openxmlformats.org/officeDocument/2006/relationships/hyperlink" Target="https://docs.google.com/presentation/d/1SMXwAadnQwv3y3CC4iIdSYGHnMSruxhMRBoWYGmaNnY/edit?slide=id.p" TargetMode="External"/><Relationship Id="rId1" Type="http://schemas.openxmlformats.org/officeDocument/2006/relationships/comments" Target="../comments6.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hyperlink" Target="https://docs.google.com/presentation/d/1HezlztWTiUX74kw4LFZbj_6z8xfXG0braChQ-aTDbYM/edit?slide=id.g4057557fca_0_46" TargetMode="External"/><Relationship Id="rId9" Type="http://schemas.openxmlformats.org/officeDocument/2006/relationships/hyperlink" Target="https://idart.mot.com/browse/IKSWW-59901" TargetMode="External"/><Relationship Id="rId15" Type="http://schemas.openxmlformats.org/officeDocument/2006/relationships/hyperlink" Target="https://docs.google.com/presentation/d/1sq3e6VpF2paAKYl161uCE99xDptYsOaqhR5_sNsIsFw/edit?slide=id.g3457ae85bc8_0_7" TargetMode="External"/><Relationship Id="rId14" Type="http://schemas.openxmlformats.org/officeDocument/2006/relationships/hyperlink" Target="https://docs.google.com/presentation/d/1WaojxUmKFRiSoM7SY9-zSZZQy3ctPjbptUTr9SWRn2s/edit?slide=id.g4057557fca_0_46" TargetMode="External"/><Relationship Id="rId17" Type="http://schemas.openxmlformats.org/officeDocument/2006/relationships/drawing" Target="../drawings/drawing6.xml"/><Relationship Id="rId16" Type="http://schemas.openxmlformats.org/officeDocument/2006/relationships/hyperlink" Target="https://docs.google.com/presentation/d/1l_akOhLb5mc3Bi5nb9_zMfdbR70a2V41hxmijpNeAow/edit?slide=id.g375b9312c87_0_25" TargetMode="External"/><Relationship Id="rId5" Type="http://schemas.openxmlformats.org/officeDocument/2006/relationships/hyperlink" Target="https://docs.google.com/spreadsheets/d/1RiXG3a6kdgdD7UsFKJEXm0OBcfKinjcvqdLbkUijvyE/edit?gid=1509180577" TargetMode="External"/><Relationship Id="rId6" Type="http://schemas.openxmlformats.org/officeDocument/2006/relationships/hyperlink" Target="https://docs.google.com/presentation/d/1CzoylYJ9PdviaN9s1lG2ynJvtldFxx_Q567L7MjOfwM/edit?slide=id.g3aa44df3a84_0_14" TargetMode="External"/><Relationship Id="rId18" Type="http://schemas.openxmlformats.org/officeDocument/2006/relationships/vmlDrawing" Target="../drawings/vmlDrawing6.vml"/><Relationship Id="rId7" Type="http://schemas.openxmlformats.org/officeDocument/2006/relationships/hyperlink" Target="https://docs.google.com/presentation/d/18pAzD_iXvtrbq0hp-7smwQDEMpR3ROVvVvFBGHPwEGI/edit?slide=id.g39884ded053_0_417" TargetMode="External"/><Relationship Id="rId8" Type="http://schemas.openxmlformats.org/officeDocument/2006/relationships/hyperlink" Target="https://docs.google.com/presentation/d/1sMRyY6qU3Zqozp1gCZzcKYDtzvaIYL9hiUZr-UoLw44/edit?slide=id.g3732879c705_0_0"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s://idart.mot.com/browse/IKSWW-8971" TargetMode="External"/><Relationship Id="rId42" Type="http://schemas.openxmlformats.org/officeDocument/2006/relationships/hyperlink" Target="https://gerrit.mot.com/" TargetMode="External"/><Relationship Id="rId41" Type="http://schemas.openxmlformats.org/officeDocument/2006/relationships/hyperlink" Target="https://docs.google.com/presentation/d/1izvYDrw68eY5bsJUXJWB8TO5EIaoCDBJtTdmM5iOD5c/edit?slide=id.g33616eb70da_0_1" TargetMode="External"/><Relationship Id="rId44" Type="http://schemas.openxmlformats.org/officeDocument/2006/relationships/hyperlink" Target="https://docs.google.com/presentation/d/16DdDePgSjYxXNQD30DRLupfSqvD0q0KerlpoeWeZ-Lk/edit?slide=id.g35e76c29703_0_8" TargetMode="External"/><Relationship Id="rId43" Type="http://schemas.openxmlformats.org/officeDocument/2006/relationships/hyperlink" Target="https://idart.mot.com/browse/IKSWW-9596" TargetMode="External"/><Relationship Id="rId46" Type="http://schemas.openxmlformats.org/officeDocument/2006/relationships/hyperlink" Target="https://docs.google.com/presentation/d/1zV4mT1xT6oHGPTYPKwzQ_wrifWv6gKk9XyOlFVdCiPs/edit?slide=id.g32151359908_0_5" TargetMode="External"/><Relationship Id="rId45" Type="http://schemas.openxmlformats.org/officeDocument/2006/relationships/hyperlink" Target="https://support.qualcomm.com/s/case/500dK000006w3mrQAA/pmiv-smbtemp-can-add-a-ntc-for-temp-detection-or-not" TargetMode="External"/><Relationship Id="rId1" Type="http://schemas.openxmlformats.org/officeDocument/2006/relationships/comments" Target="../comments7.xml"/><Relationship Id="rId2" Type="http://schemas.openxmlformats.org/officeDocument/2006/relationships/hyperlink" Target="https://docs.google.com/presentation/d/1QTaoWLTbO4L0uXSTeur_TyYYw8TcwlYhp8qU-NfxdL0/edit?slide=id.g4057557fca_0_46" TargetMode="External"/><Relationship Id="rId3" Type="http://schemas.openxmlformats.org/officeDocument/2006/relationships/hyperlink" Target="https://docs.google.com/presentation/d/1K53Z2eg7W-Oiq33Z2PvefQ8uVir_lOzCzvXyn3L9y9w/edit?slide=id.g38206f63195_0_13" TargetMode="External"/><Relationship Id="rId4" Type="http://schemas.openxmlformats.org/officeDocument/2006/relationships/hyperlink" Target="https://docs.google.com/presentation/d/1GO7FE8RWy5ReBCnQ0J6PFu0Nv6biGA7koqgda9XE1cs/edit?slide=id.g4057557fca_0_46" TargetMode="External"/><Relationship Id="rId9" Type="http://schemas.openxmlformats.org/officeDocument/2006/relationships/hyperlink" Target="https://docs.google.com/presentation/d/1jUACUQqMvBfFaD3vaLBRhQP3a2vJ_ENV4-U7s1Ga5Ag/edit?slide=id.g4057557fca_0_46" TargetMode="External"/><Relationship Id="rId48" Type="http://schemas.openxmlformats.org/officeDocument/2006/relationships/hyperlink" Target="https://docs.google.com/presentation/d/1r-llA8J979TDb9rAC3iXfO9nIfUXUI5nVPE7XaRpI2w/edit?slide=id.g32151359908_0_0" TargetMode="External"/><Relationship Id="rId47" Type="http://schemas.openxmlformats.org/officeDocument/2006/relationships/hyperlink" Target="https://support.qualcomm.com/s/case/500dK000006Qm0kQAC/roadstr-pmiv0102-internal-div2-drive-current-low" TargetMode="External"/><Relationship Id="rId49" Type="http://schemas.openxmlformats.org/officeDocument/2006/relationships/hyperlink" Target="https://support.qualcomm.com/s/case/500dK000006QLdPQAW/roadstr-pmiv0102-internal-div2-drive-current-low" TargetMode="External"/><Relationship Id="rId5" Type="http://schemas.openxmlformats.org/officeDocument/2006/relationships/hyperlink" Target="https://docs.google.com/presentation/d/1LTbw7uHv-VFQSTUrxxZO6U2TbEHJa-HnZckxi5cVyRI/edit?slide=id.g348ede309fa_0_0" TargetMode="External"/><Relationship Id="rId6" Type="http://schemas.openxmlformats.org/officeDocument/2006/relationships/hyperlink" Target="https://docs.google.com/presentation/d/19ratvcouHfUiR0Pn17fTeeiQoUJJ5MjlYx0xG_VgrcA/edit?slide=id.g37a9de38a6a_0_0" TargetMode="External"/><Relationship Id="rId7" Type="http://schemas.openxmlformats.org/officeDocument/2006/relationships/hyperlink" Target="https://docs.google.com/presentation/d/18tgWojjzMUNGHJl4gJElX50NxMQgjqtD5Q2iP7A7_7o/edit?slide=id.g374bc93f28e_0_13" TargetMode="External"/><Relationship Id="rId8" Type="http://schemas.openxmlformats.org/officeDocument/2006/relationships/hyperlink" Target="https://docs.google.com/presentation/d/1liozWaJtQ-ZuTsBAtot1fvUs6uzmdXvjQcu2GKYbq7I/edit?slide=id.g37683dc8d91_4_0" TargetMode="External"/><Relationship Id="rId31" Type="http://schemas.openxmlformats.org/officeDocument/2006/relationships/hyperlink" Target="https://support.qualcomm.com/s/case/500dK000007qqjGQAQ/factory-test-usb-connect-not-stable" TargetMode="External"/><Relationship Id="rId30" Type="http://schemas.openxmlformats.org/officeDocument/2006/relationships/hyperlink" Target="https://docs.google.com/presentation/d/1Lt_BaFdFQv_X8sUZigg_wYK5tcavh2aHOl5W_dk7JXw/edit?slide=id.g33d4f43d9c4_0_1" TargetMode="External"/><Relationship Id="rId33" Type="http://schemas.openxmlformats.org/officeDocument/2006/relationships/hyperlink" Target="https://docs.google.com/presentation/d/1YRv0SHFZ1gl9ePIKkFvzpq86gvJo55MEdUybqc1SoyY/edit?slide=id.g36bc386ba81_0_0" TargetMode="External"/><Relationship Id="rId32" Type="http://schemas.openxmlformats.org/officeDocument/2006/relationships/hyperlink" Target="https://docs.google.com/presentation/d/1Lt_BaFdFQv_X8sUZigg_wYK5tcavh2aHOl5W_dk7JXw/edit?slide=id.g33d4f43d9c4_0_1" TargetMode="External"/><Relationship Id="rId35" Type="http://schemas.openxmlformats.org/officeDocument/2006/relationships/hyperlink" Target="https://docs.google.com/presentation/d/1ohtk2SAg9nsDX68ZNKmt_vWblo1CpImubPft98Xz-Bw/edit?slide=id.g4057557fca_0_46" TargetMode="External"/><Relationship Id="rId34" Type="http://schemas.openxmlformats.org/officeDocument/2006/relationships/hyperlink" Target="https://drive.google.com/drive/folders/1unKsnxUHzOl-rhJcrBQc1EIjathP4cYi" TargetMode="External"/><Relationship Id="rId37" Type="http://schemas.openxmlformats.org/officeDocument/2006/relationships/hyperlink" Target="https://docs.google.com/presentation/d/1YRv0SHFZ1gl9ePIKkFvzpq86gvJo55MEdUybqc1SoyY/edit?slide=id.g367c1e270cf_0_0" TargetMode="External"/><Relationship Id="rId36" Type="http://schemas.openxmlformats.org/officeDocument/2006/relationships/hyperlink" Target="https://idart.mot.com/browse/" TargetMode="External"/><Relationship Id="rId39" Type="http://schemas.openxmlformats.org/officeDocument/2006/relationships/hyperlink" Target="https://docs.google.com/presentation/d/1RTMwOl2_cDFbu2aWr11xzZEUkUnBSZaWx9aGKL6bego/edit?slide=id.g3821a910ce7_1_0" TargetMode="External"/><Relationship Id="rId38" Type="http://schemas.openxmlformats.org/officeDocument/2006/relationships/hyperlink" Target="https://docs.google.com/presentation/d/1YRv0SHFZ1gl9ePIKkFvzpq86gvJo55MEdUybqc1SoyY/edit?slide=id.g31774eae4e2_1_8" TargetMode="External"/><Relationship Id="rId20" Type="http://schemas.openxmlformats.org/officeDocument/2006/relationships/hyperlink" Target="https://drive.google.com/file/d/17gO59NAKWgXPeNKvLTz2GjzM_L54s-Iy/view?usp=drive_link" TargetMode="External"/><Relationship Id="rId22" Type="http://schemas.openxmlformats.org/officeDocument/2006/relationships/hyperlink" Target="https://idart.mot.com/browse/IKSWW-19238" TargetMode="External"/><Relationship Id="rId21" Type="http://schemas.openxmlformats.org/officeDocument/2006/relationships/hyperlink" Target="https://docs.google.com/presentation/d/19TLprqxB4p0dHFlzpUeuUMFooQ2_C5IRXQ3Az2UZ-wY/edit?slide=id.g344b16bd5fa_0_8" TargetMode="External"/><Relationship Id="rId24" Type="http://schemas.openxmlformats.org/officeDocument/2006/relationships/hyperlink" Target="https://docs.google.com/presentation/d/1xvJnC9s2YOaK8BzjalvYZZRqnAxdwa2jHBCEDwQWsrc/edit?slide=id.g36dd2092495_0_0" TargetMode="External"/><Relationship Id="rId23" Type="http://schemas.openxmlformats.org/officeDocument/2006/relationships/hyperlink" Target="https://docs.google.com/presentation/d/1xvJnC9s2YOaK8BzjalvYZZRqnAxdwa2jHBCEDwQWsrc/edit?slide=id.g36dd2092495_0_39" TargetMode="External"/><Relationship Id="rId26" Type="http://schemas.openxmlformats.org/officeDocument/2006/relationships/hyperlink" Target="http://1.us/" TargetMode="External"/><Relationship Id="rId25" Type="http://schemas.openxmlformats.org/officeDocument/2006/relationships/hyperlink" Target="https://docs.google.com/presentation/d/1YRv0SHFZ1gl9ePIKkFvzpq86gvJo55MEdUybqc1SoyY/edit?slide=id.g36c0b14fed9_0_0" TargetMode="External"/><Relationship Id="rId28" Type="http://schemas.openxmlformats.org/officeDocument/2006/relationships/hyperlink" Target="https://docs.google.com/presentation/d/1Lt_BaFdFQv_X8sUZigg_wYK5tcavh2aHOl5W_dk7JXw/edit?slide=id.g33d4f43d9c4_0_1" TargetMode="External"/><Relationship Id="rId27" Type="http://schemas.openxmlformats.org/officeDocument/2006/relationships/hyperlink" Target="https://docs.google.com/presentation/d/1Lt_BaFdFQv_X8sUZigg_wYK5tcavh2aHOl5W_dk7JXw/edit?slide=id.g33d4f43d9c4_0_1" TargetMode="External"/><Relationship Id="rId29" Type="http://schemas.openxmlformats.org/officeDocument/2006/relationships/hyperlink" Target="https://idart.mot.com/browse/IKSWW-16177" TargetMode="External"/><Relationship Id="rId51" Type="http://schemas.openxmlformats.org/officeDocument/2006/relationships/hyperlink" Target="https://docs.google.com/presentation/d/1xTVF3zx7kQRYgm0tm4ze1kYCxDZ757pQUySsS2DC_bs/edit" TargetMode="External"/><Relationship Id="rId50" Type="http://schemas.openxmlformats.org/officeDocument/2006/relationships/hyperlink" Target="https://docs.google.com/presentation/d/18tgWojjzMUNGHJl4gJElX50NxMQgjqtD5Q2iP7A7_7o/edit" TargetMode="External"/><Relationship Id="rId53" Type="http://schemas.openxmlformats.org/officeDocument/2006/relationships/drawing" Target="../drawings/drawing7.xml"/><Relationship Id="rId52" Type="http://schemas.openxmlformats.org/officeDocument/2006/relationships/hyperlink" Target="https://docs.google.com/presentation/d/1t-l9e9WHhlSGPO59gSKvFu6-eCQGtHIlSFMt-l40pe8/edit" TargetMode="External"/><Relationship Id="rId11" Type="http://schemas.openxmlformats.org/officeDocument/2006/relationships/hyperlink" Target="http://2.ci/" TargetMode="External"/><Relationship Id="rId10" Type="http://schemas.openxmlformats.org/officeDocument/2006/relationships/hyperlink" Target="https://idart.mot.com/browse/IKTM-13189" TargetMode="External"/><Relationship Id="rId54" Type="http://schemas.openxmlformats.org/officeDocument/2006/relationships/vmlDrawing" Target="../drawings/vmlDrawing7.vml"/><Relationship Id="rId13" Type="http://schemas.openxmlformats.org/officeDocument/2006/relationships/hyperlink" Target="https://docs.google.com/presentation/d/1sA-KOC2rO-n8PgJEPwPX7Cl2SXhrB-IqFw3Ujarx4aA/edit?slide=id.g36edd8a85fd_0_54" TargetMode="External"/><Relationship Id="rId12" Type="http://schemas.openxmlformats.org/officeDocument/2006/relationships/hyperlink" Target="https://docs.google.com/presentation/d/1sA-KOC2rO-n8PgJEPwPX7Cl2SXhrB-IqFw3Ujarx4aA/edit?slide=id.g36f6332ed76_0_17" TargetMode="External"/><Relationship Id="rId15" Type="http://schemas.openxmlformats.org/officeDocument/2006/relationships/hyperlink" Target="https://docs.google.com/presentation/d/1sA-KOC2rO-n8PgJEPwPX7Cl2SXhrB-IqFw3Ujarx4aA/edit?slide=id.g36de5f9f9b2_0_0" TargetMode="External"/><Relationship Id="rId14" Type="http://schemas.openxmlformats.org/officeDocument/2006/relationships/hyperlink" Target="https://docs.google.com/presentation/d/1sA-KOC2rO-n8PgJEPwPX7Cl2SXhrB-IqFw3Ujarx4aA/edit?slide=id.g36de5f9f9b2_0_0" TargetMode="External"/><Relationship Id="rId17" Type="http://schemas.openxmlformats.org/officeDocument/2006/relationships/hyperlink" Target="https://docs.google.com/presentation/d/1YRv0SHFZ1gl9ePIKkFvzpq86gvJo55MEdUybqc1SoyY/edit?slide=id.g36f317fdd2d_0_8" TargetMode="External"/><Relationship Id="rId16" Type="http://schemas.openxmlformats.org/officeDocument/2006/relationships/hyperlink" Target="https://docs.google.com/presentation/d/1YRv0SHFZ1gl9ePIKkFvzpq86gvJo55MEdUybqc1SoyY/edit?slide=id.g36f493206e2_0_1" TargetMode="External"/><Relationship Id="rId19" Type="http://schemas.openxmlformats.org/officeDocument/2006/relationships/hyperlink" Target="https://docs.google.com/presentation/d/1sA-KOC2rO-n8PgJEPwPX7Cl2SXhrB-IqFw3Ujarx4aA/edit?slide=id.g36edd8a85fd_0_69" TargetMode="External"/><Relationship Id="rId18" Type="http://schemas.openxmlformats.org/officeDocument/2006/relationships/hyperlink" Target="https://docs.google.com/presentation/d/1sA-KOC2rO-n8PgJEPwPX7Cl2SXhrB-IqFw3Ujarx4aA/edit?slide=id.g3705b442dff_0_35" TargetMode="Externa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hyperlink" Target="https://docs.google.com/presentation/d/1iOxkIKOstoCGYSMWZLqm8bwAyrfSRBnujzKUT6f2uSk/edit?slide=id.g32151359908_0_5" TargetMode="External"/><Relationship Id="rId9" Type="http://schemas.openxmlformats.org/officeDocument/2006/relationships/hyperlink" Target="https://docs.google.com/presentation/d/1LY6kklwHF3yRp-W11wxqQV494wD858l5IzjRXvM_kLk/edit" TargetMode="External"/><Relationship Id="rId5" Type="http://schemas.openxmlformats.org/officeDocument/2006/relationships/hyperlink" Target="https://docs.google.com/presentation/d/12pTjC7_caiUktWjt2Tf33eVSgprtCLlOIAF15x8FCuE/edit?slide=id.g32151359908_0_0" TargetMode="External"/><Relationship Id="rId6" Type="http://schemas.openxmlformats.org/officeDocument/2006/relationships/hyperlink" Target="https://idart.mot.com/browse/BATTMAN-24617" TargetMode="External"/><Relationship Id="rId7" Type="http://schemas.openxmlformats.org/officeDocument/2006/relationships/hyperlink" Target="https://docs.google.com/presentation/d/1MD56CMdXD6tRsHY5u5kxhjm5Ssz-llnKAiEgK5rs4tw/edit" TargetMode="External"/><Relationship Id="rId8" Type="http://schemas.openxmlformats.org/officeDocument/2006/relationships/hyperlink" Target="https://idart.mot.com/browse/IKSWV-45596" TargetMode="External"/><Relationship Id="rId20" Type="http://schemas.openxmlformats.org/officeDocument/2006/relationships/hyperlink" Target="https://docs.google.com/presentation/d/1xpJ_ZqRlXaSyTgU4UtCRmncMYOu9EoE14eapXBZq_VI/edit" TargetMode="External"/><Relationship Id="rId22" Type="http://schemas.openxmlformats.org/officeDocument/2006/relationships/drawing" Target="../drawings/drawing8.xml"/><Relationship Id="rId21" Type="http://schemas.openxmlformats.org/officeDocument/2006/relationships/hyperlink" Target="https://docs.google.com/presentation/d/1VwF-13uwOeLHpjDahkpMZVlpEKawL65oas7V-L-YHHg/edit" TargetMode="External"/><Relationship Id="rId23" Type="http://schemas.openxmlformats.org/officeDocument/2006/relationships/vmlDrawing" Target="../drawings/vmlDrawing8.vml"/><Relationship Id="rId11" Type="http://schemas.openxmlformats.org/officeDocument/2006/relationships/hyperlink" Target="https://idart.mot.com/browse/IKSWV-72264" TargetMode="External"/><Relationship Id="rId10" Type="http://schemas.openxmlformats.org/officeDocument/2006/relationships/hyperlink" Target="https://docs.google.com/spreadsheets/d/1oHxqJOX97NWqgx1T5OXAdgT1Nzu4fUl0qcCNYllazKc/edit?gid=0" TargetMode="External"/><Relationship Id="rId13" Type="http://schemas.openxmlformats.org/officeDocument/2006/relationships/hyperlink" Target="https://docs.google.com/presentation/d/1PcMcvqVxN7dmPyg0BFfxloHhvwrkE8I7ja4duip8P2Q/edit" TargetMode="External"/><Relationship Id="rId12" Type="http://schemas.openxmlformats.org/officeDocument/2006/relationships/hyperlink" Target="https://docs.google.com/presentation/d/1ypovnOUDjKx0LshxXJCI4BE27ZB8dtGRXsuRT6MZEJA/edit" TargetMode="External"/><Relationship Id="rId15" Type="http://schemas.openxmlformats.org/officeDocument/2006/relationships/hyperlink" Target="https://docs.google.com/presentation/d/1PcMcvqVxN7dmPyg0BFfxloHhvwrkE8I7ja4duip8P2Q/edit?usp=sharing" TargetMode="External"/><Relationship Id="rId14" Type="http://schemas.openxmlformats.org/officeDocument/2006/relationships/hyperlink" Target="https://docs.google.com/presentation/d/1PcMcvqVxN7dmPyg0BFfxloHhvwrkE8I7ja4duip8P2Q/edit" TargetMode="External"/><Relationship Id="rId17" Type="http://schemas.openxmlformats.org/officeDocument/2006/relationships/hyperlink" Target="https://docs.google.com/presentation/d/1u1JOjuQtZFVHtzmpSnOCMaYayjJRmvk1sLSMCNllEgU/edit" TargetMode="External"/><Relationship Id="rId16" Type="http://schemas.openxmlformats.org/officeDocument/2006/relationships/hyperlink" Target="https://docs.google.com/spreadsheets/d/1Xo4pDKcN5GoaXzWPz2C5U9C67ceT_KMPxO4MkV8vRq4/edit?gid=834224490" TargetMode="External"/><Relationship Id="rId19" Type="http://schemas.openxmlformats.org/officeDocument/2006/relationships/hyperlink" Target="https://docs.google.com/presentation/d/17YT_o3P8dtfaepBzFXDTcisd751UtSHszcYlbTn5OTo/edit" TargetMode="External"/><Relationship Id="rId18" Type="http://schemas.openxmlformats.org/officeDocument/2006/relationships/hyperlink" Target="https://docs.google.com/presentation/d/1u1JOjuQtZFVHtzmpSnOCMaYayjJRmvk1sLSMCNllEgU/edit" TargetMode="External"/></Relationships>
</file>

<file path=xl/worksheets/_rels/sheet9.xml.rels><?xml version="1.0" encoding="UTF-8" standalone="yes"?><Relationships xmlns="http://schemas.openxmlformats.org/package/2006/relationships"><Relationship Id="rId40" Type="http://schemas.openxmlformats.org/officeDocument/2006/relationships/drawing" Target="../drawings/drawing9.xml"/><Relationship Id="rId41" Type="http://schemas.openxmlformats.org/officeDocument/2006/relationships/vmlDrawing" Target="../drawings/vmlDrawing9.vml"/><Relationship Id="rId1" Type="http://schemas.openxmlformats.org/officeDocument/2006/relationships/comments" Target="../comments9.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hyperlink" Target="https://docs.google.com/presentation/d/1URRBMAVHjwScSytzi29azadfc9-JuImJXpDZaSQv2tk/edit?slide=id.g4057557fca_0_46" TargetMode="External"/><Relationship Id="rId9" Type="http://schemas.openxmlformats.org/officeDocument/2006/relationships/hyperlink" Target="https://docs.google.com/presentation/d/1F7pxgVW3vntlj7swdDsA5GFjNeaQoCzBneV1jLZ4oFo/edit?slide=id.g4057557fca_0_46" TargetMode="External"/><Relationship Id="rId5" Type="http://schemas.openxmlformats.org/officeDocument/2006/relationships/hyperlink" Target="https://docs.google.com/presentation/d/1eMoVxLUW-clpseS0IHQZE8_VwwjS88iykDo_4uWaELc/edit" TargetMode="External"/><Relationship Id="rId6" Type="http://schemas.openxmlformats.org/officeDocument/2006/relationships/hyperlink" Target="https://idart.mot.com/browse/IKSWV-66067" TargetMode="External"/><Relationship Id="rId7" Type="http://schemas.openxmlformats.org/officeDocument/2006/relationships/hyperlink" Target="https://idart.mot.com/browse/PCMHOUSTON-25" TargetMode="External"/><Relationship Id="rId8" Type="http://schemas.openxmlformats.org/officeDocument/2006/relationships/hyperlink" Target="https://docs.google.com/presentation/d/1j6yIaWc9n4EDWkd8_AbJpNvoIP4UHesH90n84hsP6Kc/edit" TargetMode="External"/><Relationship Id="rId31" Type="http://schemas.openxmlformats.org/officeDocument/2006/relationships/hyperlink" Target="https://docs.google.com/presentation/d/14ec21E3SzDtb8aZhmBpgb5APWiMFRUfPHTG8pQ_kK_Y/edit" TargetMode="External"/><Relationship Id="rId30" Type="http://schemas.openxmlformats.org/officeDocument/2006/relationships/hyperlink" Target="https://docs.google.com/presentation/d/1IV3gqLzG3MzfDSYr8xByWGtnsXSHHstCFDTW3gE71Mc/edit" TargetMode="External"/><Relationship Id="rId33" Type="http://schemas.openxmlformats.org/officeDocument/2006/relationships/hyperlink" Target="https://docs.google.com/presentation/d/1pHdGI8uJgDnMtlrMzKxL_x4SUXA_mXtvxJ0JazaUoc0/edit" TargetMode="External"/><Relationship Id="rId32" Type="http://schemas.openxmlformats.org/officeDocument/2006/relationships/hyperlink" Target="https://docs.google.com/presentation/d/1CSHQCUKIafLA3IZF_cJX_BZtLrBUaV4wP_yIySsu5DQ/edit" TargetMode="External"/><Relationship Id="rId35" Type="http://schemas.openxmlformats.org/officeDocument/2006/relationships/hyperlink" Target="https://docs.google.com/presentation/d/14ec21E3SzDtb8aZhmBpgb5APWiMFRUfPHTG8pQ_kK_Y/edit" TargetMode="External"/><Relationship Id="rId34" Type="http://schemas.openxmlformats.org/officeDocument/2006/relationships/hyperlink" Target="https://docs.google.com/presentation/d/1oN50U77AOtXZEBR96XNrXcOv226wKJ8vE3MvohdR-wc/edit" TargetMode="External"/><Relationship Id="rId37" Type="http://schemas.openxmlformats.org/officeDocument/2006/relationships/hyperlink" Target="https://docs.google.com/presentation/d/15Xaeg8Ziq2yHaBCHLl6wuPJjDOcLzsmbZh-gHYiRzks/edit" TargetMode="External"/><Relationship Id="rId36" Type="http://schemas.openxmlformats.org/officeDocument/2006/relationships/hyperlink" Target="https://docs.google.com/presentation/d/14ec21E3SzDtb8aZhmBpgb5APWiMFRUfPHTG8pQ_kK_Y/edit" TargetMode="External"/><Relationship Id="rId39" Type="http://schemas.openxmlformats.org/officeDocument/2006/relationships/hyperlink" Target="https://docs.google.com/presentation/d/1my0if-1s7Rk-Z1DxqtCPDGoRMQyEB_B7EMpjCwW0VQ8/edit" TargetMode="External"/><Relationship Id="rId38" Type="http://schemas.openxmlformats.org/officeDocument/2006/relationships/hyperlink" Target="https://docs.google.com/presentation/d/1YnJcLGqWp_bt6noe1ZsgVllVrRDme2ADNs0SYrhauow/edit" TargetMode="External"/><Relationship Id="rId20" Type="http://schemas.openxmlformats.org/officeDocument/2006/relationships/hyperlink" Target="https://docs.google.com/presentation/d/1jgXuFSybMN09eA-K-9snD3gv12M31fa4Kg6iEFB-L40/edit" TargetMode="External"/><Relationship Id="rId22" Type="http://schemas.openxmlformats.org/officeDocument/2006/relationships/hyperlink" Target="https://docs.google.com/presentation/d/1WGdG1-kKIZD2g6EYAVWzO34wilXqLNulvVROzHv207Q/edit" TargetMode="External"/><Relationship Id="rId21" Type="http://schemas.openxmlformats.org/officeDocument/2006/relationships/hyperlink" Target="https://docs.google.com/presentation/d/1F081s9AKfmqdHT2pcEkq58nVBzgMUpuRvt0H-20Q-1c/edit" TargetMode="External"/><Relationship Id="rId24" Type="http://schemas.openxmlformats.org/officeDocument/2006/relationships/hyperlink" Target="https://docs.google.com/presentation/d/1qVg0e65Bhb_PB4gauXrYCErE5xLx_ZSfslUciTDT7R8/edit" TargetMode="External"/><Relationship Id="rId23" Type="http://schemas.openxmlformats.org/officeDocument/2006/relationships/hyperlink" Target="https://idart.mot.com/browse/IKSWV-28598" TargetMode="External"/><Relationship Id="rId26" Type="http://schemas.openxmlformats.org/officeDocument/2006/relationships/hyperlink" Target="https://docs.google.com/presentation/d/17HxeprgWhaezsBBq6GiZT81Cykoarq9XZM2D4P3lf1w/edit" TargetMode="External"/><Relationship Id="rId25" Type="http://schemas.openxmlformats.org/officeDocument/2006/relationships/hyperlink" Target="https://docs.google.com/presentation/d/1rVJCYkOHNECq9ggbYD9egIxpb3WdZXO4yr0-FCUoIBg/edit" TargetMode="External"/><Relationship Id="rId28" Type="http://schemas.openxmlformats.org/officeDocument/2006/relationships/hyperlink" Target="https://docs.google.com/presentation/d/1IV3gqLzG3MzfDSYr8xByWGtnsXSHHstCFDTW3gE71Mc/edit" TargetMode="External"/><Relationship Id="rId27" Type="http://schemas.openxmlformats.org/officeDocument/2006/relationships/hyperlink" Target="https://docs.google.com/presentation/d/14ec21E3SzDtb8aZhmBpgb5APWiMFRUfPHTG8pQ_kK_Y/edit" TargetMode="External"/><Relationship Id="rId29" Type="http://schemas.openxmlformats.org/officeDocument/2006/relationships/hyperlink" Target="https://docs.google.com/presentation/d/14ec21E3SzDtb8aZhmBpgb5APWiMFRUfPHTG8pQ_kK_Y/edit" TargetMode="External"/><Relationship Id="rId11" Type="http://schemas.openxmlformats.org/officeDocument/2006/relationships/hyperlink" Target="https://docs.google.com/presentation/d/10QmKFkeDChhX1y0AxwVoGL2-O9mNXFxZG0NXHHUF0PA/edit" TargetMode="External"/><Relationship Id="rId10" Type="http://schemas.openxmlformats.org/officeDocument/2006/relationships/hyperlink" Target="https://docs.google.com/presentation/d/1rVJCYkOHNECq9ggbYD9egIxpb3WdZXO4yr0-FCUoIBg/edit" TargetMode="External"/><Relationship Id="rId13" Type="http://schemas.openxmlformats.org/officeDocument/2006/relationships/hyperlink" Target="https://docs.google.com/presentation/d/1y9uPOw9rjuTC7LKiCtrpfLeyxLUd-_0K2zCM1ZZVzKk/edit?usp=sharing" TargetMode="External"/><Relationship Id="rId12" Type="http://schemas.openxmlformats.org/officeDocument/2006/relationships/hyperlink" Target="https://docs.google.com/presentation/d/1rVJCYkOHNECq9ggbYD9egIxpb3WdZXO4yr0-FCUoIBg/edit" TargetMode="External"/><Relationship Id="rId15" Type="http://schemas.openxmlformats.org/officeDocument/2006/relationships/hyperlink" Target="https://docs.google.com/presentation/d/1cy226wL_pG89m_mK9j4RmO2kxrzeqj-xHJZFd61LSwA/edit" TargetMode="External"/><Relationship Id="rId14" Type="http://schemas.openxmlformats.org/officeDocument/2006/relationships/hyperlink" Target="https://docs.google.com/presentation/d/15ZN7axvhLF0Z1k1PxNHv8EHrXyR2Jz3KeXEZYzaJAbM/edit" TargetMode="External"/><Relationship Id="rId17" Type="http://schemas.openxmlformats.org/officeDocument/2006/relationships/hyperlink" Target="https://docs.google.com/presentation/d/16DrX9b7MKFr1FUfZTTA7jLQUI9_6Bn7B/edit?usp=sharing&amp;ouid=118032762464581342106&amp;rtpof=true&amp;sd=true" TargetMode="External"/><Relationship Id="rId16" Type="http://schemas.openxmlformats.org/officeDocument/2006/relationships/hyperlink" Target="https://docs.google.com/presentation/d/16DrX9b7MKFr1FUfZTTA7jLQUI9_6Bn7B/edit" TargetMode="External"/><Relationship Id="rId19" Type="http://schemas.openxmlformats.org/officeDocument/2006/relationships/hyperlink" Target="https://docs.google.com/presentation/d/1oN50U77AOtXZEBR96XNrXcOv226wKJ8vE3MvohdR-wc/edit" TargetMode="External"/><Relationship Id="rId18" Type="http://schemas.openxmlformats.org/officeDocument/2006/relationships/hyperlink" Target="https://docs.google.com/presentation/d/1rVJCYkOHNECq9ggbYD9egIxpb3WdZXO4yr0-FCUoIBg/edit" TargetMode="Externa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microsoft.com/office/2017/10/relationships/threadedComment" Target="../threadedComments/threadedComment8.xml"/><Relationship Id="rId3" Type="http://schemas.microsoft.com/office/2019/04/relationships/documenttask" Target="../documenttasks/documenttask8.xml"/><Relationship Id="rId4" Type="http://schemas.openxmlformats.org/officeDocument/2006/relationships/hyperlink" Target="https://docs.google.com/spreadsheets/d/1tOcEYW7Swj81zn3ExghfmDsgplvG7XdFHdCnDAwFiWQ/edit" TargetMode="External"/><Relationship Id="rId9" Type="http://schemas.openxmlformats.org/officeDocument/2006/relationships/hyperlink" Target="https://docs.google.com/presentation/d/12MGQXUmPAwdzbMpm77TsuFAqbq-ZpF2l0fD8kDxkm2Q/edit" TargetMode="External"/><Relationship Id="rId5" Type="http://schemas.openxmlformats.org/officeDocument/2006/relationships/hyperlink" Target="https://docs.google.com/presentation/d/1_1YySw_R2lbRSN3dR48fV9F0hZmZip9LxDMl9PoEgh4/edit" TargetMode="External"/><Relationship Id="rId6" Type="http://schemas.openxmlformats.org/officeDocument/2006/relationships/hyperlink" Target="https://docs.google.com/presentation/d/12MGQXUmPAwdzbMpm77TsuFAqbq-ZpF2l0fD8kDxkm2Q/edit" TargetMode="External"/><Relationship Id="rId7" Type="http://schemas.openxmlformats.org/officeDocument/2006/relationships/hyperlink" Target="https://docs.google.com/presentation/d/1fBmzRz1dL2JTzlUqi169Lrx6HD0MZwa5_wy1BOH_cyM/edit" TargetMode="External"/><Relationship Id="rId8" Type="http://schemas.openxmlformats.org/officeDocument/2006/relationships/hyperlink" Target="https://docs.google.com/presentation/d/1nYPBY1r2S1jmiOHc9fKyD3Y7GPUkpbKwlLHh-3kWTaQ/edit" TargetMode="External"/><Relationship Id="rId20" Type="http://schemas.openxmlformats.org/officeDocument/2006/relationships/hyperlink" Target="https://docs.google.com/presentation/d/1EFWD247qTMfa4wx-os6qpcHJq4_-fxAwygf8wDQsOaA/edit" TargetMode="External"/><Relationship Id="rId22" Type="http://schemas.openxmlformats.org/officeDocument/2006/relationships/hyperlink" Target="https://docs.google.com/spreadsheets/d/14KCMxRryf5REcSpWVvfbawBjZuGelx2CYTXdVnHn3O4/edit" TargetMode="External"/><Relationship Id="rId21" Type="http://schemas.openxmlformats.org/officeDocument/2006/relationships/hyperlink" Target="https://docs.google.com/presentation/d/1JLwDDWF7-lc-OqhB-0_1ZRwovsuPmQgEDSbx-bSJdhY/edit" TargetMode="External"/><Relationship Id="rId24" Type="http://schemas.openxmlformats.org/officeDocument/2006/relationships/vmlDrawing" Target="../drawings/vmlDrawing10.vml"/><Relationship Id="rId23" Type="http://schemas.openxmlformats.org/officeDocument/2006/relationships/drawing" Target="../drawings/drawing10.xml"/><Relationship Id="rId11" Type="http://schemas.openxmlformats.org/officeDocument/2006/relationships/hyperlink" Target="https://docs.google.com/presentation/d/1MFEPdysvXGh-jW2ClCEdekCVh8kqglBh7VtkUz7VoaM/edit" TargetMode="External"/><Relationship Id="rId10" Type="http://schemas.openxmlformats.org/officeDocument/2006/relationships/hyperlink" Target="https://docs.google.com/spreadsheets/d/1vbbmh7d5oegOqoyUAlaKOzg_04SoVgZNmSZxchIcobY/edit" TargetMode="External"/><Relationship Id="rId13" Type="http://schemas.openxmlformats.org/officeDocument/2006/relationships/hyperlink" Target="https://docs.google.com/presentation/d/1jZn0nWeYtvOpuF5q4r2RPaikVEHV18M77A6flVg5NnE/edit" TargetMode="External"/><Relationship Id="rId12" Type="http://schemas.openxmlformats.org/officeDocument/2006/relationships/hyperlink" Target="https://docs.google.com/presentation/d/1MFEPdysvXGh-jW2ClCEdekCVh8kqglBh7VtkUz7VoaM/edit" TargetMode="External"/><Relationship Id="rId15" Type="http://schemas.openxmlformats.org/officeDocument/2006/relationships/hyperlink" Target="https://docs.google.com/presentation/d/1AXMVmKqT4DpA3p5sV4G4Dxg1v-GQhnjWwnkMWlHd9zw/edit" TargetMode="External"/><Relationship Id="rId14" Type="http://schemas.openxmlformats.org/officeDocument/2006/relationships/hyperlink" Target="https://docs.google.com/presentation/d/12a3pvwZuq3E6MzQFwchXfM7-xQPU6BdKpvWKAMt4amI/edit" TargetMode="External"/><Relationship Id="rId17" Type="http://schemas.openxmlformats.org/officeDocument/2006/relationships/hyperlink" Target="https://docs.google.com/presentation/d/1LtkodrrDIuqVb-Ykxn2lNSnlrEPj8X25aTZZ6no-Cjo/edit" TargetMode="External"/><Relationship Id="rId16" Type="http://schemas.openxmlformats.org/officeDocument/2006/relationships/hyperlink" Target="https://docs.google.com/presentation/d/1Zf9IzA3fTAkQDzwi9lHCP5d-5POTEWXHE15v1ccUB-M/edit" TargetMode="External"/><Relationship Id="rId19" Type="http://schemas.openxmlformats.org/officeDocument/2006/relationships/hyperlink" Target="https://docs.google.com/presentation/d/1qNd__ZfZHVnMacECaUuJHddfHlUYfO272NoMQ-0_djI/edit" TargetMode="External"/><Relationship Id="rId18" Type="http://schemas.openxmlformats.org/officeDocument/2006/relationships/hyperlink" Target="https://docs.google.com/presentation/d/1OGAoq4MaA4E7e96pJOtfuIaaXzD6C_R_eSzdNY94xFw/edit" TargetMode="Externa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microsoft.com/office/2017/10/relationships/threadedComment" Target="../threadedComments/threadedComment9.xml"/><Relationship Id="rId3" Type="http://schemas.microsoft.com/office/2019/04/relationships/documenttask" Target="../documenttasks/documenttask9.xml"/><Relationship Id="rId4" Type="http://schemas.openxmlformats.org/officeDocument/2006/relationships/hyperlink" Target="https://docs.google.com/spreadsheets/d/1tOcEYW7Swj81zn3ExghfmDsgplvG7XdFHdCnDAwFiWQ/edit" TargetMode="External"/><Relationship Id="rId9" Type="http://schemas.openxmlformats.org/officeDocument/2006/relationships/hyperlink" Target="https://docs.google.com/presentation/d/1SYGJGIkaIu0jT6tJZ1KOd0d5NHX_T0IBGmBjUBwF1nc/edit" TargetMode="External"/><Relationship Id="rId5" Type="http://schemas.openxmlformats.org/officeDocument/2006/relationships/hyperlink" Target="https://docs.google.com/presentation/d/1U2Q68ioPXX6G6wdt2Z2Qczx7wxtQbLfcRCE5mHgWoOw/edit" TargetMode="External"/><Relationship Id="rId6" Type="http://schemas.openxmlformats.org/officeDocument/2006/relationships/hyperlink" Target="https://docs.google.com/presentation/d/1ZcWtrGkMhHB4yBNCAZxG_DZfCBA53_r2w8TDYuGaPIE/edit" TargetMode="External"/><Relationship Id="rId7" Type="http://schemas.openxmlformats.org/officeDocument/2006/relationships/hyperlink" Target="https://idart.mot.com/browse/IKSWU-124341" TargetMode="External"/><Relationship Id="rId8" Type="http://schemas.openxmlformats.org/officeDocument/2006/relationships/hyperlink" Target="https://docs.google.com/presentation/d/1pw3YUQoPtny6mE8NrTkLRamglNFVyd7zu41YfXC7H3A/edit" TargetMode="External"/><Relationship Id="rId20" Type="http://schemas.openxmlformats.org/officeDocument/2006/relationships/vmlDrawing" Target="../drawings/vmlDrawing11.vml"/><Relationship Id="rId11" Type="http://schemas.openxmlformats.org/officeDocument/2006/relationships/hyperlink" Target="https://docs.google.com/presentation/d/1GvVhvy0uni_bnxf9DdQyVPgxyj1lKNj186PU6Ee9eT4/edit" TargetMode="External"/><Relationship Id="rId10" Type="http://schemas.openxmlformats.org/officeDocument/2006/relationships/hyperlink" Target="https://idart.mot.com/browse/IKSWU-81779" TargetMode="External"/><Relationship Id="rId13" Type="http://schemas.openxmlformats.org/officeDocument/2006/relationships/hyperlink" Target="https://docs.google.com/presentation/d/1J63kLTnzRNVChCr5owKtoYBg30PTOeDkqwSZebUqHNM/edit" TargetMode="External"/><Relationship Id="rId12" Type="http://schemas.openxmlformats.org/officeDocument/2006/relationships/hyperlink" Target="https://docs.google.com/presentation/d/1PqdKN-9KKwH23X3ImVsDhIJmgW0HC3SornA0i5hFHTw/edit" TargetMode="External"/><Relationship Id="rId15" Type="http://schemas.openxmlformats.org/officeDocument/2006/relationships/hyperlink" Target="https://idart.mot.com/browse/IKSWU-34055" TargetMode="External"/><Relationship Id="rId14" Type="http://schemas.openxmlformats.org/officeDocument/2006/relationships/hyperlink" Target="https://docs.google.com/presentation/d/199IDWe46j4ZOjGGdT0lmTGqOcq54ZZsFSO_EdVJXF_M/edit" TargetMode="External"/><Relationship Id="rId17" Type="http://schemas.openxmlformats.org/officeDocument/2006/relationships/hyperlink" Target="https://docs.google.com/presentation/d/1QWkI_vmdIV8ivlkAz58UjYu8f0QWbiq0UY09m5M8E0w/edit" TargetMode="External"/><Relationship Id="rId16" Type="http://schemas.openxmlformats.org/officeDocument/2006/relationships/hyperlink" Target="https://docs.google.com/presentation/d/1-ATVp7zt5hW5vt3hRVPUhabn6uXkh9ExetfqWaIB9O4/edit" TargetMode="External"/><Relationship Id="rId19" Type="http://schemas.openxmlformats.org/officeDocument/2006/relationships/drawing" Target="../drawings/drawing11.xml"/><Relationship Id="rId18" Type="http://schemas.openxmlformats.org/officeDocument/2006/relationships/hyperlink" Target="https://docs.google.com/presentation/d/1b46ouLCw7HbyL7VVV9UquMwSwmKEdhGb47LMqIRVmWc/edit" TargetMode="External"/></Relationships>
</file>

<file path=xl/worksheets/_rels/sheet12.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hyperlink" Target="https://docs.google.com/spreadsheets/d/1tOcEYW7Swj81zn3ExghfmDsgplvG7XdFHdCnDAwFiWQ/edit" TargetMode="External"/><Relationship Id="rId3" Type="http://schemas.openxmlformats.org/officeDocument/2006/relationships/hyperlink" Target="https://docs.google.com/presentation/d/1V486BRXJYaeFdB-2oFAPtFR94r_yR2jM9Vwnhgy6uUc/edit" TargetMode="External"/><Relationship Id="rId4" Type="http://schemas.openxmlformats.org/officeDocument/2006/relationships/drawing" Target="../drawings/drawing12.xml"/><Relationship Id="rId5" Type="http://schemas.openxmlformats.org/officeDocument/2006/relationships/vmlDrawing" Target="../drawings/vmlDrawing12.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hyperlink" Target="https://docs.google.com/spreadsheets/d/1tOcEYW7Swj81zn3ExghfmDsgplvG7XdFHdCnDAwFiWQ/edit" TargetMode="External"/><Relationship Id="rId3" Type="http://schemas.openxmlformats.org/officeDocument/2006/relationships/hyperlink" Target="https://docs.google.com/presentation/d/1c1Vl9zysgzuMhWCN-VT3yP80p5pHd8gznRXG70pxVps/edit" TargetMode="External"/><Relationship Id="rId4" Type="http://schemas.openxmlformats.org/officeDocument/2006/relationships/hyperlink" Target="https://docs.google.com/presentation/d/1QBumZBVwRV2u9fPGfZfUxLFYMx5NiYiFjYMSvwpjWJE/edit" TargetMode="External"/><Relationship Id="rId9" Type="http://schemas.openxmlformats.org/officeDocument/2006/relationships/hyperlink" Target="https://docs.google.com/presentation/d/1s_qK22o_WMoCxkuIdPXOtyYHbgUDVhipaKaO5RmAtT0/edit" TargetMode="External"/><Relationship Id="rId5" Type="http://schemas.openxmlformats.org/officeDocument/2006/relationships/hyperlink" Target="https://docs.google.com/presentation/d/1INz67s6lNrv1qdcdd5ey35TUYG1Te5AI6SY50_eKcQM/edit" TargetMode="External"/><Relationship Id="rId6" Type="http://schemas.openxmlformats.org/officeDocument/2006/relationships/hyperlink" Target="https://docs.google.com/spreadsheets/d/1AonKL0zbmOU4jnok6htVmMGes84sldQTQQIyaBgQVzg/edit" TargetMode="External"/><Relationship Id="rId7" Type="http://schemas.openxmlformats.org/officeDocument/2006/relationships/hyperlink" Target="https://docs.google.com/spreadsheets/d/1AonKL0zbmOU4jnok6htVmMGes84sldQTQQIyaBgQVzg/edit" TargetMode="External"/><Relationship Id="rId8" Type="http://schemas.openxmlformats.org/officeDocument/2006/relationships/hyperlink" Target="https://docs.google.com/presentation/d/1EOz1X9edUBU6EnOxQS6FXpreOKcyzOe9xBA78PEVFxk/edit" TargetMode="External"/><Relationship Id="rId11" Type="http://schemas.openxmlformats.org/officeDocument/2006/relationships/hyperlink" Target="https://docs.google.com/presentation/d/1a96KRwz9WEKHtXZ457xy6R6jggbt0DgInQnLOjfJSoY/edit" TargetMode="External"/><Relationship Id="rId10" Type="http://schemas.openxmlformats.org/officeDocument/2006/relationships/hyperlink" Target="https://docs.google.com/presentation/d/1ycvY8YAxewsMkb3-BBgrlw0LeaaVpZTJ8NG2MOCno_c/edit" TargetMode="External"/><Relationship Id="rId13" Type="http://schemas.openxmlformats.org/officeDocument/2006/relationships/hyperlink" Target="https://docs.google.com/presentation/d/1s_qK22o_WMoCxkuIdPXOtyYHbgUDVhipaKaO5RmAtT0/edit" TargetMode="External"/><Relationship Id="rId12" Type="http://schemas.openxmlformats.org/officeDocument/2006/relationships/hyperlink" Target="https://docs.google.com/presentation/d/1a96KRwz9WEKHtXZ457xy6R6jggbt0DgInQnLOjfJSoY/edit" TargetMode="External"/><Relationship Id="rId15" Type="http://schemas.openxmlformats.org/officeDocument/2006/relationships/hyperlink" Target="https://docs.google.com/presentation/d/1J3k9dvXVvAoJNv_6F0niBhwrQtwler1zqnIh78oofgQ/edit" TargetMode="External"/><Relationship Id="rId14" Type="http://schemas.openxmlformats.org/officeDocument/2006/relationships/hyperlink" Target="https://docs.google.com/presentation/d/187_RwUOmNwwBQXAF2KWI_e8bsh9XwR14dNxtc6RKlBc/edit" TargetMode="External"/><Relationship Id="rId17" Type="http://schemas.openxmlformats.org/officeDocument/2006/relationships/vmlDrawing" Target="../drawings/vmlDrawing13.vml"/><Relationship Id="rId16"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40" Type="http://schemas.openxmlformats.org/officeDocument/2006/relationships/hyperlink" Target="https://docs.google.com/presentation/d/1ulrf6wd0__YP9dZymk1LAlO1fv7HY5dFKtHpeu7HxFo/edit" TargetMode="External"/><Relationship Id="rId42" Type="http://schemas.openxmlformats.org/officeDocument/2006/relationships/hyperlink" Target="https://docs.google.com/presentation/d/1Ryy0NEq8uRstD0WvHlladkVcJxmNlE0kmzKDY-Oz7EY/edit" TargetMode="External"/><Relationship Id="rId41" Type="http://schemas.openxmlformats.org/officeDocument/2006/relationships/hyperlink" Target="https://docs.google.com/presentation/d/1zvDFyqqfNNJ0iwAlGZ5AoPliRfFBsuSW4cE3VMDXaUs/edit" TargetMode="External"/><Relationship Id="rId44" Type="http://schemas.openxmlformats.org/officeDocument/2006/relationships/hyperlink" Target="https://docs.google.com/presentation/d/1BnIIM7BjSwpj6YYILhOQJPjD1CKbJe8h7sToZKIu3CA/edit" TargetMode="External"/><Relationship Id="rId43" Type="http://schemas.openxmlformats.org/officeDocument/2006/relationships/hyperlink" Target="https://docs.google.com/presentation/d/1zvDFyqqfNNJ0iwAlGZ5AoPliRfFBsuSW4cE3VMDXaUs/edit" TargetMode="External"/><Relationship Id="rId46" Type="http://schemas.openxmlformats.org/officeDocument/2006/relationships/hyperlink" Target="https://docs.google.com/presentation/d/13KX01nl41Zcsy18hqYawB87Ln-0cJ2NMapj5UMk1s70/edit" TargetMode="External"/><Relationship Id="rId45" Type="http://schemas.openxmlformats.org/officeDocument/2006/relationships/hyperlink" Target="https://docs.google.com/presentation/d/1exwZZNPdL_tns_iDHY5jlTbnjuRilLZT/edit" TargetMode="External"/><Relationship Id="rId1" Type="http://schemas.openxmlformats.org/officeDocument/2006/relationships/comments" Target="../comments14.xml"/><Relationship Id="rId2" Type="http://schemas.microsoft.com/office/2017/10/relationships/threadedComment" Target="../threadedComments/threadedComment10.xml"/><Relationship Id="rId3" Type="http://schemas.microsoft.com/office/2019/04/relationships/documenttask" Target="../documenttasks/documenttask10.xml"/><Relationship Id="rId4" Type="http://schemas.openxmlformats.org/officeDocument/2006/relationships/hyperlink" Target="https://docs.google.com/spreadsheets/d/1tOcEYW7Swj81zn3ExghfmDsgplvG7XdFHdCnDAwFiWQ/edit" TargetMode="External"/><Relationship Id="rId9" Type="http://schemas.openxmlformats.org/officeDocument/2006/relationships/hyperlink" Target="https://docs.google.com/spreadsheets/d/1PWtSgrf-IzcR0VcNHIywZ70dA2TIyMvcHDzw_8vIniw/edit" TargetMode="External"/><Relationship Id="rId48" Type="http://schemas.openxmlformats.org/officeDocument/2006/relationships/hyperlink" Target="https://idart.mot.com/browse/IKSWT-51733" TargetMode="External"/><Relationship Id="rId47" Type="http://schemas.openxmlformats.org/officeDocument/2006/relationships/hyperlink" Target="https://docs.google.com/presentation/d/1r-W2gj619CniEVqCVIfngapcBxW98OxjlAUUzbucrIA/edit" TargetMode="External"/><Relationship Id="rId49" Type="http://schemas.openxmlformats.org/officeDocument/2006/relationships/hyperlink" Target="https://docs.google.com/presentation/d/17RZ0O9KSgs0ZMm12TUydEwHdewIrD-AZkPc1RNjWkLg/edit?usp=sharing" TargetMode="External"/><Relationship Id="rId5" Type="http://schemas.openxmlformats.org/officeDocument/2006/relationships/hyperlink" Target="https://docs.google.com/presentation/d/15X3PpWkgB8lG-Q4ZslRCL06OKIR1ccoSfXlM8BfJ8wQ/edit" TargetMode="External"/><Relationship Id="rId6" Type="http://schemas.openxmlformats.org/officeDocument/2006/relationships/hyperlink" Target="https://docs.google.com/presentation/d/19PhwUi0Bz0-3lqdgXXYIe4pgiqrHuDI97QZiRitomAs/edit" TargetMode="External"/><Relationship Id="rId7" Type="http://schemas.openxmlformats.org/officeDocument/2006/relationships/hyperlink" Target="https://docs.google.com/spreadsheets/d/1PWtSgrf-IzcR0VcNHIywZ70dA2TIyMvcHDzw_8vIniw/edit" TargetMode="External"/><Relationship Id="rId8" Type="http://schemas.openxmlformats.org/officeDocument/2006/relationships/hyperlink" Target="https://docs.google.com/presentation/d/1vyQLml3IlPSAEwA937yW3B0OQDz428wMNKV3HIdrPq8/edit" TargetMode="External"/><Relationship Id="rId31" Type="http://schemas.openxmlformats.org/officeDocument/2006/relationships/hyperlink" Target="https://docs.google.com/spreadsheets/d/1YvncR5ypiaKHa0RWuuTqmvmJbA4iZNf2fNPQ_ndDWTQ/edit" TargetMode="External"/><Relationship Id="rId30" Type="http://schemas.openxmlformats.org/officeDocument/2006/relationships/hyperlink" Target="https://docs.google.com/presentation/d/1FQwwVXEPwUhmWp4pCo4VwXxS_eZpuHfdD7I2RfPz4oQ/edit" TargetMode="External"/><Relationship Id="rId33" Type="http://schemas.openxmlformats.org/officeDocument/2006/relationships/hyperlink" Target="https://docs.google.com/presentation/d/19Jr2Jrq-gY-DQJ_54cMXrZkQHs0Vz-KOYITjT3Qo7u8/edit" TargetMode="External"/><Relationship Id="rId32" Type="http://schemas.openxmlformats.org/officeDocument/2006/relationships/hyperlink" Target="https://docs.google.com/presentation/d/1BnIIM7BjSwpj6YYILhOQJPjD1CKbJe8h7sToZKIu3CA/edit" TargetMode="External"/><Relationship Id="rId35" Type="http://schemas.openxmlformats.org/officeDocument/2006/relationships/hyperlink" Target="https://docs.google.com/presentation/d/1uaLtD4PkK0A3b7KreneZH8KFrYlsl2fm4r2lkhXYw04/edit" TargetMode="External"/><Relationship Id="rId34" Type="http://schemas.openxmlformats.org/officeDocument/2006/relationships/hyperlink" Target="https://idart.mot.com/browse/IKSWT-66439" TargetMode="External"/><Relationship Id="rId37" Type="http://schemas.openxmlformats.org/officeDocument/2006/relationships/hyperlink" Target="https://docs.google.com/spreadsheets/d/1YvncR5ypiaKHa0RWuuTqmvmJbA4iZNf2fNPQ_ndDWTQ/edit" TargetMode="External"/><Relationship Id="rId36" Type="http://schemas.openxmlformats.org/officeDocument/2006/relationships/hyperlink" Target="https://docs.google.com/presentation/d/1uw_zBrfZbEY5gss5exvw2KU_cZJiRnPS42XGkSv5HJw/edit" TargetMode="External"/><Relationship Id="rId39" Type="http://schemas.openxmlformats.org/officeDocument/2006/relationships/hyperlink" Target="https://docs.google.com/spreadsheets/d/1YvncR5ypiaKHa0RWuuTqmvmJbA4iZNf2fNPQ_ndDWTQ/edit" TargetMode="External"/><Relationship Id="rId38" Type="http://schemas.openxmlformats.org/officeDocument/2006/relationships/hyperlink" Target="https://docs.google.com/presentation/d/1qJx2jHPiH_v3JeSaHsYK2RzZSiNkqgxwMpbFUfOS9io/edit" TargetMode="External"/><Relationship Id="rId20" Type="http://schemas.openxmlformats.org/officeDocument/2006/relationships/hyperlink" Target="https://docs.google.com/presentation/d/10YKCTeyt4oK6xt1dP6KkLoRN45CwLGOmKwRwGyFM6Ks/edit" TargetMode="External"/><Relationship Id="rId22" Type="http://schemas.openxmlformats.org/officeDocument/2006/relationships/hyperlink" Target="https://docs.google.com/presentation/d/1FQwwVXEPwUhmWp4pCo4VwXxS_eZpuHfdD7I2RfPz4oQ/edit" TargetMode="External"/><Relationship Id="rId21" Type="http://schemas.openxmlformats.org/officeDocument/2006/relationships/hyperlink" Target="https://docs.google.com/spreadsheets/d/1CDcQGMqwK00p_ASdJ_3F7euiDIQtFFgPVFXCYGoe9O0/edit" TargetMode="External"/><Relationship Id="rId24" Type="http://schemas.openxmlformats.org/officeDocument/2006/relationships/hyperlink" Target="https://docs.google.com/presentation/d/1ITST4h-P1DD3V-aygm8K-wizZI-odusWgqQ4dwh_AEY/edit" TargetMode="External"/><Relationship Id="rId23" Type="http://schemas.openxmlformats.org/officeDocument/2006/relationships/hyperlink" Target="https://docs.google.com/presentation/d/1qJx2jHPiH_v3JeSaHsYK2RzZSiNkqgxwMpbFUfOS9io/edit" TargetMode="External"/><Relationship Id="rId26" Type="http://schemas.openxmlformats.org/officeDocument/2006/relationships/hyperlink" Target="https://idart.mot.com/browse/IKSWT-92072" TargetMode="External"/><Relationship Id="rId25" Type="http://schemas.openxmlformats.org/officeDocument/2006/relationships/hyperlink" Target="https://docs.google.com/presentation/d/1Bt909FZZrKhLg2FVIoZITgLXhsibELcb/edit" TargetMode="External"/><Relationship Id="rId28" Type="http://schemas.openxmlformats.org/officeDocument/2006/relationships/hyperlink" Target="https://eservice.mediatek.com/eservice-portal/issue_manager/update/135860756" TargetMode="External"/><Relationship Id="rId27" Type="http://schemas.openxmlformats.org/officeDocument/2006/relationships/hyperlink" Target="https://idart.mot.com/browse/IKSWT-91107" TargetMode="External"/><Relationship Id="rId29" Type="http://schemas.openxmlformats.org/officeDocument/2006/relationships/hyperlink" Target="https://idart.mot.com/browse/IKSWT-95557" TargetMode="External"/><Relationship Id="rId51" Type="http://schemas.openxmlformats.org/officeDocument/2006/relationships/hyperlink" Target="https://docs.google.com/presentation/d/1Ya7J80hOepPFugyYTJNNWa9d1vR09gdrcuvFw4abs5Q/edit" TargetMode="External"/><Relationship Id="rId50" Type="http://schemas.openxmlformats.org/officeDocument/2006/relationships/hyperlink" Target="https://docs.google.com/presentation/u/0/d/1z2HHW8zwCga00XeMLi7SiFOiYmJwwoXLARZo9jYnnqM/edit?fromCopy=true" TargetMode="External"/><Relationship Id="rId53" Type="http://schemas.openxmlformats.org/officeDocument/2006/relationships/drawing" Target="../drawings/drawing14.xml"/><Relationship Id="rId52" Type="http://schemas.openxmlformats.org/officeDocument/2006/relationships/hyperlink" Target="https://docs.google.com/presentation/d/1o2veGOwrtkDQx94w9XfejPg9DbguvKs7Pm6YxKgHVd0/edit" TargetMode="External"/><Relationship Id="rId11" Type="http://schemas.openxmlformats.org/officeDocument/2006/relationships/hyperlink" Target="https://idart.mot.com/browse/IKSWT-126520" TargetMode="External"/><Relationship Id="rId10" Type="http://schemas.openxmlformats.org/officeDocument/2006/relationships/hyperlink" Target="https://docs.google.com/presentation/d/1grWfRf9n0vrweYQn8sZSorhb6XNs39VhAe2zJorVZVc/edit" TargetMode="External"/><Relationship Id="rId54" Type="http://schemas.openxmlformats.org/officeDocument/2006/relationships/vmlDrawing" Target="../drawings/vmlDrawing14.vml"/><Relationship Id="rId13" Type="http://schemas.openxmlformats.org/officeDocument/2006/relationships/hyperlink" Target="https://docs.google.com/presentation/d/18Y6qLNpzd2DxG-3pLO_Hkzpk3Nshp-yVwUXBxokdqQ4/edit" TargetMode="External"/><Relationship Id="rId12" Type="http://schemas.openxmlformats.org/officeDocument/2006/relationships/hyperlink" Target="https://docs.google.com/presentation/d/1FQwwVXEPwUhmWp4pCo4VwXxS_eZpuHfdD7I2RfPz4oQ/edit" TargetMode="External"/><Relationship Id="rId15" Type="http://schemas.openxmlformats.org/officeDocument/2006/relationships/hyperlink" Target="https://docs.google.com/presentation/d/1vQ6SeYsKewtbIgYgFwS-le_mFhsrccGuNMrgRGF5Ja0/edit" TargetMode="External"/><Relationship Id="rId14" Type="http://schemas.openxmlformats.org/officeDocument/2006/relationships/hyperlink" Target="https://docs.google.com/spreadsheets/d/1YvncR5ypiaKHa0RWuuTqmvmJbA4iZNf2fNPQ_ndDWTQ/edit" TargetMode="External"/><Relationship Id="rId17" Type="http://schemas.openxmlformats.org/officeDocument/2006/relationships/hyperlink" Target="https://docs.google.com/presentation/d/1vQ6SeYsKewtbIgYgFwS-le_mFhsrccGuNMrgRGF5Ja0/edit" TargetMode="External"/><Relationship Id="rId16" Type="http://schemas.openxmlformats.org/officeDocument/2006/relationships/hyperlink" Target="https://idart.mot.com/browse/IKSWT-116698" TargetMode="External"/><Relationship Id="rId19" Type="http://schemas.openxmlformats.org/officeDocument/2006/relationships/hyperlink" Target="https://docs.google.com/spreadsheets/d/1W-JEaSjjpPQ-SglpnvmIhIB8uhp9AD9q6pBxCwECxw4/edit" TargetMode="External"/><Relationship Id="rId18" Type="http://schemas.openxmlformats.org/officeDocument/2006/relationships/hyperlink" Target="https://docs.google.com/presentation/d/1bzOdNMEWMJfZfxYwRW4ercwtOWWKuEcTWiJt42EIesQ/edit" TargetMode="Externa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microsoft.com/office/2017/10/relationships/threadedComment" Target="../threadedComments/threadedComment11.xml"/><Relationship Id="rId3" Type="http://schemas.microsoft.com/office/2019/04/relationships/documenttask" Target="../documenttasks/documenttask11.xml"/><Relationship Id="rId4" Type="http://schemas.openxmlformats.org/officeDocument/2006/relationships/hyperlink" Target="https://docs.google.com/presentation/d/11ofm38_4IZ4UTt-1wLfCBmcVaqVt2VQUNbNj1Auqb7Y/edit" TargetMode="External"/><Relationship Id="rId9" Type="http://schemas.openxmlformats.org/officeDocument/2006/relationships/hyperlink" Target="https://docs.google.com/presentation/d/1Uh4pEp_wAqRAGdWjaPgi-WCDk2p88dpJvd-BQO8wMz4/edit" TargetMode="External"/><Relationship Id="rId5" Type="http://schemas.openxmlformats.org/officeDocument/2006/relationships/hyperlink" Target="https://qualcomm-cdmatech-support.my.site.com/s/case/5004V00001Ycx2rQAB/boston-can-not-go-9008-port-in-mp-fail-rate-026" TargetMode="External"/><Relationship Id="rId6" Type="http://schemas.openxmlformats.org/officeDocument/2006/relationships/hyperlink" Target="https://docs.google.com/presentation/d/1-qm-Q91YRmUClC3JYhZtHrO4eX3J8BbBgqu21nqCnAQ/edit" TargetMode="External"/><Relationship Id="rId7" Type="http://schemas.openxmlformats.org/officeDocument/2006/relationships/hyperlink" Target="https://docs.google.com/presentation/d/1E1whTqBy3UEfVM_4DVpVI37X8ydqJr4PVIn4zOGjqcE/edit" TargetMode="External"/><Relationship Id="rId8" Type="http://schemas.openxmlformats.org/officeDocument/2006/relationships/hyperlink" Target="https://docs.google.com/presentation/d/1Ufb266Ow41jD9ZEH7Ms_Y9gzD2ztW6lwuuf0cvLwVRg/edit" TargetMode="External"/><Relationship Id="rId31" Type="http://schemas.openxmlformats.org/officeDocument/2006/relationships/hyperlink" Target="https://docs.google.com/presentation/d/1kx3hf9ds-k31s-vXOpcotLKr-Mj2nsVF4HrIbJUaxMA/edit" TargetMode="External"/><Relationship Id="rId30" Type="http://schemas.openxmlformats.org/officeDocument/2006/relationships/hyperlink" Target="https://docs.google.com/presentation/d/15mptONwbS-s79X11pYVuNXc7NJDsdK7DQYCdmD6wZm0/edit" TargetMode="External"/><Relationship Id="rId33" Type="http://schemas.openxmlformats.org/officeDocument/2006/relationships/vmlDrawing" Target="../drawings/vmlDrawing15.vml"/><Relationship Id="rId32" Type="http://schemas.openxmlformats.org/officeDocument/2006/relationships/drawing" Target="../drawings/drawing15.xml"/><Relationship Id="rId20" Type="http://schemas.openxmlformats.org/officeDocument/2006/relationships/hyperlink" Target="https://docs.google.com/presentation/d/1dFpYQhsjFX-B6aL9gJ71_AJG-7iwE6g34HTfgCyfwbQ/edit" TargetMode="External"/><Relationship Id="rId22" Type="http://schemas.openxmlformats.org/officeDocument/2006/relationships/hyperlink" Target="https://docs.google.com/presentation/d/1SGwi5YEniMDULncKFZ32QKKqQe3WJeJd_am2GX3E8kc/edit" TargetMode="External"/><Relationship Id="rId21" Type="http://schemas.openxmlformats.org/officeDocument/2006/relationships/hyperlink" Target="https://docs.google.com/presentation/d/1SGwi5YEniMDULncKFZ32QKKqQe3WJeJd_am2GX3E8kc/edit" TargetMode="External"/><Relationship Id="rId24" Type="http://schemas.openxmlformats.org/officeDocument/2006/relationships/hyperlink" Target="https://docs.google.com/presentation/d/19-K_sdl1ApVfV31J8YUUrgR-BDWAo9baHW1LuSGhbRM/edit" TargetMode="External"/><Relationship Id="rId23" Type="http://schemas.openxmlformats.org/officeDocument/2006/relationships/hyperlink" Target="https://docs.google.com/presentation/d/1SGwi5YEniMDULncKFZ32QKKqQe3WJeJd_am2GX3E8kc/edit" TargetMode="External"/><Relationship Id="rId26" Type="http://schemas.openxmlformats.org/officeDocument/2006/relationships/hyperlink" Target="https://docs.google.com/presentation/d/1ttNs06aAwlcLuE-226NK_WjG1rxPhlY0PYw4CPxN3yM/edit" TargetMode="External"/><Relationship Id="rId25" Type="http://schemas.openxmlformats.org/officeDocument/2006/relationships/hyperlink" Target="https://docs.google.com/presentation/d/1SGwi5YEniMDULncKFZ32QKKqQe3WJeJd_am2GX3E8kc/edit" TargetMode="External"/><Relationship Id="rId28" Type="http://schemas.openxmlformats.org/officeDocument/2006/relationships/hyperlink" Target="https://docs.google.com/presentation/d/1EVypKl3kAnAkQW1EUY9NmpXNmi-dsah6H6KcEnsd-Cg/edit" TargetMode="External"/><Relationship Id="rId27" Type="http://schemas.openxmlformats.org/officeDocument/2006/relationships/hyperlink" Target="https://docs.google.com/presentation/d/1zVBVHzgt9MxQmUmiAP1quBIx5uuLUTAiB79et8VYxUE/edit" TargetMode="External"/><Relationship Id="rId29" Type="http://schemas.openxmlformats.org/officeDocument/2006/relationships/hyperlink" Target="https://docs.google.com/presentation/d/1L8PinwYwpASVdTBcqavsF8rFUPZ3cTBtZnMsdQSZT5o/edit" TargetMode="External"/><Relationship Id="rId11" Type="http://schemas.openxmlformats.org/officeDocument/2006/relationships/hyperlink" Target="https://idart.mot.com/browse/IKSWU-53713" TargetMode="External"/><Relationship Id="rId10" Type="http://schemas.openxmlformats.org/officeDocument/2006/relationships/hyperlink" Target="https://docs.google.com/presentation/d/1V99vDsVx-WCzI8RdiuL8Zdwt52x-jegJ8WSbib-bzhs/edit" TargetMode="External"/><Relationship Id="rId13" Type="http://schemas.openxmlformats.org/officeDocument/2006/relationships/hyperlink" Target="https://idart.mot.com/browse/IKSWU-41681" TargetMode="External"/><Relationship Id="rId12" Type="http://schemas.openxmlformats.org/officeDocument/2006/relationships/hyperlink" Target="https://docs.google.com/presentation/d/1hlY8PbaxGTHCMm-D6GPrR9T8oj0AFzlTapgEwrvX8Cs/edit" TargetMode="External"/><Relationship Id="rId15" Type="http://schemas.openxmlformats.org/officeDocument/2006/relationships/hyperlink" Target="https://docs.google.com/presentation/d/10wjmPyPUHsoQhT4loBcoJhpXcNWBKAecCb91sbBgO5k/edit" TargetMode="External"/><Relationship Id="rId14" Type="http://schemas.openxmlformats.org/officeDocument/2006/relationships/hyperlink" Target="https://docs.google.com/spreadsheets/d/1iKnz3W2sv2RQxqyGlEN9N142hLySazKI/edit?usp=drive_link&amp;ouid=118199017093227836678&amp;rtpof=true&amp;sd=true" TargetMode="External"/><Relationship Id="rId17" Type="http://schemas.openxmlformats.org/officeDocument/2006/relationships/hyperlink" Target="https://idart.mot.com/browse/IKSWU-28732" TargetMode="External"/><Relationship Id="rId16" Type="http://schemas.openxmlformats.org/officeDocument/2006/relationships/hyperlink" Target="https://docs.google.com/presentation/d/1Uh4pEp_wAqRAGdWjaPgi-WCDk2p88dpJvd-BQO8wMz4/edit" TargetMode="External"/><Relationship Id="rId19" Type="http://schemas.openxmlformats.org/officeDocument/2006/relationships/hyperlink" Target="https://docs.google.com/presentation/d/11E2pNCwdUsUY4cTS2hhBXYn_QB0AvwC_o-znk_HM3aU/edit" TargetMode="External"/><Relationship Id="rId18" Type="http://schemas.openxmlformats.org/officeDocument/2006/relationships/hyperlink" Target="https://docs.google.com/presentation/d/1pGDTOb_L2acaosstOm-gWdgdxjD_t1ZnlqsNi8sksvM/edit" TargetMode="Externa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microsoft.com/office/2017/10/relationships/threadedComment" Target="../threadedComments/threadedComment12.xml"/><Relationship Id="rId3" Type="http://schemas.microsoft.com/office/2019/04/relationships/documenttask" Target="../documenttasks/documenttask12.xml"/><Relationship Id="rId4" Type="http://schemas.openxmlformats.org/officeDocument/2006/relationships/hyperlink" Target="https://docs.google.com/presentation/d/1wiCKSSYZ8vN_rSBkE_7zraC0MC9_ub3YU4VIt6RZYBo/edit" TargetMode="External"/><Relationship Id="rId9" Type="http://schemas.openxmlformats.org/officeDocument/2006/relationships/hyperlink" Target="https://idart.mot.com/browse/IKSWT-83174" TargetMode="External"/><Relationship Id="rId5" Type="http://schemas.openxmlformats.org/officeDocument/2006/relationships/hyperlink" Target="https://docs.google.com/spreadsheets/d/1iO3eeNiiwN8s5rTUGg0kp5gdIHunLAMYYAOJolneFJc/edit" TargetMode="External"/><Relationship Id="rId6" Type="http://schemas.openxmlformats.org/officeDocument/2006/relationships/hyperlink" Target="https://docs.google.com/presentation/d/13vQp4nN3Cl0Yxf61sVQCg3ROcUlVgBo37CxDl1uqdOU/edit" TargetMode="External"/><Relationship Id="rId7" Type="http://schemas.openxmlformats.org/officeDocument/2006/relationships/hyperlink" Target="https://docs.google.com/presentation/d/1dGh4B7-YgwXfhKjZyiVHgFqPszBmhlc87qvBeXX4Wco/edit" TargetMode="External"/><Relationship Id="rId8" Type="http://schemas.openxmlformats.org/officeDocument/2006/relationships/hyperlink" Target="https://idart.mot.com/browse/IKSWT-82029" TargetMode="External"/><Relationship Id="rId31" Type="http://schemas.openxmlformats.org/officeDocument/2006/relationships/hyperlink" Target="https://docs.google.com/presentation/d/1wtNqat6NGnizfx1I8GtwsSXhCh6HhF0KBQHygiL8_B8/edit" TargetMode="External"/><Relationship Id="rId30" Type="http://schemas.openxmlformats.org/officeDocument/2006/relationships/hyperlink" Target="https://docs.google.com/presentation/d/1uOmru3cmhFHOw2dZNKJvR7KI93TDT9_mxXKZkkAqog4/edit" TargetMode="External"/><Relationship Id="rId33" Type="http://schemas.openxmlformats.org/officeDocument/2006/relationships/drawing" Target="../drawings/drawing16.xml"/><Relationship Id="rId32" Type="http://schemas.openxmlformats.org/officeDocument/2006/relationships/hyperlink" Target="https://docs.google.com/presentation/d/12EULH_9P8QDYQzOp8jmRKaXweiXK59BgvnycySW6Ltw/edit" TargetMode="External"/><Relationship Id="rId34" Type="http://schemas.openxmlformats.org/officeDocument/2006/relationships/vmlDrawing" Target="../drawings/vmlDrawing16.vml"/><Relationship Id="rId20" Type="http://schemas.openxmlformats.org/officeDocument/2006/relationships/hyperlink" Target="https://docs.google.com/presentation/d/1Ry0GB_MojEoqRfyb-DwCtpASh36sIMfeGALpWVp-v5Q/edit" TargetMode="External"/><Relationship Id="rId22" Type="http://schemas.openxmlformats.org/officeDocument/2006/relationships/hyperlink" Target="https://docs.google.com/presentation/d/1OOdQNYScqsgxaiSGIxFXb7uiEjFS40G-z_Ka11xIr-w/edit" TargetMode="External"/><Relationship Id="rId21" Type="http://schemas.openxmlformats.org/officeDocument/2006/relationships/hyperlink" Target="https://docs.google.com/presentation/d/1hkCNwtDyZ6aX3h6NTSwpUXqNvjm1opYSgTBPzxizfmw/edit" TargetMode="External"/><Relationship Id="rId24" Type="http://schemas.openxmlformats.org/officeDocument/2006/relationships/hyperlink" Target="https://docs.google.com/presentation/d/1JwSeS-Rrh_nZCKDPfImDpym_Ms4oW1KvfSivN-Z-a_Y/edit" TargetMode="External"/><Relationship Id="rId23" Type="http://schemas.openxmlformats.org/officeDocument/2006/relationships/hyperlink" Target="https://docs.google.com/presentation/d/1DHUE-HG63kzgW60Q7cR4NJo03INII63wXCF1G5HbJjU/edit" TargetMode="External"/><Relationship Id="rId26" Type="http://schemas.openxmlformats.org/officeDocument/2006/relationships/hyperlink" Target="https://docs.google.com/presentation/d/1gGqgsYGhIbKDrgR6bFiZadCNaFH_SbbANuTrzxx-fq0/edit" TargetMode="External"/><Relationship Id="rId25" Type="http://schemas.openxmlformats.org/officeDocument/2006/relationships/hyperlink" Target="https://docs.google.com/presentation/d/1jCDf-2aRdS1Utr15bAuSI0pbNMScOIDhRrx5_5i2s8g/edit" TargetMode="External"/><Relationship Id="rId28" Type="http://schemas.openxmlformats.org/officeDocument/2006/relationships/hyperlink" Target="https://docs.google.com/presentation/d/1OOdQNYScqsgxaiSGIxFXb7uiEjFS40G-z_Ka11xIr-w/edit" TargetMode="External"/><Relationship Id="rId27" Type="http://schemas.openxmlformats.org/officeDocument/2006/relationships/hyperlink" Target="https://docs.google.com/presentation/d/1brbgQvrI-hKN5tlkXRt0tFG2NIeXGhVkftl8-vHAZsw/edit" TargetMode="External"/><Relationship Id="rId29" Type="http://schemas.openxmlformats.org/officeDocument/2006/relationships/hyperlink" Target="https://docs.google.com/presentation/d/1Ck6DWKNqLplfnk2A45IBqoli17yvcIrfOgYjDRn6NQw/edit" TargetMode="External"/><Relationship Id="rId11" Type="http://schemas.openxmlformats.org/officeDocument/2006/relationships/hyperlink" Target="http://reliability.mot.com/ALTV4/Reports/ALTTestReport_Functional.aspx?Test_Seqno=WH160949" TargetMode="External"/><Relationship Id="rId10" Type="http://schemas.openxmlformats.org/officeDocument/2006/relationships/hyperlink" Target="https://docs.google.com/presentation/d/1JlIvdyFLUtfS9BNBECVTolg-y8QP-H_MUOVzpSXUzcE/edit" TargetMode="External"/><Relationship Id="rId13" Type="http://schemas.openxmlformats.org/officeDocument/2006/relationships/hyperlink" Target="https://drive.google.com/file/d/1-I8MHqvwROxQwy7XEVP2LI1Nv30weR7U/view?usp=share_link" TargetMode="External"/><Relationship Id="rId12" Type="http://schemas.openxmlformats.org/officeDocument/2006/relationships/hyperlink" Target="https://docs.google.com/presentation/d/1s6JynUS6yngysK1MaxHJyeBZvWaZmisByGbh-7FVJnE/edit" TargetMode="External"/><Relationship Id="rId15" Type="http://schemas.openxmlformats.org/officeDocument/2006/relationships/hyperlink" Target="https://docs.google.com/presentation/d/19gyBrQiY-Iz2jqFIcQVXYaxAr9etjzgDi11z-6M7yTs/edit" TargetMode="External"/><Relationship Id="rId14" Type="http://schemas.openxmlformats.org/officeDocument/2006/relationships/hyperlink" Target="https://docs.google.com/presentation/d/12sLDWUo-uISUVUjyKHKoWAKBZcIt_uEUIjhjzqwJTwc/edit" TargetMode="External"/><Relationship Id="rId17" Type="http://schemas.openxmlformats.org/officeDocument/2006/relationships/hyperlink" Target="https://docs.google.com/presentation/d/1JwSeS-Rrh_nZCKDPfImDpym_Ms4oW1KvfSivN-Z-a_Y/edit" TargetMode="External"/><Relationship Id="rId16" Type="http://schemas.openxmlformats.org/officeDocument/2006/relationships/hyperlink" Target="https://docs.google.com/presentation/d/1JwSeS-Rrh_nZCKDPfImDpym_Ms4oW1KvfSivN-Z-a_Y/edit" TargetMode="External"/><Relationship Id="rId19" Type="http://schemas.openxmlformats.org/officeDocument/2006/relationships/hyperlink" Target="https://docs.google.com/presentation/d/1V1kFNqVcUfzPZqVAFe6obTd5au284CtzBASibHpxtRE/edit" TargetMode="External"/><Relationship Id="rId18" Type="http://schemas.openxmlformats.org/officeDocument/2006/relationships/hyperlink" Target="https://docs.google.com/presentation/d/1JwSeS-Rrh_nZCKDPfImDpym_Ms4oW1KvfSivN-Z-a_Y/edit" TargetMode="Externa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microsoft.com/office/2017/10/relationships/threadedComment" Target="../threadedComments/threadedComment13.xml"/><Relationship Id="rId3" Type="http://schemas.microsoft.com/office/2019/04/relationships/documenttask" Target="../documenttasks/documenttask13.xml"/><Relationship Id="rId4" Type="http://schemas.openxmlformats.org/officeDocument/2006/relationships/hyperlink" Target="https://docs.google.com/presentation/d/1dUkXishUxhTCqLuCarQd1GRpwDIcyuO1niXumduS6hk/edit" TargetMode="External"/><Relationship Id="rId9" Type="http://schemas.openxmlformats.org/officeDocument/2006/relationships/hyperlink" Target="https://docs.google.com/presentation/d/1Q973RGSWLR87Nu0SWKJVTx7CeRe_w7Ex2fnKsx7i1yE/edit" TargetMode="External"/><Relationship Id="rId5" Type="http://schemas.openxmlformats.org/officeDocument/2006/relationships/hyperlink" Target="http://1.cc/" TargetMode="External"/><Relationship Id="rId6" Type="http://schemas.openxmlformats.org/officeDocument/2006/relationships/hyperlink" Target="https://drive.google.com/drive/folders/1uMyiceUFRLgfapK8uUAuf7tfh5h24w9j" TargetMode="External"/><Relationship Id="rId7" Type="http://schemas.openxmlformats.org/officeDocument/2006/relationships/hyperlink" Target="https://idart.mot.com/browse/IKSWS-127586" TargetMode="External"/><Relationship Id="rId8" Type="http://schemas.openxmlformats.org/officeDocument/2006/relationships/hyperlink" Target="https://idart.mot.com/browse/IKSWS-129202" TargetMode="External"/><Relationship Id="rId31" Type="http://schemas.openxmlformats.org/officeDocument/2006/relationships/hyperlink" Target="https://docs.google.com/presentation/d/1wWU4XYx72cz30_Rk8h0iJlGVfDwCkOGrEzIgfKalrQQ/edit" TargetMode="External"/><Relationship Id="rId30" Type="http://schemas.openxmlformats.org/officeDocument/2006/relationships/hyperlink" Target="https://docs.google.com/presentation/d/1pEOgT35grqtQpFYcB8yS6Dz9B3hIV5DQxDmLGqoh-z8/edit" TargetMode="External"/><Relationship Id="rId33" Type="http://schemas.openxmlformats.org/officeDocument/2006/relationships/vmlDrawing" Target="../drawings/vmlDrawing17.vml"/><Relationship Id="rId32" Type="http://schemas.openxmlformats.org/officeDocument/2006/relationships/drawing" Target="../drawings/drawing17.xml"/><Relationship Id="rId20" Type="http://schemas.openxmlformats.org/officeDocument/2006/relationships/hyperlink" Target="https://docs.google.com/presentation/d/1NQcGM8nFg3DjOAh6o5J2sgITlQ-u1QKyfOXxRDxH5gE/edit" TargetMode="External"/><Relationship Id="rId22" Type="http://schemas.openxmlformats.org/officeDocument/2006/relationships/hyperlink" Target="https://idart.mot.com/browse/IKSWS-102720" TargetMode="External"/><Relationship Id="rId21" Type="http://schemas.openxmlformats.org/officeDocument/2006/relationships/hyperlink" Target="https://docs.google.com/presentation/d/1zdmbY6ORjdsB9gverExsOFT5YYsnr0YrzGRBfXIqwrU/edit" TargetMode="External"/><Relationship Id="rId24" Type="http://schemas.openxmlformats.org/officeDocument/2006/relationships/hyperlink" Target="https://docs.google.com/presentation/d/15C4S2T561h_7EqSms68Oh70t_xdPH4ezKGtrqfVaqYE/edit" TargetMode="External"/><Relationship Id="rId23" Type="http://schemas.openxmlformats.org/officeDocument/2006/relationships/hyperlink" Target="https://docs.google.com/presentation/d/1g2Ke5bg4o1MTXt7C9VM9LqAHMyn8IoScGSt9IPcNyVk/edit" TargetMode="External"/><Relationship Id="rId26" Type="http://schemas.openxmlformats.org/officeDocument/2006/relationships/hyperlink" Target="https://docs.google.com/presentation/d/1PdVM5wfX-MhUevGsIX1rWrdXIzeCNEouBtCLGgwfFZk/edit" TargetMode="External"/><Relationship Id="rId25" Type="http://schemas.openxmlformats.org/officeDocument/2006/relationships/hyperlink" Target="https://docs.google.com/spreadsheets/d/1DMhlLu1tXIi6w1BeFfggVrU2r2yP0vtS5yETSt4YF30/edit" TargetMode="External"/><Relationship Id="rId28" Type="http://schemas.openxmlformats.org/officeDocument/2006/relationships/hyperlink" Target="https://docs.google.com/presentation/d/1UN6vUc4-RbhcH8WOM26lAK6OFKuiVR6zottPXc5bf1g/edit" TargetMode="External"/><Relationship Id="rId27" Type="http://schemas.openxmlformats.org/officeDocument/2006/relationships/hyperlink" Target="https://docs.google.com/presentation/d/1p3yHktpqql9iGndoX0dvNr4bXPdBXje3eK_ollun2LI/edit" TargetMode="External"/><Relationship Id="rId29" Type="http://schemas.openxmlformats.org/officeDocument/2006/relationships/hyperlink" Target="https://docs.google.com/spreadsheets/d/1BKMnOFEAGCqWQP23-Lw7_hCicoDTib2IBDIp8zb_eSI/edit" TargetMode="External"/><Relationship Id="rId11" Type="http://schemas.openxmlformats.org/officeDocument/2006/relationships/hyperlink" Target="https://docs.google.com/presentation/d/1QlrYL1IeF22GcyO6S8FgZVtmSzGwfyLJRfndSrv15qI/edit" TargetMode="External"/><Relationship Id="rId10" Type="http://schemas.openxmlformats.org/officeDocument/2006/relationships/hyperlink" Target="https://docs.google.com/presentation/d/1RQRBudIyjnROVLV-2C6qP_ypvtDWkt5uNT--N0lAI4Q/edit" TargetMode="External"/><Relationship Id="rId13" Type="http://schemas.openxmlformats.org/officeDocument/2006/relationships/hyperlink" Target="https://drive.google.com/drive/folders/13CpghxSy4MEhYB0keIgi75tjwPW24Jh8" TargetMode="External"/><Relationship Id="rId12" Type="http://schemas.openxmlformats.org/officeDocument/2006/relationships/hyperlink" Target="https://idart.mot.com/browse/IKSWS-83340" TargetMode="External"/><Relationship Id="rId15" Type="http://schemas.openxmlformats.org/officeDocument/2006/relationships/hyperlink" Target="https://docs.google.com/presentation/d/1W_NBL6LtWK2qnuZeOifN9jM0I4ttQiudztFIsTJQS-I/edit" TargetMode="External"/><Relationship Id="rId14" Type="http://schemas.openxmlformats.org/officeDocument/2006/relationships/hyperlink" Target="https://idart.mot.com/browse/IKSWS-89240" TargetMode="External"/><Relationship Id="rId17" Type="http://schemas.openxmlformats.org/officeDocument/2006/relationships/hyperlink" Target="https://docs.google.com/presentation/d/1W_NBL6LtWK2qnuZeOifN9jM0I4ttQiudztFIsTJQS-I/edit" TargetMode="External"/><Relationship Id="rId16" Type="http://schemas.openxmlformats.org/officeDocument/2006/relationships/hyperlink" Target="https://docs.google.com/presentation/d/1W_NBL6LtWK2qnuZeOifN9jM0I4ttQiudztFIsTJQS-I/edit" TargetMode="External"/><Relationship Id="rId19" Type="http://schemas.openxmlformats.org/officeDocument/2006/relationships/hyperlink" Target="https://docs.google.com/presentation/d/1ZjuhGCjjzCC224j6djKVzBkHndegG59zSBLNLAnU-58/edit" TargetMode="External"/><Relationship Id="rId18" Type="http://schemas.openxmlformats.org/officeDocument/2006/relationships/hyperlink" Target="https://docs.google.com/presentation/d/1ZjuhGCjjzCC224j6djKVzBkHndegG59zSBLNLAnU-58/edit" TargetMode="External"/></Relationships>
</file>

<file path=xl/worksheets/_rels/sheet18.xml.rels><?xml version="1.0" encoding="UTF-8" standalone="yes"?><Relationships xmlns="http://schemas.openxmlformats.org/package/2006/relationships"><Relationship Id="rId1" Type="http://schemas.openxmlformats.org/officeDocument/2006/relationships/comments" Target="../comments18.xml"/><Relationship Id="rId2" Type="http://schemas.microsoft.com/office/2017/10/relationships/threadedComment" Target="../threadedComments/threadedComment14.xml"/><Relationship Id="rId3" Type="http://schemas.microsoft.com/office/2019/04/relationships/documenttask" Target="../documenttasks/documenttask14.xml"/><Relationship Id="rId4" Type="http://schemas.openxmlformats.org/officeDocument/2006/relationships/hyperlink" Target="https://docs.google.com/spreadsheets/d/1i8x-OuTNos3_P0jaioHit1csjzkPmcjVywFZDdQM4O0/edit" TargetMode="External"/><Relationship Id="rId9" Type="http://schemas.openxmlformats.org/officeDocument/2006/relationships/hyperlink" Target="https://docs.google.com/presentation/d/1wkbzDFWVJjtJyvAtmmmu87PhUrjIzWI6ITkt8PBha_E/edit" TargetMode="External"/><Relationship Id="rId5" Type="http://schemas.openxmlformats.org/officeDocument/2006/relationships/hyperlink" Target="https://docs.google.com/presentation/d/1MrPoBxA_1S6LDUEP6N8GzLi0zy6_soeiawTRuhbuZF8/edit" TargetMode="External"/><Relationship Id="rId6" Type="http://schemas.openxmlformats.org/officeDocument/2006/relationships/hyperlink" Target="https://idart.mot.com/browse/IKSWS-25957" TargetMode="External"/><Relationship Id="rId7" Type="http://schemas.openxmlformats.org/officeDocument/2006/relationships/hyperlink" Target="https://docs.google.com/presentation/d/1x_2MMUmSZiv8QuqrHqmi2ML3PYFfxz_y7RW4Dxd-xWo/edit" TargetMode="External"/><Relationship Id="rId8" Type="http://schemas.openxmlformats.org/officeDocument/2006/relationships/hyperlink" Target="https://docs.google.com/presentation/d/1YbGtqW1KteUBlKpgjBnGgVpAn9Vn_nLJz1Qtdoc211A/edit" TargetMode="External"/><Relationship Id="rId20" Type="http://schemas.openxmlformats.org/officeDocument/2006/relationships/drawing" Target="../drawings/drawing18.xml"/><Relationship Id="rId21" Type="http://schemas.openxmlformats.org/officeDocument/2006/relationships/vmlDrawing" Target="../drawings/vmlDrawing18.vml"/><Relationship Id="rId11" Type="http://schemas.openxmlformats.org/officeDocument/2006/relationships/hyperlink" Target="https://docs.google.com/presentation/d/1wkbzDFWVJjtJyvAtmmmu87PhUrjIzWI6ITkt8PBha_E/edit" TargetMode="External"/><Relationship Id="rId10" Type="http://schemas.openxmlformats.org/officeDocument/2006/relationships/hyperlink" Target="https://docs.google.com/presentation/d/1S1gnWRpcbt-5O6e3UskZrx6ws5B7dt1tOTQsY-5_guY/edit" TargetMode="External"/><Relationship Id="rId13" Type="http://schemas.openxmlformats.org/officeDocument/2006/relationships/hyperlink" Target="https://docs.google.com/presentation/d/1XvrDEwGsYCbnuV_p3mXN00qFWONVH0BiSoauOsxpYzg/edit" TargetMode="External"/><Relationship Id="rId12" Type="http://schemas.openxmlformats.org/officeDocument/2006/relationships/hyperlink" Target="https://docs.google.com/presentation/d/1XvrDEwGsYCbnuV_p3mXN00qFWONVH0BiSoauOsxpYzg/edit" TargetMode="External"/><Relationship Id="rId15" Type="http://schemas.openxmlformats.org/officeDocument/2006/relationships/hyperlink" Target="https://docs.google.com/presentation/d/1xOOwdjGnG0VjnZGh_TxoFX298LwcDoa7xKNmh-buuP4/edit" TargetMode="External"/><Relationship Id="rId14" Type="http://schemas.openxmlformats.org/officeDocument/2006/relationships/hyperlink" Target="https://docs.google.com/presentation/d/1KQrZJ4is2QNehhgNYODiioILyqyxtaW0H73ZieOy4kw/edit" TargetMode="External"/><Relationship Id="rId17" Type="http://schemas.openxmlformats.org/officeDocument/2006/relationships/hyperlink" Target="https://docs.google.com/presentation/d/1wnsABX6lOc-S8R4A4PhRLrIoQQc0fFG2hF6SQOIhI_Q/edit" TargetMode="External"/><Relationship Id="rId16" Type="http://schemas.openxmlformats.org/officeDocument/2006/relationships/hyperlink" Target="https://docs.google.com/presentation/d/1EXP4GP2Qj6FIDEm-IYuSZw-nhfvt7_4-A4rDQ1JcJ04/edit" TargetMode="External"/><Relationship Id="rId19" Type="http://schemas.openxmlformats.org/officeDocument/2006/relationships/hyperlink" Target="https://docs.google.com/presentation/d/1kL1P9cASY-3WZwT6JdxVqJUWGxXAPVBUeCG2c_NBE_E/edit" TargetMode="External"/><Relationship Id="rId18" Type="http://schemas.openxmlformats.org/officeDocument/2006/relationships/hyperlink" Target="https://docs.google.com/presentation/d/1bQsAyYgInG30yeNJuXRcUUlfJ8CocP-auX5svEELhck/edit" TargetMode="External"/></Relationships>
</file>

<file path=xl/worksheets/_rels/sheet19.xml.rels><?xml version="1.0" encoding="UTF-8" standalone="yes"?><Relationships xmlns="http://schemas.openxmlformats.org/package/2006/relationships"><Relationship Id="rId1" Type="http://schemas.openxmlformats.org/officeDocument/2006/relationships/comments" Target="../comments19.xml"/><Relationship Id="rId2" Type="http://schemas.microsoft.com/office/2017/10/relationships/threadedComment" Target="../threadedComments/threadedComment15.xml"/><Relationship Id="rId3" Type="http://schemas.microsoft.com/office/2019/04/relationships/documenttask" Target="../documenttasks/documenttask15.xml"/><Relationship Id="rId4" Type="http://schemas.openxmlformats.org/officeDocument/2006/relationships/hyperlink" Target="https://idart.mot.com/browse/IKSWR-137479" TargetMode="External"/><Relationship Id="rId9" Type="http://schemas.openxmlformats.org/officeDocument/2006/relationships/hyperlink" Target="https://idart.mot.com/browse/IKSWR-139460" TargetMode="External"/><Relationship Id="rId5" Type="http://schemas.openxmlformats.org/officeDocument/2006/relationships/hyperlink" Target="https://docs.google.com/spreadsheets/d/1p__VdJfj7ddM-6oIIg-w9WHmUlPJT4N9/edit" TargetMode="External"/><Relationship Id="rId6" Type="http://schemas.openxmlformats.org/officeDocument/2006/relationships/hyperlink" Target="https://docs.google.com/presentation/d/1aWQPojjsBFCziHnTAhco5O1d9niTNxBv-0o6HY9OvT8/edit" TargetMode="External"/><Relationship Id="rId7" Type="http://schemas.openxmlformats.org/officeDocument/2006/relationships/hyperlink" Target="https://docs.google.com/presentation/d/1munv8n3LzeZW0p-NuieXbj6e0BFal4e2beFj9PYrGOQ/edit" TargetMode="External"/><Relationship Id="rId8" Type="http://schemas.openxmlformats.org/officeDocument/2006/relationships/hyperlink" Target="https://docs.google.com/presentation/d/1WGSx4cQnKQNvkRXQ_rA01DA1AkNvH6eP5Mz6jf7ybfY/edit" TargetMode="External"/><Relationship Id="rId20" Type="http://schemas.openxmlformats.org/officeDocument/2006/relationships/hyperlink" Target="https://docs.google.com/presentation/d/1gD04wuqK-NfhTw5dXW7_MPlrDdGPUSAc9D6EwpBEjeU/edit" TargetMode="External"/><Relationship Id="rId22" Type="http://schemas.openxmlformats.org/officeDocument/2006/relationships/hyperlink" Target="https://idart.mot.com/browse/IKSWR-100409" TargetMode="External"/><Relationship Id="rId21" Type="http://schemas.openxmlformats.org/officeDocument/2006/relationships/hyperlink" Target="https://docs.google.com/presentation/d/1gD04wuqK-NfhTw5dXW7_MPlrDdGPUSAc9D6EwpBEjeU/edit" TargetMode="External"/><Relationship Id="rId24" Type="http://schemas.openxmlformats.org/officeDocument/2006/relationships/hyperlink" Target="https://docs.google.com/presentation/d/1dX2CJnDnWT0gpAWMkxwR8BQknFNPaOuYgaJ8IfKP0zA/edit" TargetMode="External"/><Relationship Id="rId23" Type="http://schemas.openxmlformats.org/officeDocument/2006/relationships/hyperlink" Target="https://docs.google.com/presentation/d/1kqZiOGsgUV1lkmLUxou6Koe_MHnfNW-WdDW4_9S0hJM/edit" TargetMode="External"/><Relationship Id="rId26" Type="http://schemas.openxmlformats.org/officeDocument/2006/relationships/drawing" Target="../drawings/drawing19.xml"/><Relationship Id="rId25" Type="http://schemas.openxmlformats.org/officeDocument/2006/relationships/hyperlink" Target="https://docs.google.com/presentation/d/1-ENMcNN1Apfp5-uYMFDBNbBkg8z8-gkzZpwnWPeJdUI/edit" TargetMode="External"/><Relationship Id="rId27" Type="http://schemas.openxmlformats.org/officeDocument/2006/relationships/vmlDrawing" Target="../drawings/vmlDrawing19.vml"/><Relationship Id="rId11" Type="http://schemas.openxmlformats.org/officeDocument/2006/relationships/hyperlink" Target="https://docs.google.com/presentation/d/1m45tTSydKCfgqIZPVURCWF48JDzeOd3RHbq7-AsuNu0/edit" TargetMode="External"/><Relationship Id="rId10" Type="http://schemas.openxmlformats.org/officeDocument/2006/relationships/hyperlink" Target="http://2.cc/" TargetMode="External"/><Relationship Id="rId13" Type="http://schemas.openxmlformats.org/officeDocument/2006/relationships/hyperlink" Target="https://idart.mot.com/browse/IKSWR-130146" TargetMode="External"/><Relationship Id="rId12" Type="http://schemas.openxmlformats.org/officeDocument/2006/relationships/hyperlink" Target="https://docs.google.com/presentation/d/1yVESPzfmp3GjaSdv1jx9ntI-64ea10FuZ5IOJAAX7fU/edit" TargetMode="External"/><Relationship Id="rId15" Type="http://schemas.openxmlformats.org/officeDocument/2006/relationships/hyperlink" Target="https://docs.google.com/presentation/d/1WHBTCtpKDPfQpHs0RaFTXfr4QYXXvnWA/edit?usp=drive_web&amp;ouid=104353282698320997371&amp;rtpof=true" TargetMode="External"/><Relationship Id="rId14" Type="http://schemas.openxmlformats.org/officeDocument/2006/relationships/hyperlink" Target="https://docs.google.com/presentation/d/1yPTtyu_Z0gbVZzH647CArjsCcUPm15760TlbO1e-8Qg/edit" TargetMode="External"/><Relationship Id="rId17" Type="http://schemas.openxmlformats.org/officeDocument/2006/relationships/hyperlink" Target="https://docs.google.com/presentation/d/1aWQPojjsBFCziHnTAhco5O1d9niTNxBv-0o6HY9OvT8/edit" TargetMode="External"/><Relationship Id="rId16" Type="http://schemas.openxmlformats.org/officeDocument/2006/relationships/hyperlink" Target="https://docs.google.com/presentation/d/1WoLiAO9MEjZvQeJdgvlk3UDCGP1VqAImOdA3VCBHD7o/edit" TargetMode="External"/><Relationship Id="rId19" Type="http://schemas.openxmlformats.org/officeDocument/2006/relationships/hyperlink" Target="https://docs.google.com/presentation/d/1Aexq7qc8WKR3MhHJGyPnf2ZNaoXOA0KO6-fzZgpXGCk/edit" TargetMode="External"/><Relationship Id="rId18" Type="http://schemas.openxmlformats.org/officeDocument/2006/relationships/hyperlink" Target="https://docs.google.com/presentation/d/14PFnTmsNjN6PkD2YTCjxw86L12qrXAxv/edit" TargetMode="External"/></Relationships>
</file>

<file path=xl/worksheets/_rels/sheet20.xml.rels><?xml version="1.0" encoding="UTF-8" standalone="yes"?><Relationships xmlns="http://schemas.openxmlformats.org/package/2006/relationships"><Relationship Id="rId1" Type="http://schemas.openxmlformats.org/officeDocument/2006/relationships/comments" Target="../comments20.xml"/><Relationship Id="rId2" Type="http://schemas.microsoft.com/office/2017/10/relationships/threadedComment" Target="../threadedComments/threadedComment16.xml"/><Relationship Id="rId3" Type="http://schemas.microsoft.com/office/2019/04/relationships/documenttask" Target="../documenttasks/documenttask16.xml"/><Relationship Id="rId4" Type="http://schemas.openxmlformats.org/officeDocument/2006/relationships/hyperlink" Target="https://docs.google.com/spreadsheets/d/1p__VdJfj7ddM-6oIIg-w9WHmUlPJT4N9/edit" TargetMode="External"/><Relationship Id="rId9" Type="http://schemas.openxmlformats.org/officeDocument/2006/relationships/hyperlink" Target="https://docs.google.com/presentation/d/18a7gHvIkX_E5ZhtCmPvvTTB1BRjH1AChfk8T66XfaLI/edit" TargetMode="External"/><Relationship Id="rId5" Type="http://schemas.openxmlformats.org/officeDocument/2006/relationships/hyperlink" Target="https://docs.google.com/spreadsheets/d/1p__VdJfj7ddM-6oIIg-w9WHmUlPJT4N9/edit" TargetMode="External"/><Relationship Id="rId6" Type="http://schemas.openxmlformats.org/officeDocument/2006/relationships/hyperlink" Target="https://docs.google.com/presentation/d/16jKkDDzMliqKcImUuKeHv6jeMxfxXs62Xj73eSC49rs/edit" TargetMode="External"/><Relationship Id="rId7" Type="http://schemas.openxmlformats.org/officeDocument/2006/relationships/hyperlink" Target="https://idart.mot.com/browse/IKSWR-101718" TargetMode="External"/><Relationship Id="rId8" Type="http://schemas.openxmlformats.org/officeDocument/2006/relationships/hyperlink" Target="https://docs.google.com/presentation/d/1SGjxsSqPvo1OqG_cQXch5A1HhsYZU8LDB2mI1V2G7xk/edit" TargetMode="External"/><Relationship Id="rId20" Type="http://schemas.openxmlformats.org/officeDocument/2006/relationships/hyperlink" Target="https://docs.google.com/presentation/d/1HFX8c_kGQIOzqthDpyEVzq3wSe8XojDKlv1If1QukmQ/edit" TargetMode="External"/><Relationship Id="rId22" Type="http://schemas.openxmlformats.org/officeDocument/2006/relationships/hyperlink" Target="https://docs.google.com/presentation/d/1QLae1fb_nxqZN9czszx8mO-BvaaI21YTnkiieEBbJr0/edit" TargetMode="External"/><Relationship Id="rId21" Type="http://schemas.openxmlformats.org/officeDocument/2006/relationships/hyperlink" Target="https://docs.google.com/presentation/d/1HFX8c_kGQIOzqthDpyEVzq3wSe8XojDKlv1If1QukmQ/edit" TargetMode="External"/><Relationship Id="rId24" Type="http://schemas.openxmlformats.org/officeDocument/2006/relationships/vmlDrawing" Target="../drawings/vmlDrawing20.vml"/><Relationship Id="rId23" Type="http://schemas.openxmlformats.org/officeDocument/2006/relationships/drawing" Target="../drawings/drawing20.xml"/><Relationship Id="rId11" Type="http://schemas.openxmlformats.org/officeDocument/2006/relationships/hyperlink" Target="https://docs.google.com/presentation/d/1O-cElgCEMcHUm3Ae-aC_o793Ls9uYA6RWkQhzpwZ_nU/edit" TargetMode="External"/><Relationship Id="rId10" Type="http://schemas.openxmlformats.org/officeDocument/2006/relationships/hyperlink" Target="https://docs.google.com/presentation/d/1VyPvafoUcMqGJbhxCefqb7RfK5Gkvc7HEmUsbNABaqA/edit" TargetMode="External"/><Relationship Id="rId13" Type="http://schemas.openxmlformats.org/officeDocument/2006/relationships/hyperlink" Target="https://docs.google.com/presentation/d/1FoYYnv_1nk9-R94Xdand6i8m8MPYz1eD8JQMIGnueVk/edit" TargetMode="External"/><Relationship Id="rId12" Type="http://schemas.openxmlformats.org/officeDocument/2006/relationships/hyperlink" Target="https://docs.google.com/presentation/d/1NNtPiun6e-sPVw2i-1aYMLkinzpDj2ZRbPteZT4vAqs/edit" TargetMode="External"/><Relationship Id="rId15" Type="http://schemas.openxmlformats.org/officeDocument/2006/relationships/hyperlink" Target="https://docs.google.com/presentation/d/1sz-8yYgark6pifxPXCQBZxLYfk5vUIF8tYWYtUiL4UY/edit" TargetMode="External"/><Relationship Id="rId14" Type="http://schemas.openxmlformats.org/officeDocument/2006/relationships/hyperlink" Target="https://docs.google.com/presentation/d/1qmZ_7xzBEUWg-dB75WhQdoN6KLB0ZXuTb0nq0BHZcDc/edit" TargetMode="External"/><Relationship Id="rId17" Type="http://schemas.openxmlformats.org/officeDocument/2006/relationships/hyperlink" Target="https://drive.google.com/drive/folders/1FTNZaM5xhDgxTl06jOboDFPnmJxRZ-xd" TargetMode="External"/><Relationship Id="rId16" Type="http://schemas.openxmlformats.org/officeDocument/2006/relationships/hyperlink" Target="https://docs.google.com/presentation/d/1zIRQtL0sYHZKbmbQ0H4rIcRT8DSwL8zRdYbBw9YDM5w/edit" TargetMode="External"/><Relationship Id="rId19" Type="http://schemas.openxmlformats.org/officeDocument/2006/relationships/hyperlink" Target="https://docs.google.com/presentation/d/1HFX8c_kGQIOzqthDpyEVzq3wSe8XojDKlv1If1QukmQ/edit" TargetMode="External"/><Relationship Id="rId18" Type="http://schemas.openxmlformats.org/officeDocument/2006/relationships/hyperlink" Target="https://docs.google.com/presentation/d/18a7gHvIkX_E5ZhtCmPvvTTB1BRjH1AChfk8T66XfaLI/edit" TargetMode="External"/></Relationships>
</file>

<file path=xl/worksheets/_rels/sheet21.xml.rels><?xml version="1.0" encoding="UTF-8" standalone="yes"?><Relationships xmlns="http://schemas.openxmlformats.org/package/2006/relationships"><Relationship Id="rId1" Type="http://schemas.openxmlformats.org/officeDocument/2006/relationships/comments" Target="../comments21.xml"/><Relationship Id="rId2" Type="http://schemas.microsoft.com/office/2017/10/relationships/threadedComment" Target="../threadedComments/threadedComment17.xml"/><Relationship Id="rId3" Type="http://schemas.microsoft.com/office/2019/04/relationships/documenttask" Target="../documenttasks/documenttask17.xml"/><Relationship Id="rId4" Type="http://schemas.openxmlformats.org/officeDocument/2006/relationships/hyperlink" Target="https://docs.google.com/presentation/d/1_iNyiuy7BPc5OghVFh2962IBj5higET3GtFdT7dYIKk/edit" TargetMode="External"/><Relationship Id="rId9" Type="http://schemas.openxmlformats.org/officeDocument/2006/relationships/hyperlink" Target="https://docs.google.com/presentation/d/1w1uCwrd8sI-XZUT5z_MQe6wzw0tmLBag88udUd6Mw-4/edit" TargetMode="External"/><Relationship Id="rId5" Type="http://schemas.openxmlformats.org/officeDocument/2006/relationships/hyperlink" Target="http://barometer.tm/" TargetMode="External"/><Relationship Id="rId6" Type="http://schemas.openxmlformats.org/officeDocument/2006/relationships/hyperlink" Target="https://docs.google.com/spreadsheets/d/1fMW4ikLWXVtr2iz-es8Mu66lXz6d9S8l/edit?usp=drive_web&amp;ouid=118213286663399771465&amp;rtpof=true" TargetMode="External"/><Relationship Id="rId7" Type="http://schemas.openxmlformats.org/officeDocument/2006/relationships/hyperlink" Target="https://docs.google.com/presentation/d/1klR3W1gNTJ2IzYZTuDiU4d6x8r-sWCDEnGYhL1v5Q6s/edit" TargetMode="External"/><Relationship Id="rId8" Type="http://schemas.openxmlformats.org/officeDocument/2006/relationships/hyperlink" Target="https://docs.google.com/presentation/d/1klR3W1gNTJ2IzYZTuDiU4d6x8r-sWCDEnGYhL1v5Q6s/edit" TargetMode="External"/><Relationship Id="rId11" Type="http://schemas.openxmlformats.org/officeDocument/2006/relationships/hyperlink" Target="https://docs.google.com/presentation/d/1VF0eGjFaSwXTF_ZOZXoaLOanSa7ofWn4vJd9CDfQ-yg/edit" TargetMode="External"/><Relationship Id="rId10" Type="http://schemas.openxmlformats.org/officeDocument/2006/relationships/hyperlink" Target="https://docs.google.com/presentation/d/1gbqERv228XYq8T7lS2ikHL78g8hM28Q-4mnFqcFn9Go/edit?ts=60095973" TargetMode="External"/><Relationship Id="rId13" Type="http://schemas.openxmlformats.org/officeDocument/2006/relationships/hyperlink" Target="https://docs.google.com/presentation/d/1tdcTMtG7stAbNrmmLNzgWkJhDy5_xe8D_L9HebfqJko/edit" TargetMode="External"/><Relationship Id="rId12" Type="http://schemas.openxmlformats.org/officeDocument/2006/relationships/hyperlink" Target="https://docs.google.com/presentation/d/1VF0eGjFaSwXTF_ZOZXoaLOanSa7ofWn4vJd9CDfQ-yg/edit" TargetMode="External"/><Relationship Id="rId15" Type="http://schemas.openxmlformats.org/officeDocument/2006/relationships/vmlDrawing" Target="../drawings/vmlDrawing21.vml"/><Relationship Id="rId14"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40" Type="http://schemas.openxmlformats.org/officeDocument/2006/relationships/hyperlink" Target="http://5.sw/ME/RF/ANT/Component/MFG/Vendor" TargetMode="External"/><Relationship Id="rId42" Type="http://schemas.openxmlformats.org/officeDocument/2006/relationships/hyperlink" Target="http://5.sw/ME/RF/ANT/Component/MFG/Vendor" TargetMode="External"/><Relationship Id="rId41" Type="http://schemas.openxmlformats.org/officeDocument/2006/relationships/hyperlink" Target="http://5.sw/ME/RF/ANT/Component/MFG/Vendor" TargetMode="External"/><Relationship Id="rId44" Type="http://schemas.openxmlformats.org/officeDocument/2006/relationships/hyperlink" Target="http://5.sw/ME/RF/ANT/Component/MFG/Vendor" TargetMode="External"/><Relationship Id="rId43" Type="http://schemas.openxmlformats.org/officeDocument/2006/relationships/hyperlink" Target="http://5.sw/ME/RF/ANT/Component/MFG/Vendor" TargetMode="External"/><Relationship Id="rId46" Type="http://schemas.openxmlformats.org/officeDocument/2006/relationships/vmlDrawing" Target="../drawings/vmlDrawing22.vml"/><Relationship Id="rId45" Type="http://schemas.openxmlformats.org/officeDocument/2006/relationships/drawing" Target="../drawings/drawing22.xml"/><Relationship Id="rId1" Type="http://schemas.openxmlformats.org/officeDocument/2006/relationships/comments" Target="../comments22.xml"/><Relationship Id="rId2" Type="http://schemas.microsoft.com/office/2017/10/relationships/threadedComment" Target="../threadedComments/threadedComment18.xml"/><Relationship Id="rId3" Type="http://schemas.microsoft.com/office/2019/04/relationships/documenttask" Target="../documenttasks/documenttask18.xml"/><Relationship Id="rId4" Type="http://schemas.openxmlformats.org/officeDocument/2006/relationships/hyperlink" Target="http://5.sw/ME/RF/ANT/Component/MFG/Vendor" TargetMode="External"/><Relationship Id="rId9" Type="http://schemas.openxmlformats.org/officeDocument/2006/relationships/hyperlink" Target="http://5.sw/ME/RF/ANT/Component/MFG/Vendor" TargetMode="External"/><Relationship Id="rId5" Type="http://schemas.openxmlformats.org/officeDocument/2006/relationships/hyperlink" Target="http://5.sw/ME/RF/ANT/Component/MFG/Vendor" TargetMode="External"/><Relationship Id="rId6" Type="http://schemas.openxmlformats.org/officeDocument/2006/relationships/hyperlink" Target="http://5.sw/ME/RF/ANT/Component/MFG/Vendor" TargetMode="External"/><Relationship Id="rId7" Type="http://schemas.openxmlformats.org/officeDocument/2006/relationships/hyperlink" Target="http://5.sw/ME/RF/ANT/Component/MFG/Vendor" TargetMode="External"/><Relationship Id="rId8" Type="http://schemas.openxmlformats.org/officeDocument/2006/relationships/hyperlink" Target="http://5.sw/ME/RF/ANT/Component/MFG/Vendor" TargetMode="External"/><Relationship Id="rId31" Type="http://schemas.openxmlformats.org/officeDocument/2006/relationships/hyperlink" Target="http://5.sw/ME/RF/ANT/Component/MFG/Vendor" TargetMode="External"/><Relationship Id="rId30" Type="http://schemas.openxmlformats.org/officeDocument/2006/relationships/hyperlink" Target="http://5.sw/ME/RF/ANT/Component/MFG/Vendor" TargetMode="External"/><Relationship Id="rId33" Type="http://schemas.openxmlformats.org/officeDocument/2006/relationships/hyperlink" Target="http://5.sw/ME/RF/ANT/Component/MFG/Vendor" TargetMode="External"/><Relationship Id="rId32" Type="http://schemas.openxmlformats.org/officeDocument/2006/relationships/hyperlink" Target="http://5.sw/ME/RF/ANT/Component/MFG/Vendor" TargetMode="External"/><Relationship Id="rId35" Type="http://schemas.openxmlformats.org/officeDocument/2006/relationships/hyperlink" Target="http://5.sw/ME/RF/ANT/Component/MFG/Vendor" TargetMode="External"/><Relationship Id="rId34" Type="http://schemas.openxmlformats.org/officeDocument/2006/relationships/hyperlink" Target="http://5.sw/ME/RF/ANT/Component/MFG/Vendor" TargetMode="External"/><Relationship Id="rId37" Type="http://schemas.openxmlformats.org/officeDocument/2006/relationships/hyperlink" Target="http://5.sw/ME/RF/ANT/Component/MFG/Vendor" TargetMode="External"/><Relationship Id="rId36" Type="http://schemas.openxmlformats.org/officeDocument/2006/relationships/hyperlink" Target="http://5.sw/ME/RF/ANT/Component/MFG/Vendor" TargetMode="External"/><Relationship Id="rId39" Type="http://schemas.openxmlformats.org/officeDocument/2006/relationships/hyperlink" Target="http://5.sw/ME/RF/ANT/Component/MFG/Vendor" TargetMode="External"/><Relationship Id="rId38" Type="http://schemas.openxmlformats.org/officeDocument/2006/relationships/hyperlink" Target="http://5.sw/ME/RF/ANT/Component/MFG/Vendor" TargetMode="External"/><Relationship Id="rId20" Type="http://schemas.openxmlformats.org/officeDocument/2006/relationships/hyperlink" Target="http://5.sw/ME/RF/ANT/Component/MFG/Vendor" TargetMode="External"/><Relationship Id="rId22" Type="http://schemas.openxmlformats.org/officeDocument/2006/relationships/hyperlink" Target="http://5.sw/ME/RF/ANT/Component/MFG/Vendor" TargetMode="External"/><Relationship Id="rId21" Type="http://schemas.openxmlformats.org/officeDocument/2006/relationships/hyperlink" Target="http://5.sw/ME/RF/ANT/Component/MFG/Vendor" TargetMode="External"/><Relationship Id="rId24" Type="http://schemas.openxmlformats.org/officeDocument/2006/relationships/hyperlink" Target="http://5.sw/ME/RF/ANT/Component/MFG/Vendor" TargetMode="External"/><Relationship Id="rId23" Type="http://schemas.openxmlformats.org/officeDocument/2006/relationships/hyperlink" Target="http://5.sw/ME/RF/ANT/Component/MFG/Vendor" TargetMode="External"/><Relationship Id="rId26" Type="http://schemas.openxmlformats.org/officeDocument/2006/relationships/hyperlink" Target="http://5.sw/ME/RF/ANT/Component/MFG/Vendor" TargetMode="External"/><Relationship Id="rId25" Type="http://schemas.openxmlformats.org/officeDocument/2006/relationships/hyperlink" Target="http://5.sw/ME/RF/ANT/Component/MFG/Vendor" TargetMode="External"/><Relationship Id="rId28" Type="http://schemas.openxmlformats.org/officeDocument/2006/relationships/hyperlink" Target="http://5.sw/ME/RF/ANT/Component/MFG/Vendor" TargetMode="External"/><Relationship Id="rId27" Type="http://schemas.openxmlformats.org/officeDocument/2006/relationships/hyperlink" Target="http://5.sw/ME/RF/ANT/Component/MFG/Vendor" TargetMode="External"/><Relationship Id="rId29" Type="http://schemas.openxmlformats.org/officeDocument/2006/relationships/hyperlink" Target="http://5.sw/ME/RF/ANT/Component/MFG/Vendor" TargetMode="External"/><Relationship Id="rId11" Type="http://schemas.openxmlformats.org/officeDocument/2006/relationships/hyperlink" Target="http://5.sw/ME/RF/ANT/Component/MFG/Vendor" TargetMode="External"/><Relationship Id="rId10" Type="http://schemas.openxmlformats.org/officeDocument/2006/relationships/hyperlink" Target="http://5.sw/ME/RF/ANT/Component/MFG/Vendor" TargetMode="External"/><Relationship Id="rId13" Type="http://schemas.openxmlformats.org/officeDocument/2006/relationships/hyperlink" Target="http://5.sw/ME/RF/ANT/Component/MFG/Vendor" TargetMode="External"/><Relationship Id="rId12" Type="http://schemas.openxmlformats.org/officeDocument/2006/relationships/hyperlink" Target="http://5.sw/ME/RF/ANT/Component/MFG/Vendor" TargetMode="External"/><Relationship Id="rId15" Type="http://schemas.openxmlformats.org/officeDocument/2006/relationships/hyperlink" Target="http://5.sw/ME/RF/ANT/Component/MFG/Vendor" TargetMode="External"/><Relationship Id="rId14" Type="http://schemas.openxmlformats.org/officeDocument/2006/relationships/hyperlink" Target="http://5.sw/ME/RF/ANT/Component/MFG/Vendor" TargetMode="External"/><Relationship Id="rId17" Type="http://schemas.openxmlformats.org/officeDocument/2006/relationships/hyperlink" Target="http://5.sw/ME/RF/ANT/Component/MFG/Vendor" TargetMode="External"/><Relationship Id="rId16" Type="http://schemas.openxmlformats.org/officeDocument/2006/relationships/hyperlink" Target="http://5.sw/ME/RF/ANT/Component/MFG/Vendor" TargetMode="External"/><Relationship Id="rId19" Type="http://schemas.openxmlformats.org/officeDocument/2006/relationships/hyperlink" Target="http://5.sw/ME/RF/ANT/Component/MFG/Vendor" TargetMode="External"/><Relationship Id="rId18" Type="http://schemas.openxmlformats.org/officeDocument/2006/relationships/hyperlink" Target="http://5.sw/ME/RF/ANT/Component/MFG/Vendor" TargetMode="External"/></Relationships>
</file>

<file path=xl/worksheets/_rels/sheet23.xml.rels><?xml version="1.0" encoding="UTF-8" standalone="yes"?><Relationships xmlns="http://schemas.openxmlformats.org/package/2006/relationships"><Relationship Id="rId1" Type="http://schemas.openxmlformats.org/officeDocument/2006/relationships/comments" Target="../comments23.xml"/><Relationship Id="rId2" Type="http://schemas.microsoft.com/office/2017/10/relationships/threadedComment" Target="../threadedComments/threadedComment19.xml"/><Relationship Id="rId3" Type="http://schemas.microsoft.com/office/2019/04/relationships/documenttask" Target="../documenttasks/documenttask19.xml"/><Relationship Id="rId4" Type="http://schemas.openxmlformats.org/officeDocument/2006/relationships/hyperlink" Target="http://5.sw/ME/RF/ANT/Component/MFG/Vendor" TargetMode="External"/><Relationship Id="rId9" Type="http://schemas.openxmlformats.org/officeDocument/2006/relationships/hyperlink" Target="http://5.sw/ME/RF/ANT/Component/MFG/Vendor" TargetMode="External"/><Relationship Id="rId5" Type="http://schemas.openxmlformats.org/officeDocument/2006/relationships/hyperlink" Target="http://5.sw/ME/RF/ANT/Component/MFG/Vendor" TargetMode="External"/><Relationship Id="rId6" Type="http://schemas.openxmlformats.org/officeDocument/2006/relationships/hyperlink" Target="https://drive.google.com/drive/folders/14BBOOrVPrKM2QBeegBoHzDZ4QgdQW1ss" TargetMode="External"/><Relationship Id="rId7" Type="http://schemas.openxmlformats.org/officeDocument/2006/relationships/hyperlink" Target="http://5.sw/ME/RF/ANT/Component/MFG/Vendor" TargetMode="External"/><Relationship Id="rId8" Type="http://schemas.openxmlformats.org/officeDocument/2006/relationships/hyperlink" Target="http://5.sw/ME/RF/ANT/Component/MFG/Vendor" TargetMode="External"/><Relationship Id="rId20" Type="http://schemas.openxmlformats.org/officeDocument/2006/relationships/hyperlink" Target="http://1.pm/" TargetMode="External"/><Relationship Id="rId22" Type="http://schemas.openxmlformats.org/officeDocument/2006/relationships/hyperlink" Target="http://1.no" TargetMode="External"/><Relationship Id="rId21" Type="http://schemas.openxmlformats.org/officeDocument/2006/relationships/hyperlink" Target="http://5.sw/ME/RF/ANT/Component/MFG/Vendor" TargetMode="External"/><Relationship Id="rId24" Type="http://schemas.openxmlformats.org/officeDocument/2006/relationships/vmlDrawing" Target="../drawings/vmlDrawing23.vml"/><Relationship Id="rId23" Type="http://schemas.openxmlformats.org/officeDocument/2006/relationships/drawing" Target="../drawings/drawing23.xml"/><Relationship Id="rId11" Type="http://schemas.openxmlformats.org/officeDocument/2006/relationships/hyperlink" Target="http://5.sw/ME/RF/ANT/Component/MFG/Vendor" TargetMode="External"/><Relationship Id="rId10" Type="http://schemas.openxmlformats.org/officeDocument/2006/relationships/hyperlink" Target="http://5.sw/ME/RF/ANT/Component/MFG/Vendor" TargetMode="External"/><Relationship Id="rId13" Type="http://schemas.openxmlformats.org/officeDocument/2006/relationships/hyperlink" Target="http://5.sw/ME/RF/ANT/Component/MFG/Vendor" TargetMode="External"/><Relationship Id="rId12" Type="http://schemas.openxmlformats.org/officeDocument/2006/relationships/hyperlink" Target="http://5.sw/ME/RF/ANT/Component/MFG/Vendor" TargetMode="External"/><Relationship Id="rId15" Type="http://schemas.openxmlformats.org/officeDocument/2006/relationships/hyperlink" Target="http://5.sw/ME/RF/ANT/Component/MFG/Vendor" TargetMode="External"/><Relationship Id="rId14" Type="http://schemas.openxmlformats.org/officeDocument/2006/relationships/hyperlink" Target="http://5.sw/ME/RF/ANT/Component/MFG/Vendor" TargetMode="External"/><Relationship Id="rId17" Type="http://schemas.openxmlformats.org/officeDocument/2006/relationships/hyperlink" Target="http://5.sw/ME/RF/ANT/Component/MFG/Vendor" TargetMode="External"/><Relationship Id="rId16" Type="http://schemas.openxmlformats.org/officeDocument/2006/relationships/hyperlink" Target="http://5.sw/ME/RF/ANT/Component/MFG/Vendor" TargetMode="External"/><Relationship Id="rId19" Type="http://schemas.openxmlformats.org/officeDocument/2006/relationships/hyperlink" Target="http://2.qc/" TargetMode="External"/><Relationship Id="rId18" Type="http://schemas.openxmlformats.org/officeDocument/2006/relationships/hyperlink" Target="http://5.sw/ME/RF/ANT/Component/MFG/Vendor" TargetMode="External"/></Relationships>
</file>

<file path=xl/worksheets/_rels/sheet24.xml.rels><?xml version="1.0" encoding="UTF-8" standalone="yes"?><Relationships xmlns="http://schemas.openxmlformats.org/package/2006/relationships"><Relationship Id="rId1" Type="http://schemas.openxmlformats.org/officeDocument/2006/relationships/comments" Target="../comments24.xml"/><Relationship Id="rId2" Type="http://schemas.microsoft.com/office/2017/10/relationships/threadedComment" Target="../threadedComments/threadedComment20.xml"/><Relationship Id="rId3" Type="http://schemas.microsoft.com/office/2019/04/relationships/documenttask" Target="../documenttasks/documenttask20.xml"/><Relationship Id="rId4" Type="http://schemas.openxmlformats.org/officeDocument/2006/relationships/hyperlink" Target="https://docs.google.com/presentation/d/1JRpAI3EgSqxXrFvaCTsx6AuH2dQzUiP0aJt4wqbfpJc/edit" TargetMode="External"/><Relationship Id="rId9" Type="http://schemas.openxmlformats.org/officeDocument/2006/relationships/hyperlink" Target="https://docs.google.com/presentation/d/1ph2z4FZAxbKRY5B3arYfXFsNz8WNLUDeFXagIjN01IA/edit" TargetMode="External"/><Relationship Id="rId5" Type="http://schemas.openxmlformats.org/officeDocument/2006/relationships/hyperlink" Target="https://docs.google.com/presentation/d/1i0Kx4uOiquom6W4K4fkIt9KrB0CJwh2xjp3eJerbMh0/edit" TargetMode="External"/><Relationship Id="rId6" Type="http://schemas.openxmlformats.org/officeDocument/2006/relationships/hyperlink" Target="https://docs.google.com/presentation/d/1ZiNqD6Odyxm8ECM3BriDJq3_Xya9mp8Vgo5AOwgZe_w/edit" TargetMode="External"/><Relationship Id="rId7" Type="http://schemas.openxmlformats.org/officeDocument/2006/relationships/hyperlink" Target="https://docs.google.com/presentation/d/1ypqTf9nvNb3TG9c0iF_cCAGz68aEqZDF/edit" TargetMode="External"/><Relationship Id="rId8" Type="http://schemas.openxmlformats.org/officeDocument/2006/relationships/hyperlink" Target="https://docs.google.com/presentation/d/15LLH6GHqk4YpXydjaxJPGY5AAawNFPGoQk2yrO8xvGc/edit" TargetMode="External"/><Relationship Id="rId11" Type="http://schemas.openxmlformats.org/officeDocument/2006/relationships/hyperlink" Target="https://docs.google.com/spreadsheets/d/1Ckc_ttM-liDgUkrgFQZx-_GVKz1Y2coBIGorVFjqU0E/edit" TargetMode="External"/><Relationship Id="rId10" Type="http://schemas.openxmlformats.org/officeDocument/2006/relationships/hyperlink" Target="https://drive.google.com/drive/my-drive" TargetMode="External"/><Relationship Id="rId13" Type="http://schemas.openxmlformats.org/officeDocument/2006/relationships/hyperlink" Target="https://docs.google.com/presentation/d/14N9T6dS5OhtIVeswMsubXAFtOljPbiERp5I5UVZod30/edit" TargetMode="External"/><Relationship Id="rId12" Type="http://schemas.openxmlformats.org/officeDocument/2006/relationships/hyperlink" Target="https://idart.mot.com/browse/IKSWQ-90483" TargetMode="External"/><Relationship Id="rId15" Type="http://schemas.openxmlformats.org/officeDocument/2006/relationships/vmlDrawing" Target="../drawings/vmlDrawing24.vml"/><Relationship Id="rId14"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comments" Target="../comments25.xml"/><Relationship Id="rId2" Type="http://schemas.microsoft.com/office/2017/10/relationships/threadedComment" Target="../threadedComments/threadedComment21.xml"/><Relationship Id="rId3" Type="http://schemas.microsoft.com/office/2019/04/relationships/documenttask" Target="../documenttasks/documenttask21.xml"/><Relationship Id="rId4" Type="http://schemas.openxmlformats.org/officeDocument/2006/relationships/hyperlink" Target="https://docs.google.com/presentation/d/1rY8BM5AetYjJXlsUQNDzKTMplob_-olp2vDOXpN4B68/edit" TargetMode="External"/><Relationship Id="rId9" Type="http://schemas.openxmlformats.org/officeDocument/2006/relationships/hyperlink" Target="https://docs.google.com/spreadsheets/d/1p__VdJfj7ddM-6oIIg-w9WHmUlPJT4N9/edit" TargetMode="External"/><Relationship Id="rId5" Type="http://schemas.openxmlformats.org/officeDocument/2006/relationships/hyperlink" Target="https://docs.google.com/spreadsheets/d/14vqAmISVE0cJVtzOQv8X8okegburSWc-/edit" TargetMode="External"/><Relationship Id="rId6" Type="http://schemas.openxmlformats.org/officeDocument/2006/relationships/hyperlink" Target="https://docs.google.com/spreadsheets/d/14vqAmISVE0cJVtzOQv8X8okegburSWc-/edit" TargetMode="External"/><Relationship Id="rId7" Type="http://schemas.openxmlformats.org/officeDocument/2006/relationships/hyperlink" Target="https://idart.mot.com/browse/IKSWR-55445" TargetMode="External"/><Relationship Id="rId8" Type="http://schemas.openxmlformats.org/officeDocument/2006/relationships/hyperlink" Target="https://docs.google.com/presentation/d/1XB-Hwc7o08LWlzqI7fEs_7AeXCJv-nD30Q7ffBa76qo/edit" TargetMode="External"/><Relationship Id="rId20" Type="http://schemas.openxmlformats.org/officeDocument/2006/relationships/hyperlink" Target="https://docs.google.com/presentation/d/1YZRBenRrpEsJ5lYdQuOlsh-XSoyk81xDfG2cwWozzEI/edit" TargetMode="External"/><Relationship Id="rId22" Type="http://schemas.openxmlformats.org/officeDocument/2006/relationships/drawing" Target="../drawings/drawing25.xml"/><Relationship Id="rId21" Type="http://schemas.openxmlformats.org/officeDocument/2006/relationships/hyperlink" Target="https://docs.google.com/presentation/d/1XoZ1IBcIgwvBs_beBfoT5NwUDFue466NI4P5YN8woKg/edit" TargetMode="External"/><Relationship Id="rId23" Type="http://schemas.openxmlformats.org/officeDocument/2006/relationships/vmlDrawing" Target="../drawings/vmlDrawing25.vml"/><Relationship Id="rId11" Type="http://schemas.openxmlformats.org/officeDocument/2006/relationships/hyperlink" Target="https://docs.google.com/presentation/d/1qgN_wL0Xnp8rrEPYkswVh9RruHzVIhNR0FRSmtd65rQ/edit" TargetMode="External"/><Relationship Id="rId10" Type="http://schemas.openxmlformats.org/officeDocument/2006/relationships/hyperlink" Target="https://docs.google.com/spreadsheets/d/1DooQ0AeSOzVBWgPFIVmKSFJX0CtUFh8TaCxDedjGYZY/edit" TargetMode="External"/><Relationship Id="rId13" Type="http://schemas.openxmlformats.org/officeDocument/2006/relationships/hyperlink" Target="https://docs.google.com/spreadsheets/d/1SwPtXNis3Ngr26SNu4tjkYU-_bs626ikiYQNzOnlW1Y/edit" TargetMode="External"/><Relationship Id="rId12" Type="http://schemas.openxmlformats.org/officeDocument/2006/relationships/hyperlink" Target="https://docs.google.com/presentation/d/1wlzNN-BlTg_IN-UdCxQFtDFbh1ccMdqFFGxENauKpfg/edit" TargetMode="External"/><Relationship Id="rId15" Type="http://schemas.openxmlformats.org/officeDocument/2006/relationships/hyperlink" Target="https://idart.mot.com/browse/IKSWR-11737" TargetMode="External"/><Relationship Id="rId14" Type="http://schemas.openxmlformats.org/officeDocument/2006/relationships/hyperlink" Target="https://docs.google.com/presentation/d/1OwSRey1i836vDT-t_NhiK9BxE7V0EJfQ6gakR5YxhFs/edit?ts=5f8d62be" TargetMode="External"/><Relationship Id="rId17" Type="http://schemas.openxmlformats.org/officeDocument/2006/relationships/hyperlink" Target="https://docs.google.com/presentation/d/1WnhYPnpkoZdrqfdLK5Qa1jM5DENa_9yvVP4u4hr2T7w/edit" TargetMode="External"/><Relationship Id="rId16" Type="http://schemas.openxmlformats.org/officeDocument/2006/relationships/hyperlink" Target="https://docs.google.com/spreadsheets/d/1QphKvGrxs3gPmyl3HIReXUTD-UllMxjCLaDus2-d9No/edit?ts=5fa3955a" TargetMode="External"/><Relationship Id="rId19" Type="http://schemas.openxmlformats.org/officeDocument/2006/relationships/hyperlink" Target="https://docs.google.com/presentation/d/1FO9NzsSK2j6alOibvRJI6PqnPochRDxa/edit" TargetMode="External"/><Relationship Id="rId18" Type="http://schemas.openxmlformats.org/officeDocument/2006/relationships/hyperlink" Target="https://idart.mot.com/browse/IKSWR-12689" TargetMode="External"/></Relationships>
</file>

<file path=xl/worksheets/_rels/sheet26.xml.rels><?xml version="1.0" encoding="UTF-8" standalone="yes"?><Relationships xmlns="http://schemas.openxmlformats.org/package/2006/relationships"><Relationship Id="rId40" Type="http://schemas.openxmlformats.org/officeDocument/2006/relationships/hyperlink" Target="http://1.bb" TargetMode="External"/><Relationship Id="rId42" Type="http://schemas.openxmlformats.org/officeDocument/2006/relationships/hyperlink" Target="http://1.bb" TargetMode="External"/><Relationship Id="rId41" Type="http://schemas.openxmlformats.org/officeDocument/2006/relationships/hyperlink" Target="http://1.bb" TargetMode="External"/><Relationship Id="rId44" Type="http://schemas.openxmlformats.org/officeDocument/2006/relationships/hyperlink" Target="http://1.bb" TargetMode="External"/><Relationship Id="rId43" Type="http://schemas.openxmlformats.org/officeDocument/2006/relationships/hyperlink" Target="http://5.sw/ME/RF/ANT/Component/MFG/Vendor" TargetMode="External"/><Relationship Id="rId46" Type="http://schemas.openxmlformats.org/officeDocument/2006/relationships/hyperlink" Target="http://5.sw/ME/RF/ANT/Component/MFG/Vendor" TargetMode="External"/><Relationship Id="rId45" Type="http://schemas.openxmlformats.org/officeDocument/2006/relationships/hyperlink" Target="http://1.bb" TargetMode="External"/><Relationship Id="rId1" Type="http://schemas.openxmlformats.org/officeDocument/2006/relationships/comments" Target="../comments26.xml"/><Relationship Id="rId2" Type="http://schemas.microsoft.com/office/2017/10/relationships/threadedComment" Target="../threadedComments/threadedComment22.xml"/><Relationship Id="rId3" Type="http://schemas.microsoft.com/office/2019/04/relationships/documenttask" Target="../documenttasks/documenttask22.xml"/><Relationship Id="rId4" Type="http://schemas.openxmlformats.org/officeDocument/2006/relationships/hyperlink" Target="http://5.sw/ME/RF/ANT/Component/MFG/Vendor" TargetMode="External"/><Relationship Id="rId9" Type="http://schemas.openxmlformats.org/officeDocument/2006/relationships/hyperlink" Target="http://5.sw/ME/RF/ANT/Component/MFG/Vendor" TargetMode="External"/><Relationship Id="rId48" Type="http://schemas.openxmlformats.org/officeDocument/2006/relationships/hyperlink" Target="http://5.sw/ME/RF/ANT/Component/MFG/Vendor" TargetMode="External"/><Relationship Id="rId47" Type="http://schemas.openxmlformats.org/officeDocument/2006/relationships/hyperlink" Target="http://1.bb" TargetMode="External"/><Relationship Id="rId49" Type="http://schemas.openxmlformats.org/officeDocument/2006/relationships/hyperlink" Target="http://1.bb" TargetMode="External"/><Relationship Id="rId5" Type="http://schemas.openxmlformats.org/officeDocument/2006/relationships/hyperlink" Target="http://5.sw/ME/RF/ANT/Component/MFG/Vendor" TargetMode="External"/><Relationship Id="rId6" Type="http://schemas.openxmlformats.org/officeDocument/2006/relationships/hyperlink" Target="http://5.sw/ME/RF/ANT/Component/MFG/Vendor" TargetMode="External"/><Relationship Id="rId7" Type="http://schemas.openxmlformats.org/officeDocument/2006/relationships/hyperlink" Target="http://5.sw/ME/RF/ANT/Component/MFG/Vendor" TargetMode="External"/><Relationship Id="rId8" Type="http://schemas.openxmlformats.org/officeDocument/2006/relationships/hyperlink" Target="http://5.sw/ME/RF/ANT/Component/MFG/Vendor" TargetMode="External"/><Relationship Id="rId73" Type="http://schemas.openxmlformats.org/officeDocument/2006/relationships/hyperlink" Target="http://1.bb" TargetMode="External"/><Relationship Id="rId72" Type="http://schemas.openxmlformats.org/officeDocument/2006/relationships/hyperlink" Target="http://1.bb" TargetMode="External"/><Relationship Id="rId31" Type="http://schemas.openxmlformats.org/officeDocument/2006/relationships/hyperlink" Target="http://5.sw/ME/RF/ANT/Component/MFG/Vendor" TargetMode="External"/><Relationship Id="rId75" Type="http://schemas.openxmlformats.org/officeDocument/2006/relationships/hyperlink" Target="http://1.bb" TargetMode="External"/><Relationship Id="rId30" Type="http://schemas.openxmlformats.org/officeDocument/2006/relationships/hyperlink" Target="http://1.bb" TargetMode="External"/><Relationship Id="rId74" Type="http://schemas.openxmlformats.org/officeDocument/2006/relationships/hyperlink" Target="http://1.bb" TargetMode="External"/><Relationship Id="rId33" Type="http://schemas.openxmlformats.org/officeDocument/2006/relationships/hyperlink" Target="http://1.bb" TargetMode="External"/><Relationship Id="rId77" Type="http://schemas.openxmlformats.org/officeDocument/2006/relationships/hyperlink" Target="http://1.bb" TargetMode="External"/><Relationship Id="rId32" Type="http://schemas.openxmlformats.org/officeDocument/2006/relationships/hyperlink" Target="http://1.bb" TargetMode="External"/><Relationship Id="rId76" Type="http://schemas.openxmlformats.org/officeDocument/2006/relationships/hyperlink" Target="http://1.bb" TargetMode="External"/><Relationship Id="rId35" Type="http://schemas.openxmlformats.org/officeDocument/2006/relationships/hyperlink" Target="http://1.bb" TargetMode="External"/><Relationship Id="rId79" Type="http://schemas.openxmlformats.org/officeDocument/2006/relationships/vmlDrawing" Target="../drawings/vmlDrawing26.vml"/><Relationship Id="rId34" Type="http://schemas.openxmlformats.org/officeDocument/2006/relationships/hyperlink" Target="http://1.bb" TargetMode="External"/><Relationship Id="rId78" Type="http://schemas.openxmlformats.org/officeDocument/2006/relationships/drawing" Target="../drawings/drawing26.xml"/><Relationship Id="rId71" Type="http://schemas.openxmlformats.org/officeDocument/2006/relationships/hyperlink" Target="http://1.bb" TargetMode="External"/><Relationship Id="rId70" Type="http://schemas.openxmlformats.org/officeDocument/2006/relationships/hyperlink" Target="http://1.bb" TargetMode="External"/><Relationship Id="rId37" Type="http://schemas.openxmlformats.org/officeDocument/2006/relationships/hyperlink" Target="http://5.sw/ME/RF/ANT/Component/MFG/Vendor" TargetMode="External"/><Relationship Id="rId36" Type="http://schemas.openxmlformats.org/officeDocument/2006/relationships/hyperlink" Target="http://1.bb" TargetMode="External"/><Relationship Id="rId39" Type="http://schemas.openxmlformats.org/officeDocument/2006/relationships/hyperlink" Target="http://1.bb" TargetMode="External"/><Relationship Id="rId38" Type="http://schemas.openxmlformats.org/officeDocument/2006/relationships/hyperlink" Target="http://1.bb" TargetMode="External"/><Relationship Id="rId62" Type="http://schemas.openxmlformats.org/officeDocument/2006/relationships/hyperlink" Target="http://1.bb" TargetMode="External"/><Relationship Id="rId61" Type="http://schemas.openxmlformats.org/officeDocument/2006/relationships/hyperlink" Target="http://1.bb" TargetMode="External"/><Relationship Id="rId20" Type="http://schemas.openxmlformats.org/officeDocument/2006/relationships/hyperlink" Target="http://5.sw/ME/RF/ANT/Component/MFG/Vendor" TargetMode="External"/><Relationship Id="rId64" Type="http://schemas.openxmlformats.org/officeDocument/2006/relationships/hyperlink" Target="http://1.bb" TargetMode="External"/><Relationship Id="rId63" Type="http://schemas.openxmlformats.org/officeDocument/2006/relationships/hyperlink" Target="http://1.bb" TargetMode="External"/><Relationship Id="rId22" Type="http://schemas.openxmlformats.org/officeDocument/2006/relationships/hyperlink" Target="http://1.bb" TargetMode="External"/><Relationship Id="rId66" Type="http://schemas.openxmlformats.org/officeDocument/2006/relationships/hyperlink" Target="http://1.bb" TargetMode="External"/><Relationship Id="rId21" Type="http://schemas.openxmlformats.org/officeDocument/2006/relationships/hyperlink" Target="http://5.sw/ME/RF/ANT/Component/MFG/Vendor" TargetMode="External"/><Relationship Id="rId65" Type="http://schemas.openxmlformats.org/officeDocument/2006/relationships/hyperlink" Target="http://1.bb" TargetMode="External"/><Relationship Id="rId24" Type="http://schemas.openxmlformats.org/officeDocument/2006/relationships/hyperlink" Target="http://1.bb" TargetMode="External"/><Relationship Id="rId68" Type="http://schemas.openxmlformats.org/officeDocument/2006/relationships/hyperlink" Target="http://1.bb" TargetMode="External"/><Relationship Id="rId23" Type="http://schemas.openxmlformats.org/officeDocument/2006/relationships/hyperlink" Target="http://5.sw/ME/RF/ANT/Component/MFG/Vendor" TargetMode="External"/><Relationship Id="rId67" Type="http://schemas.openxmlformats.org/officeDocument/2006/relationships/hyperlink" Target="http://1.bb" TargetMode="External"/><Relationship Id="rId60" Type="http://schemas.openxmlformats.org/officeDocument/2006/relationships/hyperlink" Target="http://1.bb" TargetMode="External"/><Relationship Id="rId26" Type="http://schemas.openxmlformats.org/officeDocument/2006/relationships/hyperlink" Target="http://1.bb" TargetMode="External"/><Relationship Id="rId25" Type="http://schemas.openxmlformats.org/officeDocument/2006/relationships/hyperlink" Target="http://1.bb" TargetMode="External"/><Relationship Id="rId69" Type="http://schemas.openxmlformats.org/officeDocument/2006/relationships/hyperlink" Target="http://1.bb" TargetMode="External"/><Relationship Id="rId28" Type="http://schemas.openxmlformats.org/officeDocument/2006/relationships/hyperlink" Target="http://1.bb" TargetMode="External"/><Relationship Id="rId27" Type="http://schemas.openxmlformats.org/officeDocument/2006/relationships/hyperlink" Target="http://5.sw/ME/RF/ANT/Component/MFG/Vendor" TargetMode="External"/><Relationship Id="rId29" Type="http://schemas.openxmlformats.org/officeDocument/2006/relationships/hyperlink" Target="http://5.sw/ME/RF/ANT/Component/MFG/Vendor" TargetMode="External"/><Relationship Id="rId51" Type="http://schemas.openxmlformats.org/officeDocument/2006/relationships/hyperlink" Target="http://1.bb" TargetMode="External"/><Relationship Id="rId50" Type="http://schemas.openxmlformats.org/officeDocument/2006/relationships/hyperlink" Target="http://5.sw/ME/RF/ANT/Component/MFG/Vendor" TargetMode="External"/><Relationship Id="rId53" Type="http://schemas.openxmlformats.org/officeDocument/2006/relationships/hyperlink" Target="http://1.bb" TargetMode="External"/><Relationship Id="rId52" Type="http://schemas.openxmlformats.org/officeDocument/2006/relationships/hyperlink" Target="http://1.bb" TargetMode="External"/><Relationship Id="rId11" Type="http://schemas.openxmlformats.org/officeDocument/2006/relationships/hyperlink" Target="http://5.sw/ME/RF/ANT/Component/MFG/Vendor" TargetMode="External"/><Relationship Id="rId55" Type="http://schemas.openxmlformats.org/officeDocument/2006/relationships/hyperlink" Target="http://5.sw/ME/RF/ANT/Component/MFG/Vendor" TargetMode="External"/><Relationship Id="rId10" Type="http://schemas.openxmlformats.org/officeDocument/2006/relationships/hyperlink" Target="http://5.sw/ME/RF/ANT/Component/MFG/Vendor" TargetMode="External"/><Relationship Id="rId54" Type="http://schemas.openxmlformats.org/officeDocument/2006/relationships/hyperlink" Target="http://1.bb" TargetMode="External"/><Relationship Id="rId13" Type="http://schemas.openxmlformats.org/officeDocument/2006/relationships/hyperlink" Target="http://5.sw/ME/RF/ANT/Component/MFG/Vendor" TargetMode="External"/><Relationship Id="rId57" Type="http://schemas.openxmlformats.org/officeDocument/2006/relationships/hyperlink" Target="http://5.sw/ME/RF/ANT/Component/MFG/Vendor" TargetMode="External"/><Relationship Id="rId12" Type="http://schemas.openxmlformats.org/officeDocument/2006/relationships/hyperlink" Target="http://5.sw/ME/RF/ANT/Component/MFG/Vendor" TargetMode="External"/><Relationship Id="rId56" Type="http://schemas.openxmlformats.org/officeDocument/2006/relationships/hyperlink" Target="http://1.bb" TargetMode="External"/><Relationship Id="rId15" Type="http://schemas.openxmlformats.org/officeDocument/2006/relationships/hyperlink" Target="http://5.sw/ME/RF/ANT/Component/MFG/Vendor" TargetMode="External"/><Relationship Id="rId59" Type="http://schemas.openxmlformats.org/officeDocument/2006/relationships/hyperlink" Target="http://5.sw/ME/RF/ANT/Component/MFG/Vendor" TargetMode="External"/><Relationship Id="rId14" Type="http://schemas.openxmlformats.org/officeDocument/2006/relationships/hyperlink" Target="http://5.sw/ME/RF/ANT/Component/MFG/Vendor" TargetMode="External"/><Relationship Id="rId58" Type="http://schemas.openxmlformats.org/officeDocument/2006/relationships/hyperlink" Target="http://1.bb" TargetMode="External"/><Relationship Id="rId17" Type="http://schemas.openxmlformats.org/officeDocument/2006/relationships/hyperlink" Target="http://5.sw/ME/RF/ANT/Component/MFG/Vendor" TargetMode="External"/><Relationship Id="rId16" Type="http://schemas.openxmlformats.org/officeDocument/2006/relationships/hyperlink" Target="http://5.sw/ME/RF/ANT/Component/MFG/Vendor" TargetMode="External"/><Relationship Id="rId19" Type="http://schemas.openxmlformats.org/officeDocument/2006/relationships/hyperlink" Target="http://5.sw/ME/RF/ANT/Component/MFG/Vendor" TargetMode="External"/><Relationship Id="rId18" Type="http://schemas.openxmlformats.org/officeDocument/2006/relationships/hyperlink" Target="http://1.bb" TargetMode="External"/></Relationships>
</file>

<file path=xl/worksheets/_rels/sheet27.xml.rels><?xml version="1.0" encoding="UTF-8" standalone="yes"?><Relationships xmlns="http://schemas.openxmlformats.org/package/2006/relationships"><Relationship Id="rId1" Type="http://schemas.openxmlformats.org/officeDocument/2006/relationships/comments" Target="../comments27.xml"/><Relationship Id="rId2" Type="http://schemas.microsoft.com/office/2017/10/relationships/threadedComment" Target="../threadedComments/threadedComment23.xml"/><Relationship Id="rId3" Type="http://schemas.microsoft.com/office/2019/04/relationships/documenttask" Target="../documenttasks/documenttask23.xml"/><Relationship Id="rId4" Type="http://schemas.openxmlformats.org/officeDocument/2006/relationships/hyperlink" Target="http://5.sw/ME/RF/ANT/Component/MFG/Vendor" TargetMode="External"/><Relationship Id="rId9" Type="http://schemas.openxmlformats.org/officeDocument/2006/relationships/hyperlink" Target="http://5.sw/ME/RF/ANT/Component/MFG/Vendor" TargetMode="External"/><Relationship Id="rId5" Type="http://schemas.openxmlformats.org/officeDocument/2006/relationships/hyperlink" Target="http://5.sw/ME/RF/ANT/Component/MFG/Vendor" TargetMode="External"/><Relationship Id="rId6" Type="http://schemas.openxmlformats.org/officeDocument/2006/relationships/hyperlink" Target="http://5.sw/ME/RF/ANT/Component/MFG/Vendor" TargetMode="External"/><Relationship Id="rId7" Type="http://schemas.openxmlformats.org/officeDocument/2006/relationships/hyperlink" Target="http://6.no" TargetMode="External"/><Relationship Id="rId8" Type="http://schemas.openxmlformats.org/officeDocument/2006/relationships/hyperlink" Target="http://1.sw" TargetMode="External"/><Relationship Id="rId31" Type="http://schemas.openxmlformats.org/officeDocument/2006/relationships/hyperlink" Target="http://5.sw/ME/RF/ANT/Component/MFG/Vendor" TargetMode="External"/><Relationship Id="rId30" Type="http://schemas.openxmlformats.org/officeDocument/2006/relationships/hyperlink" Target="http://5.sw/ME/RF/ANT/Component/MFG/Vendor" TargetMode="External"/><Relationship Id="rId33" Type="http://schemas.openxmlformats.org/officeDocument/2006/relationships/hyperlink" Target="http://5.sw/ME/RF/ANT/Component/MFG/Vendor" TargetMode="External"/><Relationship Id="rId32" Type="http://schemas.openxmlformats.org/officeDocument/2006/relationships/hyperlink" Target="http://5.sw/ME/RF/ANT/Component/MFG/Vendor" TargetMode="External"/><Relationship Id="rId35" Type="http://schemas.openxmlformats.org/officeDocument/2006/relationships/hyperlink" Target="http://5.sw/ME/RF/ANT/Component/MFG/Vendor" TargetMode="External"/><Relationship Id="rId34" Type="http://schemas.openxmlformats.org/officeDocument/2006/relationships/hyperlink" Target="http://5.sw/ME/RF/ANT/Component/MFG/Vendor" TargetMode="External"/><Relationship Id="rId37" Type="http://schemas.openxmlformats.org/officeDocument/2006/relationships/drawing" Target="../drawings/drawing27.xml"/><Relationship Id="rId36" Type="http://schemas.openxmlformats.org/officeDocument/2006/relationships/hyperlink" Target="http://5.sw/ME/RF/ANT/Component/MFG/Vendor" TargetMode="External"/><Relationship Id="rId38" Type="http://schemas.openxmlformats.org/officeDocument/2006/relationships/vmlDrawing" Target="../drawings/vmlDrawing27.vml"/><Relationship Id="rId20" Type="http://schemas.openxmlformats.org/officeDocument/2006/relationships/hyperlink" Target="http://5.sw/ME/RF/ANT/Component/MFG/Vendor" TargetMode="External"/><Relationship Id="rId22" Type="http://schemas.openxmlformats.org/officeDocument/2006/relationships/hyperlink" Target="http://5.sw/ME/RF/ANT/Component/MFG/Vendor" TargetMode="External"/><Relationship Id="rId21" Type="http://schemas.openxmlformats.org/officeDocument/2006/relationships/hyperlink" Target="http://5.sw/ME/RF/ANT/Component/MFG/Vendor" TargetMode="External"/><Relationship Id="rId24" Type="http://schemas.openxmlformats.org/officeDocument/2006/relationships/hyperlink" Target="http://5.sw/ME/RF/ANT/Component/MFG/Vendor" TargetMode="External"/><Relationship Id="rId23" Type="http://schemas.openxmlformats.org/officeDocument/2006/relationships/hyperlink" Target="http://5.sw/ME/RF/ANT/Component/MFG/Vendor" TargetMode="External"/><Relationship Id="rId26" Type="http://schemas.openxmlformats.org/officeDocument/2006/relationships/hyperlink" Target="http://5.sw/ME/RF/ANT/Component/MFG/Vendor" TargetMode="External"/><Relationship Id="rId25" Type="http://schemas.openxmlformats.org/officeDocument/2006/relationships/hyperlink" Target="http://5.sw/ME/RF/ANT/Component/MFG/Vendor" TargetMode="External"/><Relationship Id="rId28" Type="http://schemas.openxmlformats.org/officeDocument/2006/relationships/hyperlink" Target="http://5.sw/ME/RF/ANT/Component/MFG/Vendor" TargetMode="External"/><Relationship Id="rId27" Type="http://schemas.openxmlformats.org/officeDocument/2006/relationships/hyperlink" Target="http://5.sw/ME/RF/ANT/Component/MFG/Vendor" TargetMode="External"/><Relationship Id="rId29" Type="http://schemas.openxmlformats.org/officeDocument/2006/relationships/hyperlink" Target="http://5.sw/ME/RF/ANT/Component/MFG/Vendor" TargetMode="External"/><Relationship Id="rId11" Type="http://schemas.openxmlformats.org/officeDocument/2006/relationships/hyperlink" Target="http://5.sw/ME/RF/ANT/Component/MFG/Vendor" TargetMode="External"/><Relationship Id="rId10" Type="http://schemas.openxmlformats.org/officeDocument/2006/relationships/hyperlink" Target="http://5.sw/ME/RF/ANT/Component/MFG/Vendor" TargetMode="External"/><Relationship Id="rId13" Type="http://schemas.openxmlformats.org/officeDocument/2006/relationships/hyperlink" Target="http://5.sw/ME/RF/ANT/Component/MFG/Vendor" TargetMode="External"/><Relationship Id="rId12" Type="http://schemas.openxmlformats.org/officeDocument/2006/relationships/hyperlink" Target="http://6.no" TargetMode="External"/><Relationship Id="rId15" Type="http://schemas.openxmlformats.org/officeDocument/2006/relationships/hyperlink" Target="http://5.no/" TargetMode="External"/><Relationship Id="rId14" Type="http://schemas.openxmlformats.org/officeDocument/2006/relationships/hyperlink" Target="http://5.sw/ME/RF/ANT/Component/MFG/Vendor" TargetMode="External"/><Relationship Id="rId17" Type="http://schemas.openxmlformats.org/officeDocument/2006/relationships/hyperlink" Target="http://5.sw/ME/RF/ANT/Component/MFG/Vendor" TargetMode="External"/><Relationship Id="rId16" Type="http://schemas.openxmlformats.org/officeDocument/2006/relationships/hyperlink" Target="http://6.no" TargetMode="External"/><Relationship Id="rId19" Type="http://schemas.openxmlformats.org/officeDocument/2006/relationships/hyperlink" Target="http://5.sw/ME/RF/ANT/Component/MFG/Vendor" TargetMode="External"/><Relationship Id="rId18" Type="http://schemas.openxmlformats.org/officeDocument/2006/relationships/hyperlink" Target="http://5.sw/ME/RF/ANT/Component/MFG/Vendor" TargetMode="External"/></Relationships>
</file>

<file path=xl/worksheets/_rels/sheet28.xml.rels><?xml version="1.0" encoding="UTF-8" standalone="yes"?><Relationships xmlns="http://schemas.openxmlformats.org/package/2006/relationships"><Relationship Id="rId1" Type="http://schemas.openxmlformats.org/officeDocument/2006/relationships/comments" Target="../comments28.xml"/><Relationship Id="rId2" Type="http://schemas.microsoft.com/office/2017/10/relationships/threadedComment" Target="../threadedComments/threadedComment24.xml"/><Relationship Id="rId3" Type="http://schemas.microsoft.com/office/2019/04/relationships/documenttask" Target="../documenttasks/documenttask24.xml"/><Relationship Id="rId4" Type="http://schemas.openxmlformats.org/officeDocument/2006/relationships/drawing" Target="../drawings/drawing28.xml"/><Relationship Id="rId5" Type="http://schemas.openxmlformats.org/officeDocument/2006/relationships/vmlDrawing" Target="../drawings/vmlDrawing28.vml"/></Relationships>
</file>

<file path=xl/worksheets/_rels/sheet29.xml.rels><?xml version="1.0" encoding="UTF-8" standalone="yes"?><Relationships xmlns="http://schemas.openxmlformats.org/package/2006/relationships"><Relationship Id="rId1" Type="http://schemas.openxmlformats.org/officeDocument/2006/relationships/comments" Target="../comments29.xml"/><Relationship Id="rId2" Type="http://schemas.microsoft.com/office/2017/10/relationships/threadedComment" Target="../threadedComments/threadedComment25.xml"/><Relationship Id="rId3" Type="http://schemas.microsoft.com/office/2019/04/relationships/documenttask" Target="../documenttasks/documenttask25.xml"/><Relationship Id="rId4" Type="http://schemas.openxmlformats.org/officeDocument/2006/relationships/drawing" Target="../drawings/drawing29.xml"/><Relationship Id="rId5" Type="http://schemas.openxmlformats.org/officeDocument/2006/relationships/vmlDrawing" Target="../drawings/vmlDrawing29.vml"/></Relationships>
</file>

<file path=xl/worksheets/_rels/sheet30.xml.rels><?xml version="1.0" encoding="UTF-8" standalone="yes"?><Relationships xmlns="http://schemas.openxmlformats.org/package/2006/relationships"><Relationship Id="rId1" Type="http://schemas.openxmlformats.org/officeDocument/2006/relationships/hyperlink" Target="http://4.me" TargetMode="External"/><Relationship Id="rId2" Type="http://schemas.openxmlformats.org/officeDocument/2006/relationships/hyperlink" Target="http://4.net" TargetMode="External"/><Relationship Id="rId3" Type="http://schemas.openxmlformats.org/officeDocument/2006/relationships/hyperlink" Target="http://20.nf/" TargetMode="External"/><Relationship Id="rId4"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hyperlink" Target="https://idart.mot.com/browse/IKSWU-126081" TargetMode="External"/><Relationship Id="rId2" Type="http://schemas.openxmlformats.org/officeDocument/2006/relationships/hyperlink" Target="https://idart.mot.com/browse/IKSWT-116698" TargetMode="External"/><Relationship Id="rId3" Type="http://schemas.openxmlformats.org/officeDocument/2006/relationships/hyperlink" Target="https://idart.mot.com/browse/IKSWT-82029" TargetMode="External"/><Relationship Id="rId4" Type="http://schemas.openxmlformats.org/officeDocument/2006/relationships/hyperlink" Target="https://idart.mot.com/browse/IKSWR-101718" TargetMode="External"/><Relationship Id="rId5" Type="http://schemas.openxmlformats.org/officeDocument/2006/relationships/hyperlink" Target="https://idart.mot.com/browse/IKSWQ-90483" TargetMode="External"/><Relationship Id="rId6"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comments" Target="../comments30.xml"/><Relationship Id="rId2" Type="http://schemas.microsoft.com/office/2017/10/relationships/threadedComment" Target="../threadedComments/threadedComment26.xml"/><Relationship Id="rId3" Type="http://schemas.microsoft.com/office/2019/04/relationships/documenttask" Target="../documenttasks/documenttask26.xml"/><Relationship Id="rId4" Type="http://schemas.openxmlformats.org/officeDocument/2006/relationships/pivotTable" Target="../pivotTables/pivotTable2.xml"/><Relationship Id="rId9" Type="http://schemas.openxmlformats.org/officeDocument/2006/relationships/hyperlink" Target="https://drive.google.com/drive/folders/1nj67Il3j3WM8CyyYWm89-oG6T9_fM7HO" TargetMode="External"/><Relationship Id="rId5" Type="http://schemas.openxmlformats.org/officeDocument/2006/relationships/hyperlink" Target="https://docs.google.com/presentation/d/17r2AsKsFrhbEr0fiycG5_bVk01rH3kVWY9oZaHnhx9g/edit" TargetMode="External"/><Relationship Id="rId6" Type="http://schemas.openxmlformats.org/officeDocument/2006/relationships/hyperlink" Target="https://docs.google.com/presentation/d/1V7YIbfApUHcgprLGSICCS4udTGbBRR2vax22YUnYXeQ/edit" TargetMode="External"/><Relationship Id="rId7" Type="http://schemas.openxmlformats.org/officeDocument/2006/relationships/hyperlink" Target="https://docs.google.com/presentation/d/1feEjJKDIf0r9fg_eUByi0fHfbF-P1wqMyQLnGsu6sQM/edit" TargetMode="External"/><Relationship Id="rId8" Type="http://schemas.openxmlformats.org/officeDocument/2006/relationships/hyperlink" Target="https://idart.mot.com/browse/IKSWS-156047" TargetMode="External"/><Relationship Id="rId11" Type="http://schemas.openxmlformats.org/officeDocument/2006/relationships/hyperlink" Target="https://drive.google.com/drive/folders/1jqxTTVsHZNj6V-XauZUcSknEzIRfBZwI" TargetMode="External"/><Relationship Id="rId10" Type="http://schemas.openxmlformats.org/officeDocument/2006/relationships/hyperlink" Target="https://docs.google.com/presentation/d/1AJ5LtvluDCqmexDZfIS0AW9BJLJ2TE4zn7zWKjqpEDA/edit" TargetMode="External"/><Relationship Id="rId13" Type="http://schemas.openxmlformats.org/officeDocument/2006/relationships/hyperlink" Target="https://docs.google.com/presentation/d/1RotSSIjgrjOQ-H1usm2qiih8BiWqGXT5wVfY9LGT2wE/edit" TargetMode="External"/><Relationship Id="rId12" Type="http://schemas.openxmlformats.org/officeDocument/2006/relationships/hyperlink" Target="https://docs.google.com/presentation/d/1tP8fa6sLMy9Pqbk89MZ0of9hJpDb17c_hidJTvlXExQ/edit" TargetMode="External"/><Relationship Id="rId15" Type="http://schemas.openxmlformats.org/officeDocument/2006/relationships/drawing" Target="../drawings/drawing34.xml"/><Relationship Id="rId14" Type="http://schemas.openxmlformats.org/officeDocument/2006/relationships/hyperlink" Target="https://docs.google.com/presentation/d/1c2l6hEfJ2nv8vK6XeSFfOTAnIqfJ38AIQ3jiigDMrn0/edit" TargetMode="External"/><Relationship Id="rId16" Type="http://schemas.openxmlformats.org/officeDocument/2006/relationships/vmlDrawing" Target="../drawings/vmlDrawing30.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5.13" defaultRowHeight="15.0"/>
  <cols>
    <col customWidth="1" min="1" max="1" width="13.5"/>
    <col customWidth="1" min="2" max="2" width="9.38"/>
    <col customWidth="1" min="3" max="3" width="13.63"/>
    <col customWidth="1" min="4" max="4" width="14.5"/>
    <col customWidth="1" min="5" max="5" width="11.5"/>
    <col customWidth="1" min="6" max="6" width="10.13"/>
    <col customWidth="1" min="7" max="7" width="80.0"/>
    <col customWidth="1" min="8" max="8" width="18.0"/>
    <col customWidth="1" min="9" max="9" width="23.25"/>
    <col customWidth="1" min="10" max="14" width="7.63"/>
    <col customWidth="1" min="15" max="15" width="10.88"/>
    <col customWidth="1" min="16" max="27" width="7.63"/>
  </cols>
  <sheetData>
    <row r="1" ht="24.0" customHeight="1">
      <c r="A1" s="1" t="s">
        <v>0</v>
      </c>
      <c r="B1" s="1" t="s">
        <v>1</v>
      </c>
      <c r="C1" s="1" t="s">
        <v>2</v>
      </c>
      <c r="D1" s="1" t="s">
        <v>3</v>
      </c>
      <c r="E1" s="1" t="s">
        <v>4</v>
      </c>
      <c r="F1" s="1" t="s">
        <v>5</v>
      </c>
      <c r="G1" s="1" t="s">
        <v>6</v>
      </c>
      <c r="H1" s="1" t="s">
        <v>7</v>
      </c>
      <c r="I1" s="2" t="s">
        <v>8</v>
      </c>
      <c r="J1" s="3" t="s">
        <v>9</v>
      </c>
      <c r="K1" s="4" t="s">
        <v>10</v>
      </c>
      <c r="L1" s="4" t="s">
        <v>11</v>
      </c>
      <c r="M1" s="5"/>
      <c r="N1" s="5"/>
      <c r="O1" s="5"/>
      <c r="P1" s="5"/>
      <c r="Q1" s="5"/>
      <c r="R1" s="5"/>
      <c r="S1" s="5"/>
      <c r="T1" s="5"/>
      <c r="U1" s="5"/>
      <c r="V1" s="5"/>
      <c r="W1" s="5"/>
      <c r="X1" s="5"/>
      <c r="Y1" s="5"/>
      <c r="Z1" s="5"/>
      <c r="AA1" s="5"/>
    </row>
    <row r="2" ht="27.75" customHeight="1">
      <c r="A2" s="6">
        <v>2.0170401E7</v>
      </c>
      <c r="B2" s="7" t="s">
        <v>12</v>
      </c>
      <c r="C2" s="8" t="s">
        <v>13</v>
      </c>
      <c r="D2" s="9" t="s">
        <v>14</v>
      </c>
      <c r="E2" s="9" t="s">
        <v>15</v>
      </c>
      <c r="F2" s="7" t="s">
        <v>16</v>
      </c>
      <c r="G2" s="7" t="s">
        <v>17</v>
      </c>
      <c r="H2" s="10" t="str">
        <f>HYPERLINK("https://docs.google.com/presentation/d/1s_pYl7Ji_TLEj7nC19I2iTDJBvV1SmlYPZ765okrcJA/edit#slide=id.g1c00082b4c_0_0","link")</f>
        <v>link</v>
      </c>
      <c r="I2" s="7" t="s">
        <v>18</v>
      </c>
      <c r="J2" s="11"/>
      <c r="K2" s="11"/>
      <c r="L2" s="11"/>
      <c r="M2" s="12"/>
      <c r="N2" s="12"/>
      <c r="O2" s="12"/>
      <c r="P2" s="12"/>
      <c r="Q2" s="12"/>
      <c r="R2" s="12"/>
      <c r="S2" s="12"/>
      <c r="T2" s="12"/>
      <c r="U2" s="12"/>
      <c r="V2" s="12"/>
      <c r="W2" s="12"/>
      <c r="X2" s="12"/>
      <c r="Y2" s="12"/>
      <c r="Z2" s="12"/>
      <c r="AA2" s="12"/>
    </row>
    <row r="3" ht="27.75" customHeight="1">
      <c r="A3" s="6">
        <v>2.0161118E7</v>
      </c>
      <c r="B3" s="7" t="s">
        <v>19</v>
      </c>
      <c r="C3" s="8" t="s">
        <v>20</v>
      </c>
      <c r="D3" s="9" t="s">
        <v>21</v>
      </c>
      <c r="E3" s="9" t="s">
        <v>22</v>
      </c>
      <c r="F3" s="7" t="s">
        <v>16</v>
      </c>
      <c r="G3" s="7" t="s">
        <v>23</v>
      </c>
      <c r="H3" s="10" t="str">
        <f>HYPERLINK("https://docs.google.com/presentation/d/1FiyUPEb9w2onSjTLY3xuM-VoaQN4dftGM1IM7iQZ5iM/edit#slide=id.g1c00082b4c_0_0","link")</f>
        <v>link</v>
      </c>
      <c r="I3" s="7" t="s">
        <v>24</v>
      </c>
      <c r="J3" s="11"/>
      <c r="K3" s="11"/>
      <c r="L3" s="11"/>
      <c r="M3" s="12"/>
      <c r="N3" s="12"/>
      <c r="O3" s="12"/>
      <c r="P3" s="12"/>
      <c r="Q3" s="12"/>
      <c r="R3" s="12"/>
      <c r="S3" s="12"/>
      <c r="T3" s="12"/>
      <c r="U3" s="12"/>
      <c r="V3" s="12"/>
      <c r="W3" s="12"/>
      <c r="X3" s="12"/>
      <c r="Y3" s="12"/>
      <c r="Z3" s="12"/>
      <c r="AA3" s="12"/>
    </row>
    <row r="4" ht="27.75" customHeight="1">
      <c r="A4" s="6">
        <v>2.0170113E7</v>
      </c>
      <c r="B4" s="7" t="s">
        <v>25</v>
      </c>
      <c r="C4" s="8" t="s">
        <v>26</v>
      </c>
      <c r="D4" s="9" t="s">
        <v>27</v>
      </c>
      <c r="E4" s="9" t="s">
        <v>15</v>
      </c>
      <c r="F4" s="7" t="s">
        <v>16</v>
      </c>
      <c r="G4" s="7" t="s">
        <v>28</v>
      </c>
      <c r="H4" s="10" t="str">
        <f>HYPERLINK("https://docs.google.com/presentation/d/11IMshmFotlW-Eqn6Oz5L5aOk-aNlfvMCOpcEuDQAOig/edit#slide=id.g1c83220c6d_0_0","link")</f>
        <v>link</v>
      </c>
      <c r="I4" s="7" t="s">
        <v>29</v>
      </c>
      <c r="J4" s="11"/>
      <c r="K4" s="11"/>
      <c r="L4" s="11"/>
      <c r="M4" s="12"/>
      <c r="N4" s="12"/>
      <c r="O4" s="12"/>
      <c r="P4" s="12"/>
      <c r="Q4" s="12"/>
      <c r="R4" s="12"/>
      <c r="S4" s="12"/>
      <c r="T4" s="12"/>
      <c r="U4" s="12"/>
      <c r="V4" s="12"/>
      <c r="W4" s="12"/>
      <c r="X4" s="12"/>
      <c r="Y4" s="12"/>
      <c r="Z4" s="12"/>
      <c r="AA4" s="12"/>
    </row>
    <row r="5" ht="27.75" customHeight="1">
      <c r="A5" s="6">
        <v>2.0161101E7</v>
      </c>
      <c r="B5" s="7" t="s">
        <v>19</v>
      </c>
      <c r="C5" s="8" t="s">
        <v>30</v>
      </c>
      <c r="D5" s="9" t="s">
        <v>27</v>
      </c>
      <c r="E5" s="9" t="s">
        <v>15</v>
      </c>
      <c r="F5" s="7" t="s">
        <v>16</v>
      </c>
      <c r="G5" s="7" t="s">
        <v>31</v>
      </c>
      <c r="H5" s="10" t="str">
        <f>HYPERLINK("https://docs.google.com/spreadsheets/d/1bIH6x14tTyzv3ybVrBoZbGhjeHYkvltBl7qocujdcDs/edit#gid=0","link")</f>
        <v>link</v>
      </c>
      <c r="I5" s="7" t="s">
        <v>32</v>
      </c>
      <c r="J5" s="11"/>
      <c r="K5" s="11"/>
      <c r="L5" s="11"/>
      <c r="M5" s="12"/>
      <c r="N5" s="12"/>
      <c r="O5" s="12"/>
      <c r="P5" s="12"/>
      <c r="Q5" s="12"/>
      <c r="R5" s="12"/>
      <c r="S5" s="12"/>
      <c r="T5" s="12"/>
      <c r="U5" s="12"/>
      <c r="V5" s="12"/>
      <c r="W5" s="12"/>
      <c r="X5" s="12"/>
      <c r="Y5" s="12"/>
      <c r="Z5" s="12"/>
      <c r="AA5" s="12"/>
    </row>
    <row r="6" ht="105.0" customHeight="1">
      <c r="A6" s="6">
        <v>2.0161118E7</v>
      </c>
      <c r="B6" s="7" t="s">
        <v>19</v>
      </c>
      <c r="C6" s="8" t="s">
        <v>33</v>
      </c>
      <c r="D6" s="9" t="s">
        <v>21</v>
      </c>
      <c r="E6" s="9" t="s">
        <v>22</v>
      </c>
      <c r="F6" s="7" t="s">
        <v>16</v>
      </c>
      <c r="G6" s="7" t="s">
        <v>34</v>
      </c>
      <c r="H6" s="10" t="str">
        <f>HYPERLINK("https://docs.google.com/spreadsheets/d/17ASrhJ87OF348xZ-cfAxordncZdh3WGzI17UPASW4gw/edit#gid=1144403263","link")</f>
        <v>link</v>
      </c>
      <c r="I6" s="7" t="s">
        <v>35</v>
      </c>
      <c r="J6" s="11"/>
      <c r="K6" s="11"/>
      <c r="L6" s="11"/>
      <c r="M6" s="12"/>
      <c r="N6" s="12"/>
      <c r="O6" s="12"/>
      <c r="P6" s="12"/>
      <c r="Q6" s="12"/>
      <c r="R6" s="12"/>
      <c r="S6" s="12"/>
      <c r="T6" s="12"/>
      <c r="U6" s="12"/>
      <c r="V6" s="12"/>
      <c r="W6" s="12"/>
      <c r="X6" s="12"/>
      <c r="Y6" s="12"/>
      <c r="Z6" s="12"/>
      <c r="AA6" s="12"/>
    </row>
    <row r="7" ht="27.75" customHeight="1">
      <c r="A7" s="6">
        <v>2.0161118E7</v>
      </c>
      <c r="B7" s="7" t="s">
        <v>19</v>
      </c>
      <c r="C7" s="8" t="s">
        <v>36</v>
      </c>
      <c r="D7" s="9" t="s">
        <v>21</v>
      </c>
      <c r="E7" s="9" t="s">
        <v>22</v>
      </c>
      <c r="F7" s="7" t="s">
        <v>16</v>
      </c>
      <c r="G7" s="7" t="s">
        <v>37</v>
      </c>
      <c r="H7" s="10" t="str">
        <f>HYPERLINK("https://docs.google.com/presentation/d/1GFHXT5-xbFCg-Bc1NAQ7lkAiklrfHF3t9dtMBVpU7s8/edit#slide=id.p4","link")</f>
        <v>link</v>
      </c>
      <c r="I7" s="7" t="s">
        <v>38</v>
      </c>
      <c r="J7" s="11"/>
      <c r="K7" s="11"/>
      <c r="L7" s="11"/>
      <c r="M7" s="12"/>
      <c r="N7" s="12"/>
      <c r="O7" s="12"/>
      <c r="P7" s="12"/>
      <c r="Q7" s="12"/>
      <c r="R7" s="12"/>
      <c r="S7" s="12"/>
      <c r="T7" s="12"/>
      <c r="U7" s="12"/>
      <c r="V7" s="12"/>
      <c r="W7" s="12"/>
      <c r="X7" s="12"/>
      <c r="Y7" s="12"/>
      <c r="Z7" s="12"/>
      <c r="AA7" s="12"/>
    </row>
    <row r="8" ht="27.75" customHeight="1">
      <c r="A8" s="6">
        <v>2.0161208E7</v>
      </c>
      <c r="B8" s="7" t="s">
        <v>19</v>
      </c>
      <c r="C8" s="8" t="s">
        <v>36</v>
      </c>
      <c r="D8" s="9" t="s">
        <v>14</v>
      </c>
      <c r="E8" s="9" t="s">
        <v>15</v>
      </c>
      <c r="F8" s="7" t="s">
        <v>16</v>
      </c>
      <c r="G8" s="7" t="s">
        <v>39</v>
      </c>
      <c r="H8" s="10" t="str">
        <f>HYPERLINK("https://docs.google.com/presentation/d/1WzH6nggK3VDUN70NnEvGNbDCf4ep6jqltIxCvkWPKPo/edit#slide=id.p4","link")</f>
        <v>link</v>
      </c>
      <c r="I8" s="7" t="s">
        <v>40</v>
      </c>
      <c r="J8" s="11"/>
      <c r="K8" s="11"/>
      <c r="L8" s="11"/>
      <c r="M8" s="12"/>
      <c r="N8" s="12"/>
      <c r="O8" s="12"/>
      <c r="P8" s="12"/>
      <c r="Q8" s="12"/>
      <c r="R8" s="12"/>
      <c r="S8" s="12"/>
      <c r="T8" s="12"/>
      <c r="U8" s="12"/>
      <c r="V8" s="12"/>
      <c r="W8" s="12"/>
      <c r="X8" s="12"/>
      <c r="Y8" s="12"/>
      <c r="Z8" s="12"/>
      <c r="AA8" s="12"/>
    </row>
    <row r="9" ht="27.75" customHeight="1">
      <c r="A9" s="6">
        <v>2.0161118E7</v>
      </c>
      <c r="B9" s="7" t="s">
        <v>19</v>
      </c>
      <c r="C9" s="8" t="s">
        <v>20</v>
      </c>
      <c r="D9" s="9" t="s">
        <v>21</v>
      </c>
      <c r="E9" s="9" t="s">
        <v>15</v>
      </c>
      <c r="F9" s="7" t="s">
        <v>16</v>
      </c>
      <c r="G9" s="7" t="s">
        <v>41</v>
      </c>
      <c r="H9" s="13"/>
      <c r="I9" s="7" t="s">
        <v>42</v>
      </c>
      <c r="J9" s="11"/>
      <c r="K9" s="11"/>
      <c r="L9" s="11"/>
      <c r="M9" s="14"/>
      <c r="N9" s="14"/>
      <c r="O9" s="12"/>
      <c r="P9" s="12"/>
      <c r="Q9" s="12"/>
      <c r="R9" s="12"/>
      <c r="S9" s="12"/>
      <c r="T9" s="12"/>
      <c r="U9" s="12"/>
      <c r="V9" s="12"/>
      <c r="W9" s="12"/>
      <c r="X9" s="12"/>
      <c r="Y9" s="12"/>
      <c r="Z9" s="12"/>
      <c r="AA9" s="12"/>
    </row>
    <row r="10" ht="27.75" customHeight="1">
      <c r="A10" s="6">
        <v>2.0160901E7</v>
      </c>
      <c r="B10" s="7" t="s">
        <v>43</v>
      </c>
      <c r="C10" s="8" t="s">
        <v>36</v>
      </c>
      <c r="D10" s="9" t="s">
        <v>44</v>
      </c>
      <c r="E10" s="9" t="s">
        <v>15</v>
      </c>
      <c r="F10" s="7" t="s">
        <v>16</v>
      </c>
      <c r="G10" s="7" t="s">
        <v>45</v>
      </c>
      <c r="H10" s="10" t="str">
        <f>HYPERLINK("https://docs.google.com/presentation/d/12WaYupGv5ILl7-fCZQyidf-hXXvc3P_KiT0TUHmCHRw/edit#slide=id.p4","Link")</f>
        <v>Link</v>
      </c>
      <c r="I10" s="7" t="s">
        <v>42</v>
      </c>
      <c r="J10" s="11"/>
      <c r="K10" s="11"/>
      <c r="L10" s="11"/>
      <c r="M10" s="12"/>
      <c r="N10" s="14"/>
      <c r="O10" s="14"/>
      <c r="P10" s="12"/>
      <c r="Q10" s="12"/>
      <c r="R10" s="12"/>
      <c r="S10" s="12"/>
      <c r="T10" s="12"/>
      <c r="U10" s="12"/>
      <c r="V10" s="12"/>
      <c r="W10" s="12"/>
      <c r="X10" s="12"/>
      <c r="Y10" s="12"/>
      <c r="Z10" s="12"/>
      <c r="AA10" s="12"/>
    </row>
    <row r="11" ht="27.75" customHeight="1">
      <c r="A11" s="6">
        <v>2.0161101E7</v>
      </c>
      <c r="B11" s="7" t="s">
        <v>19</v>
      </c>
      <c r="C11" s="8" t="s">
        <v>26</v>
      </c>
      <c r="D11" s="9" t="s">
        <v>21</v>
      </c>
      <c r="E11" s="9" t="s">
        <v>46</v>
      </c>
      <c r="F11" s="7" t="s">
        <v>16</v>
      </c>
      <c r="G11" s="7" t="s">
        <v>47</v>
      </c>
      <c r="H11" s="10" t="str">
        <f>HYPERLINK("https://docs.google.com/presentation/d/1aqzVQLlhvJM3uxA-PLWe7BF2RALtN9aEYkOrPqN3xjg/edit","link")</f>
        <v>link</v>
      </c>
      <c r="I11" s="7" t="s">
        <v>48</v>
      </c>
      <c r="J11" s="11"/>
      <c r="K11" s="11"/>
      <c r="L11" s="11"/>
      <c r="M11" s="12"/>
      <c r="N11" s="14"/>
      <c r="O11" s="14"/>
      <c r="P11" s="12"/>
      <c r="Q11" s="12"/>
      <c r="R11" s="12"/>
      <c r="S11" s="12"/>
      <c r="T11" s="12"/>
      <c r="U11" s="12"/>
      <c r="V11" s="12"/>
      <c r="W11" s="12"/>
      <c r="X11" s="12"/>
      <c r="Y11" s="12"/>
      <c r="Z11" s="12"/>
      <c r="AA11" s="12"/>
    </row>
    <row r="12" ht="27.75" customHeight="1">
      <c r="A12" s="6">
        <v>2.0161208E7</v>
      </c>
      <c r="B12" s="7" t="s">
        <v>25</v>
      </c>
      <c r="C12" s="8" t="s">
        <v>49</v>
      </c>
      <c r="D12" s="9" t="s">
        <v>27</v>
      </c>
      <c r="E12" s="9" t="s">
        <v>15</v>
      </c>
      <c r="F12" s="7" t="s">
        <v>16</v>
      </c>
      <c r="G12" s="7" t="s">
        <v>50</v>
      </c>
      <c r="H12" s="10" t="str">
        <f>HYPERLINK("https://drive.google.com/drive/folders/0BzIXTy5t3oZ7azlpZ2oxVkRXRVk","link")</f>
        <v>link</v>
      </c>
      <c r="I12" s="7" t="s">
        <v>51</v>
      </c>
      <c r="J12" s="11"/>
      <c r="K12" s="11"/>
      <c r="L12" s="11"/>
      <c r="M12" s="12"/>
      <c r="N12" s="12"/>
      <c r="O12" s="12"/>
      <c r="P12" s="12"/>
      <c r="Q12" s="12"/>
      <c r="R12" s="12"/>
      <c r="S12" s="12"/>
      <c r="T12" s="12"/>
      <c r="U12" s="12"/>
      <c r="V12" s="12"/>
      <c r="W12" s="12"/>
      <c r="X12" s="12"/>
      <c r="Y12" s="12"/>
      <c r="Z12" s="12"/>
      <c r="AA12" s="12"/>
    </row>
    <row r="13" ht="27.75" customHeight="1">
      <c r="A13" s="15"/>
      <c r="B13" s="7"/>
      <c r="C13" s="7"/>
      <c r="D13" s="9"/>
      <c r="E13" s="9"/>
      <c r="F13" s="7"/>
      <c r="G13" s="7"/>
      <c r="H13" s="13"/>
      <c r="I13" s="7"/>
      <c r="J13" s="11"/>
      <c r="K13" s="11"/>
      <c r="L13" s="11"/>
      <c r="M13" s="12"/>
      <c r="N13" s="12"/>
      <c r="O13" s="12"/>
      <c r="P13" s="12"/>
      <c r="Q13" s="12"/>
      <c r="R13" s="12"/>
      <c r="S13" s="12"/>
      <c r="T13" s="12"/>
      <c r="U13" s="12"/>
      <c r="V13" s="12"/>
      <c r="W13" s="12"/>
      <c r="X13" s="12"/>
      <c r="Y13" s="12"/>
      <c r="Z13" s="12"/>
      <c r="AA13" s="12"/>
    </row>
    <row r="14" ht="27.75" customHeight="1">
      <c r="A14" s="15"/>
      <c r="B14" s="7"/>
      <c r="C14" s="7"/>
      <c r="D14" s="9"/>
      <c r="E14" s="9"/>
      <c r="F14" s="7"/>
      <c r="G14" s="7"/>
      <c r="H14" s="13"/>
      <c r="I14" s="7"/>
      <c r="J14" s="11"/>
      <c r="K14" s="11"/>
      <c r="L14" s="11"/>
      <c r="M14" s="12"/>
      <c r="N14" s="12"/>
      <c r="O14" s="12"/>
      <c r="P14" s="12"/>
      <c r="Q14" s="12"/>
      <c r="R14" s="12"/>
      <c r="S14" s="12"/>
      <c r="T14" s="12"/>
      <c r="U14" s="12"/>
      <c r="V14" s="12"/>
      <c r="W14" s="12"/>
      <c r="X14" s="12"/>
      <c r="Y14" s="12"/>
      <c r="Z14" s="12"/>
      <c r="AA14" s="12"/>
    </row>
    <row r="15" ht="27.75" customHeight="1">
      <c r="A15" s="15"/>
      <c r="B15" s="7"/>
      <c r="C15" s="7"/>
      <c r="D15" s="9"/>
      <c r="E15" s="9"/>
      <c r="F15" s="7"/>
      <c r="G15" s="7"/>
      <c r="H15" s="13"/>
      <c r="I15" s="7"/>
      <c r="J15" s="11"/>
      <c r="K15" s="11"/>
      <c r="L15" s="11"/>
      <c r="M15" s="12"/>
      <c r="N15" s="12"/>
      <c r="O15" s="12"/>
      <c r="P15" s="12"/>
      <c r="Q15" s="12"/>
      <c r="R15" s="12"/>
      <c r="S15" s="12"/>
      <c r="T15" s="12"/>
      <c r="U15" s="12"/>
      <c r="V15" s="12"/>
      <c r="W15" s="12"/>
      <c r="X15" s="12"/>
      <c r="Y15" s="12"/>
      <c r="Z15" s="12"/>
      <c r="AA15" s="12"/>
    </row>
    <row r="16" ht="27.75" customHeight="1">
      <c r="A16" s="15"/>
      <c r="B16" s="7"/>
      <c r="C16" s="7"/>
      <c r="D16" s="9"/>
      <c r="E16" s="9"/>
      <c r="F16" s="7"/>
      <c r="G16" s="7"/>
      <c r="H16" s="13"/>
      <c r="I16" s="7"/>
      <c r="J16" s="11"/>
      <c r="K16" s="11"/>
      <c r="L16" s="11"/>
      <c r="M16" s="12"/>
      <c r="N16" s="12"/>
      <c r="O16" s="12"/>
      <c r="P16" s="12"/>
      <c r="Q16" s="12"/>
      <c r="R16" s="12"/>
      <c r="S16" s="12"/>
      <c r="T16" s="12"/>
      <c r="U16" s="12"/>
      <c r="V16" s="12"/>
      <c r="W16" s="12"/>
      <c r="X16" s="12"/>
      <c r="Y16" s="12"/>
      <c r="Z16" s="12"/>
      <c r="AA16" s="12"/>
    </row>
    <row r="17" ht="27.75" customHeight="1">
      <c r="A17" s="15"/>
      <c r="B17" s="7"/>
      <c r="C17" s="7"/>
      <c r="D17" s="9"/>
      <c r="E17" s="9"/>
      <c r="F17" s="7"/>
      <c r="G17" s="7"/>
      <c r="H17" s="13"/>
      <c r="I17" s="7"/>
      <c r="J17" s="11"/>
      <c r="K17" s="11"/>
      <c r="L17" s="11"/>
      <c r="M17" s="12"/>
      <c r="N17" s="12"/>
      <c r="O17" s="12"/>
      <c r="P17" s="12"/>
      <c r="Q17" s="12"/>
      <c r="R17" s="12"/>
      <c r="S17" s="12"/>
      <c r="T17" s="12"/>
      <c r="U17" s="12"/>
      <c r="V17" s="12"/>
      <c r="W17" s="12"/>
      <c r="X17" s="12"/>
      <c r="Y17" s="12"/>
      <c r="Z17" s="12"/>
      <c r="AA17" s="12"/>
    </row>
    <row r="18" ht="27.75" customHeight="1">
      <c r="A18" s="15"/>
      <c r="B18" s="7"/>
      <c r="C18" s="7"/>
      <c r="D18" s="9"/>
      <c r="E18" s="9"/>
      <c r="F18" s="7"/>
      <c r="G18" s="7"/>
      <c r="H18" s="13"/>
      <c r="I18" s="7"/>
      <c r="J18" s="11"/>
      <c r="K18" s="11"/>
      <c r="L18" s="11"/>
      <c r="M18" s="12"/>
      <c r="N18" s="12"/>
      <c r="O18" s="12"/>
      <c r="P18" s="12"/>
      <c r="Q18" s="12"/>
      <c r="R18" s="12"/>
      <c r="S18" s="12"/>
      <c r="T18" s="12"/>
      <c r="U18" s="12"/>
      <c r="V18" s="12"/>
      <c r="W18" s="12"/>
      <c r="X18" s="12"/>
      <c r="Y18" s="12"/>
      <c r="Z18" s="12"/>
      <c r="AA18" s="12"/>
    </row>
    <row r="19" ht="27.75" customHeight="1">
      <c r="A19" s="15"/>
      <c r="B19" s="7"/>
      <c r="C19" s="7"/>
      <c r="D19" s="9"/>
      <c r="E19" s="9"/>
      <c r="F19" s="7"/>
      <c r="G19" s="7"/>
      <c r="H19" s="13"/>
      <c r="I19" s="7"/>
      <c r="J19" s="11"/>
      <c r="K19" s="11"/>
      <c r="L19" s="11"/>
      <c r="M19" s="12"/>
      <c r="N19" s="12"/>
      <c r="O19" s="12"/>
      <c r="P19" s="12"/>
      <c r="Q19" s="12"/>
      <c r="R19" s="12"/>
      <c r="S19" s="12"/>
      <c r="T19" s="12"/>
      <c r="U19" s="12"/>
      <c r="V19" s="12"/>
      <c r="W19" s="12"/>
      <c r="X19" s="12"/>
      <c r="Y19" s="12"/>
      <c r="Z19" s="12"/>
      <c r="AA19" s="12"/>
    </row>
    <row r="20" ht="27.75" customHeight="1">
      <c r="A20" s="15"/>
      <c r="B20" s="7"/>
      <c r="C20" s="7"/>
      <c r="D20" s="9"/>
      <c r="E20" s="9"/>
      <c r="F20" s="7"/>
      <c r="G20" s="7"/>
      <c r="H20" s="13"/>
      <c r="I20" s="7"/>
      <c r="J20" s="11"/>
      <c r="K20" s="11"/>
      <c r="L20" s="11"/>
      <c r="M20" s="12"/>
      <c r="N20" s="12"/>
      <c r="O20" s="12"/>
      <c r="P20" s="12"/>
      <c r="Q20" s="12"/>
      <c r="R20" s="12"/>
      <c r="S20" s="12"/>
      <c r="T20" s="12"/>
      <c r="U20" s="12"/>
      <c r="V20" s="12"/>
      <c r="W20" s="12"/>
      <c r="X20" s="12"/>
      <c r="Y20" s="12"/>
      <c r="Z20" s="12"/>
      <c r="AA20" s="12"/>
    </row>
    <row r="21" ht="27.75" customHeight="1">
      <c r="A21" s="15"/>
      <c r="B21" s="7"/>
      <c r="C21" s="7"/>
      <c r="D21" s="9"/>
      <c r="E21" s="9"/>
      <c r="F21" s="7"/>
      <c r="G21" s="7"/>
      <c r="H21" s="13"/>
      <c r="I21" s="7"/>
      <c r="J21" s="11"/>
      <c r="K21" s="11"/>
      <c r="L21" s="11"/>
      <c r="M21" s="12"/>
      <c r="N21" s="12"/>
      <c r="O21" s="12"/>
      <c r="P21" s="12"/>
      <c r="Q21" s="12"/>
      <c r="R21" s="12"/>
      <c r="S21" s="12"/>
      <c r="T21" s="12"/>
      <c r="U21" s="12"/>
      <c r="V21" s="12"/>
      <c r="W21" s="12"/>
      <c r="X21" s="12"/>
      <c r="Y21" s="12"/>
      <c r="Z21" s="12"/>
      <c r="AA21" s="12"/>
    </row>
    <row r="22" ht="27.75" customHeight="1">
      <c r="A22" s="15"/>
      <c r="B22" s="7"/>
      <c r="C22" s="7"/>
      <c r="D22" s="9"/>
      <c r="E22" s="9"/>
      <c r="F22" s="7"/>
      <c r="G22" s="7"/>
      <c r="H22" s="13"/>
      <c r="I22" s="7"/>
      <c r="J22" s="11"/>
      <c r="K22" s="11"/>
      <c r="L22" s="11"/>
      <c r="M22" s="12"/>
      <c r="N22" s="12"/>
      <c r="O22" s="12"/>
      <c r="P22" s="12"/>
      <c r="Q22" s="12"/>
      <c r="R22" s="12"/>
      <c r="S22" s="12"/>
      <c r="T22" s="12"/>
      <c r="U22" s="12"/>
      <c r="V22" s="12"/>
      <c r="W22" s="12"/>
      <c r="X22" s="12"/>
      <c r="Y22" s="12"/>
      <c r="Z22" s="12"/>
      <c r="AA22" s="12"/>
    </row>
    <row r="23" ht="27.75" customHeight="1">
      <c r="A23" s="15"/>
      <c r="B23" s="7"/>
      <c r="C23" s="7"/>
      <c r="D23" s="9"/>
      <c r="E23" s="9"/>
      <c r="F23" s="7"/>
      <c r="G23" s="7"/>
      <c r="H23" s="13"/>
      <c r="I23" s="7"/>
      <c r="J23" s="11"/>
      <c r="K23" s="11"/>
      <c r="L23" s="11"/>
      <c r="M23" s="12"/>
      <c r="N23" s="12"/>
      <c r="O23" s="12"/>
      <c r="P23" s="12"/>
      <c r="Q23" s="12"/>
      <c r="R23" s="12"/>
      <c r="S23" s="12"/>
      <c r="T23" s="12"/>
      <c r="U23" s="12"/>
      <c r="V23" s="12"/>
      <c r="W23" s="12"/>
      <c r="X23" s="12"/>
      <c r="Y23" s="12"/>
      <c r="Z23" s="12"/>
      <c r="AA23" s="12"/>
    </row>
    <row r="24" ht="27.75" customHeight="1">
      <c r="A24" s="15"/>
      <c r="B24" s="7"/>
      <c r="C24" s="7"/>
      <c r="D24" s="9"/>
      <c r="E24" s="9"/>
      <c r="F24" s="7"/>
      <c r="G24" s="7"/>
      <c r="H24" s="13"/>
      <c r="I24" s="7"/>
      <c r="J24" s="11"/>
      <c r="K24" s="11"/>
      <c r="L24" s="11"/>
      <c r="M24" s="12"/>
      <c r="N24" s="12"/>
      <c r="O24" s="12"/>
      <c r="P24" s="12"/>
      <c r="Q24" s="12"/>
      <c r="R24" s="12"/>
      <c r="S24" s="12"/>
      <c r="T24" s="12"/>
      <c r="U24" s="12"/>
      <c r="V24" s="12"/>
      <c r="W24" s="12"/>
      <c r="X24" s="12"/>
      <c r="Y24" s="12"/>
      <c r="Z24" s="12"/>
      <c r="AA24" s="12"/>
    </row>
    <row r="25" ht="25.5" customHeight="1">
      <c r="A25" s="16"/>
      <c r="B25" s="16"/>
      <c r="C25" s="16"/>
      <c r="D25" s="16"/>
      <c r="E25" s="12"/>
      <c r="F25" s="12"/>
      <c r="G25" s="16"/>
      <c r="H25" s="16"/>
      <c r="I25" s="16"/>
      <c r="J25" s="12"/>
      <c r="K25" s="12"/>
      <c r="L25" s="12"/>
      <c r="M25" s="12"/>
      <c r="N25" s="12"/>
      <c r="O25" s="12"/>
      <c r="P25" s="12"/>
      <c r="Q25" s="12"/>
      <c r="R25" s="12"/>
      <c r="S25" s="12"/>
      <c r="T25" s="12"/>
      <c r="U25" s="12"/>
      <c r="V25" s="12"/>
      <c r="W25" s="12"/>
      <c r="X25" s="12"/>
      <c r="Y25" s="12"/>
      <c r="Z25" s="12"/>
      <c r="AA25" s="12"/>
    </row>
    <row r="26" ht="25.5" customHeight="1">
      <c r="A26" s="16"/>
      <c r="B26" s="16"/>
      <c r="C26" s="16"/>
      <c r="D26" s="16"/>
      <c r="E26" s="12"/>
      <c r="F26" s="12"/>
      <c r="G26" s="16"/>
      <c r="H26" s="16"/>
      <c r="I26" s="16"/>
      <c r="J26" s="12"/>
      <c r="K26" s="12"/>
      <c r="L26" s="12"/>
      <c r="M26" s="12"/>
      <c r="N26" s="12"/>
      <c r="O26" s="12"/>
      <c r="P26" s="12"/>
      <c r="Q26" s="12"/>
      <c r="R26" s="12"/>
      <c r="S26" s="12"/>
      <c r="T26" s="12"/>
      <c r="U26" s="12"/>
      <c r="V26" s="12"/>
      <c r="W26" s="12"/>
      <c r="X26" s="12"/>
      <c r="Y26" s="12"/>
      <c r="Z26" s="12"/>
      <c r="AA26" s="12"/>
    </row>
    <row r="27" ht="25.5" customHeight="1">
      <c r="A27" s="16"/>
      <c r="B27" s="16"/>
      <c r="C27" s="16"/>
      <c r="D27" s="16"/>
      <c r="E27" s="12"/>
      <c r="F27" s="12"/>
      <c r="G27" s="16"/>
      <c r="H27" s="16"/>
      <c r="I27" s="16"/>
      <c r="J27" s="12"/>
      <c r="K27" s="12"/>
      <c r="L27" s="12"/>
      <c r="M27" s="12"/>
      <c r="N27" s="12"/>
      <c r="O27" s="12"/>
      <c r="P27" s="12"/>
      <c r="Q27" s="12"/>
      <c r="R27" s="12"/>
      <c r="S27" s="12"/>
      <c r="T27" s="12"/>
      <c r="U27" s="12"/>
      <c r="V27" s="12"/>
      <c r="W27" s="12"/>
      <c r="X27" s="12"/>
      <c r="Y27" s="12"/>
      <c r="Z27" s="12"/>
      <c r="AA27" s="12"/>
    </row>
    <row r="28" ht="25.5" customHeight="1">
      <c r="A28" s="16"/>
      <c r="B28" s="16"/>
      <c r="C28" s="16"/>
      <c r="D28" s="16"/>
      <c r="E28" s="12"/>
      <c r="F28" s="12"/>
      <c r="G28" s="16"/>
      <c r="H28" s="16"/>
      <c r="I28" s="16"/>
      <c r="J28" s="12"/>
      <c r="K28" s="12"/>
      <c r="L28" s="12"/>
      <c r="M28" s="12"/>
      <c r="N28" s="12"/>
      <c r="O28" s="12"/>
      <c r="P28" s="12"/>
      <c r="Q28" s="12"/>
      <c r="R28" s="12"/>
      <c r="S28" s="12"/>
      <c r="T28" s="12"/>
      <c r="U28" s="12"/>
      <c r="V28" s="12"/>
      <c r="W28" s="12"/>
      <c r="X28" s="12"/>
      <c r="Y28" s="12"/>
      <c r="Z28" s="12"/>
      <c r="AA28" s="12"/>
    </row>
    <row r="29" ht="25.5" customHeight="1">
      <c r="A29" s="17"/>
      <c r="B29" s="12"/>
      <c r="C29" s="12"/>
      <c r="D29" s="17"/>
      <c r="E29" s="12"/>
      <c r="F29" s="12"/>
      <c r="G29" s="17"/>
      <c r="H29" s="17"/>
      <c r="I29" s="12"/>
      <c r="J29" s="12"/>
      <c r="K29" s="12"/>
      <c r="L29" s="12"/>
      <c r="M29" s="12"/>
      <c r="N29" s="12"/>
      <c r="O29" s="12"/>
      <c r="P29" s="12"/>
      <c r="Q29" s="12"/>
      <c r="R29" s="12"/>
      <c r="S29" s="12"/>
      <c r="T29" s="12"/>
      <c r="U29" s="12"/>
      <c r="V29" s="12"/>
      <c r="W29" s="12"/>
      <c r="X29" s="12"/>
      <c r="Y29" s="12"/>
      <c r="Z29" s="12"/>
      <c r="AA29" s="12"/>
    </row>
    <row r="30" ht="25.5" customHeight="1">
      <c r="A30" s="17"/>
      <c r="B30" s="12"/>
      <c r="C30" s="12"/>
      <c r="D30" s="17"/>
      <c r="E30" s="12"/>
      <c r="F30" s="12"/>
      <c r="G30" s="17"/>
      <c r="H30" s="17"/>
      <c r="I30" s="12"/>
      <c r="J30" s="12"/>
      <c r="K30" s="12"/>
      <c r="L30" s="12"/>
      <c r="M30" s="12"/>
      <c r="N30" s="12"/>
      <c r="O30" s="12"/>
      <c r="P30" s="12"/>
      <c r="Q30" s="12"/>
      <c r="R30" s="12"/>
      <c r="S30" s="12"/>
      <c r="T30" s="12"/>
      <c r="U30" s="12"/>
      <c r="V30" s="12"/>
      <c r="W30" s="12"/>
      <c r="X30" s="12"/>
      <c r="Y30" s="12"/>
      <c r="Z30" s="12"/>
      <c r="AA30" s="12"/>
    </row>
    <row r="31" ht="25.5" customHeight="1">
      <c r="A31" s="17"/>
      <c r="B31" s="12"/>
      <c r="C31" s="12"/>
      <c r="D31" s="17"/>
      <c r="E31" s="12"/>
      <c r="F31" s="12"/>
      <c r="G31" s="17"/>
      <c r="H31" s="17"/>
      <c r="I31" s="12"/>
      <c r="J31" s="12"/>
      <c r="K31" s="12"/>
      <c r="L31" s="12"/>
      <c r="M31" s="12"/>
      <c r="N31" s="12"/>
      <c r="O31" s="12"/>
      <c r="P31" s="12"/>
      <c r="Q31" s="12"/>
      <c r="R31" s="12"/>
      <c r="S31" s="12"/>
      <c r="T31" s="12"/>
      <c r="U31" s="12"/>
      <c r="V31" s="12"/>
      <c r="W31" s="12"/>
      <c r="X31" s="12"/>
      <c r="Y31" s="12"/>
      <c r="Z31" s="12"/>
      <c r="AA31" s="12"/>
    </row>
    <row r="32" ht="25.5" customHeight="1">
      <c r="A32" s="17"/>
      <c r="B32" s="12"/>
      <c r="C32" s="12"/>
      <c r="D32" s="17"/>
      <c r="E32" s="12"/>
      <c r="F32" s="12"/>
      <c r="G32" s="17"/>
      <c r="H32" s="17"/>
      <c r="I32" s="12"/>
      <c r="J32" s="12"/>
      <c r="K32" s="12"/>
      <c r="L32" s="12"/>
      <c r="M32" s="12"/>
      <c r="N32" s="12"/>
      <c r="O32" s="12"/>
      <c r="P32" s="12"/>
      <c r="Q32" s="12"/>
      <c r="R32" s="12"/>
      <c r="S32" s="12"/>
      <c r="T32" s="12"/>
      <c r="U32" s="12"/>
      <c r="V32" s="12"/>
      <c r="W32" s="12"/>
      <c r="X32" s="12"/>
      <c r="Y32" s="12"/>
      <c r="Z32" s="12"/>
      <c r="AA32" s="12"/>
    </row>
    <row r="33" ht="25.5" customHeight="1">
      <c r="A33" s="17"/>
      <c r="B33" s="12"/>
      <c r="C33" s="12"/>
      <c r="D33" s="17"/>
      <c r="E33" s="12"/>
      <c r="F33" s="12"/>
      <c r="G33" s="17"/>
      <c r="H33" s="17"/>
      <c r="I33" s="12"/>
      <c r="J33" s="12"/>
      <c r="K33" s="12"/>
      <c r="L33" s="12"/>
      <c r="M33" s="12"/>
      <c r="N33" s="12"/>
      <c r="O33" s="12"/>
      <c r="P33" s="12"/>
      <c r="Q33" s="12"/>
      <c r="R33" s="12"/>
      <c r="S33" s="12"/>
      <c r="T33" s="12"/>
      <c r="U33" s="12"/>
      <c r="V33" s="12"/>
      <c r="W33" s="12"/>
      <c r="X33" s="12"/>
      <c r="Y33" s="12"/>
      <c r="Z33" s="12"/>
      <c r="AA33" s="12"/>
    </row>
    <row r="34" ht="25.5" customHeight="1">
      <c r="A34" s="17"/>
      <c r="B34" s="12"/>
      <c r="C34" s="12"/>
      <c r="D34" s="17"/>
      <c r="E34" s="12"/>
      <c r="F34" s="12"/>
      <c r="G34" s="17"/>
      <c r="H34" s="17"/>
      <c r="I34" s="12"/>
      <c r="J34" s="12"/>
      <c r="K34" s="12"/>
      <c r="L34" s="12"/>
      <c r="M34" s="12"/>
      <c r="N34" s="12"/>
      <c r="O34" s="12"/>
      <c r="P34" s="12"/>
      <c r="Q34" s="12"/>
      <c r="R34" s="12"/>
      <c r="S34" s="12"/>
      <c r="T34" s="12"/>
      <c r="U34" s="12"/>
      <c r="V34" s="12"/>
      <c r="W34" s="12"/>
      <c r="X34" s="12"/>
      <c r="Y34" s="12"/>
      <c r="Z34" s="12"/>
      <c r="AA34" s="12"/>
    </row>
    <row r="35" ht="25.5" customHeight="1">
      <c r="A35" s="17"/>
      <c r="B35" s="12"/>
      <c r="C35" s="12"/>
      <c r="D35" s="17"/>
      <c r="E35" s="12"/>
      <c r="F35" s="12"/>
      <c r="G35" s="17"/>
      <c r="H35" s="17"/>
      <c r="I35" s="12"/>
      <c r="J35" s="12"/>
      <c r="K35" s="12"/>
      <c r="L35" s="12"/>
      <c r="M35" s="12"/>
      <c r="N35" s="12"/>
      <c r="O35" s="12"/>
      <c r="P35" s="12"/>
      <c r="Q35" s="12"/>
      <c r="R35" s="12"/>
      <c r="S35" s="12"/>
      <c r="T35" s="12"/>
      <c r="U35" s="12"/>
      <c r="V35" s="12"/>
      <c r="W35" s="12"/>
      <c r="X35" s="12"/>
      <c r="Y35" s="12"/>
      <c r="Z35" s="12"/>
      <c r="AA35" s="12"/>
    </row>
    <row r="36" ht="25.5" customHeight="1">
      <c r="A36" s="17"/>
      <c r="B36" s="12"/>
      <c r="C36" s="12"/>
      <c r="D36" s="17"/>
      <c r="E36" s="12"/>
      <c r="F36" s="12"/>
      <c r="G36" s="17"/>
      <c r="H36" s="17"/>
      <c r="I36" s="12"/>
      <c r="J36" s="12"/>
      <c r="K36" s="12"/>
      <c r="L36" s="12"/>
      <c r="M36" s="12"/>
      <c r="N36" s="12"/>
      <c r="O36" s="12"/>
      <c r="P36" s="12"/>
      <c r="Q36" s="12"/>
      <c r="R36" s="12"/>
      <c r="S36" s="12"/>
      <c r="T36" s="12"/>
      <c r="U36" s="12"/>
      <c r="V36" s="12"/>
      <c r="W36" s="12"/>
      <c r="X36" s="12"/>
      <c r="Y36" s="12"/>
      <c r="Z36" s="12"/>
      <c r="AA36" s="12"/>
    </row>
    <row r="37" ht="25.5" customHeight="1">
      <c r="A37" s="17"/>
      <c r="B37" s="12"/>
      <c r="C37" s="12"/>
      <c r="D37" s="17"/>
      <c r="E37" s="12"/>
      <c r="F37" s="12"/>
      <c r="G37" s="17"/>
      <c r="H37" s="17"/>
      <c r="I37" s="12"/>
      <c r="J37" s="12"/>
      <c r="K37" s="12"/>
      <c r="L37" s="12"/>
      <c r="M37" s="12"/>
      <c r="N37" s="12"/>
      <c r="O37" s="12"/>
      <c r="P37" s="12"/>
      <c r="Q37" s="12"/>
      <c r="R37" s="12"/>
      <c r="S37" s="12"/>
      <c r="T37" s="12"/>
      <c r="U37" s="12"/>
      <c r="V37" s="12"/>
      <c r="W37" s="12"/>
      <c r="X37" s="12"/>
      <c r="Y37" s="12"/>
      <c r="Z37" s="12"/>
      <c r="AA37" s="12"/>
    </row>
    <row r="38" ht="25.5" customHeight="1">
      <c r="A38" s="17"/>
      <c r="B38" s="12"/>
      <c r="C38" s="12"/>
      <c r="D38" s="17"/>
      <c r="E38" s="12"/>
      <c r="F38" s="12"/>
      <c r="G38" s="17"/>
      <c r="H38" s="17"/>
      <c r="I38" s="12"/>
      <c r="J38" s="12"/>
      <c r="K38" s="12"/>
      <c r="L38" s="12"/>
      <c r="M38" s="12"/>
      <c r="N38" s="12"/>
      <c r="O38" s="12"/>
      <c r="P38" s="12"/>
      <c r="Q38" s="12"/>
      <c r="R38" s="12"/>
      <c r="S38" s="12"/>
      <c r="T38" s="12"/>
      <c r="U38" s="12"/>
      <c r="V38" s="12"/>
      <c r="W38" s="12"/>
      <c r="X38" s="12"/>
      <c r="Y38" s="12"/>
      <c r="Z38" s="12"/>
      <c r="AA38" s="12"/>
    </row>
    <row r="39" ht="25.5" customHeight="1">
      <c r="A39" s="17"/>
      <c r="B39" s="12"/>
      <c r="C39" s="12"/>
      <c r="D39" s="17"/>
      <c r="E39" s="12"/>
      <c r="F39" s="12"/>
      <c r="G39" s="17"/>
      <c r="H39" s="17"/>
      <c r="I39" s="12"/>
      <c r="J39" s="12"/>
      <c r="K39" s="12"/>
      <c r="L39" s="12"/>
      <c r="M39" s="12"/>
      <c r="N39" s="12"/>
      <c r="O39" s="12"/>
      <c r="P39" s="12"/>
      <c r="Q39" s="12"/>
      <c r="R39" s="12"/>
      <c r="S39" s="12"/>
      <c r="T39" s="12"/>
      <c r="U39" s="12"/>
      <c r="V39" s="12"/>
      <c r="W39" s="12"/>
      <c r="X39" s="12"/>
      <c r="Y39" s="12"/>
      <c r="Z39" s="12"/>
      <c r="AA39" s="12"/>
    </row>
    <row r="40" ht="25.5" customHeight="1">
      <c r="A40" s="17"/>
      <c r="B40" s="12"/>
      <c r="C40" s="12"/>
      <c r="D40" s="17"/>
      <c r="E40" s="12"/>
      <c r="F40" s="12"/>
      <c r="G40" s="17"/>
      <c r="H40" s="17"/>
      <c r="I40" s="12"/>
      <c r="J40" s="12"/>
      <c r="K40" s="12"/>
      <c r="L40" s="12"/>
      <c r="M40" s="12"/>
      <c r="N40" s="12"/>
      <c r="O40" s="12"/>
      <c r="P40" s="12"/>
      <c r="Q40" s="12"/>
      <c r="R40" s="12"/>
      <c r="S40" s="12"/>
      <c r="T40" s="12"/>
      <c r="U40" s="12"/>
      <c r="V40" s="12"/>
      <c r="W40" s="12"/>
      <c r="X40" s="12"/>
      <c r="Y40" s="12"/>
      <c r="Z40" s="12"/>
      <c r="AA40" s="12"/>
    </row>
    <row r="41" ht="25.5" customHeight="1">
      <c r="A41" s="17"/>
      <c r="B41" s="12"/>
      <c r="C41" s="12"/>
      <c r="D41" s="17"/>
      <c r="E41" s="12"/>
      <c r="F41" s="12"/>
      <c r="G41" s="17"/>
      <c r="H41" s="17"/>
      <c r="I41" s="12"/>
      <c r="J41" s="12"/>
      <c r="K41" s="12"/>
      <c r="L41" s="12"/>
      <c r="M41" s="12"/>
      <c r="N41" s="12"/>
      <c r="O41" s="12"/>
      <c r="P41" s="12"/>
      <c r="Q41" s="12"/>
      <c r="R41" s="12"/>
      <c r="S41" s="12"/>
      <c r="T41" s="12"/>
      <c r="U41" s="12"/>
      <c r="V41" s="12"/>
      <c r="W41" s="12"/>
      <c r="X41" s="12"/>
      <c r="Y41" s="12"/>
      <c r="Z41" s="12"/>
      <c r="AA41" s="12"/>
    </row>
    <row r="42" ht="25.5" customHeight="1">
      <c r="A42" s="17"/>
      <c r="B42" s="12"/>
      <c r="C42" s="12"/>
      <c r="D42" s="17"/>
      <c r="E42" s="12"/>
      <c r="F42" s="12"/>
      <c r="G42" s="17"/>
      <c r="H42" s="17"/>
      <c r="I42" s="12"/>
      <c r="J42" s="12"/>
      <c r="K42" s="12"/>
      <c r="L42" s="12"/>
      <c r="M42" s="12"/>
      <c r="N42" s="12"/>
      <c r="O42" s="12"/>
      <c r="P42" s="12"/>
      <c r="Q42" s="12"/>
      <c r="R42" s="12"/>
      <c r="S42" s="12"/>
      <c r="T42" s="12"/>
      <c r="U42" s="12"/>
      <c r="V42" s="12"/>
      <c r="W42" s="12"/>
      <c r="X42" s="12"/>
      <c r="Y42" s="12"/>
      <c r="Z42" s="12"/>
      <c r="AA42" s="12"/>
    </row>
    <row r="43" ht="25.5" customHeight="1">
      <c r="A43" s="17"/>
      <c r="B43" s="12"/>
      <c r="C43" s="12"/>
      <c r="D43" s="17"/>
      <c r="E43" s="12"/>
      <c r="F43" s="12"/>
      <c r="G43" s="17"/>
      <c r="H43" s="17"/>
      <c r="I43" s="12"/>
      <c r="J43" s="12"/>
      <c r="K43" s="12"/>
      <c r="L43" s="12"/>
      <c r="M43" s="12"/>
      <c r="N43" s="12"/>
      <c r="O43" s="12"/>
      <c r="P43" s="12"/>
      <c r="Q43" s="12"/>
      <c r="R43" s="12"/>
      <c r="S43" s="12"/>
      <c r="T43" s="12"/>
      <c r="U43" s="12"/>
      <c r="V43" s="12"/>
      <c r="W43" s="12"/>
      <c r="X43" s="12"/>
      <c r="Y43" s="12"/>
      <c r="Z43" s="12"/>
      <c r="AA43" s="12"/>
    </row>
    <row r="44" ht="25.5" customHeight="1">
      <c r="A44" s="17"/>
      <c r="B44" s="12"/>
      <c r="C44" s="12"/>
      <c r="D44" s="17"/>
      <c r="E44" s="12"/>
      <c r="F44" s="12"/>
      <c r="G44" s="17"/>
      <c r="H44" s="17"/>
      <c r="I44" s="12"/>
      <c r="J44" s="12"/>
      <c r="K44" s="12"/>
      <c r="L44" s="12"/>
      <c r="M44" s="12"/>
      <c r="N44" s="12"/>
      <c r="O44" s="12"/>
      <c r="P44" s="12"/>
      <c r="Q44" s="12"/>
      <c r="R44" s="12"/>
      <c r="S44" s="12"/>
      <c r="T44" s="12"/>
      <c r="U44" s="12"/>
      <c r="V44" s="12"/>
      <c r="W44" s="12"/>
      <c r="X44" s="12"/>
      <c r="Y44" s="12"/>
      <c r="Z44" s="12"/>
      <c r="AA44" s="12"/>
    </row>
    <row r="45" ht="25.5" customHeight="1">
      <c r="A45" s="17"/>
      <c r="B45" s="12"/>
      <c r="C45" s="12"/>
      <c r="D45" s="17"/>
      <c r="E45" s="12"/>
      <c r="F45" s="12"/>
      <c r="G45" s="17"/>
      <c r="H45" s="17"/>
      <c r="I45" s="12"/>
      <c r="J45" s="12"/>
      <c r="K45" s="12"/>
      <c r="L45" s="12"/>
      <c r="M45" s="12"/>
      <c r="N45" s="12"/>
      <c r="O45" s="12"/>
      <c r="P45" s="12"/>
      <c r="Q45" s="12"/>
      <c r="R45" s="12"/>
      <c r="S45" s="12"/>
      <c r="T45" s="12"/>
      <c r="U45" s="12"/>
      <c r="V45" s="12"/>
      <c r="W45" s="12"/>
      <c r="X45" s="12"/>
      <c r="Y45" s="12"/>
      <c r="Z45" s="12"/>
      <c r="AA45" s="12"/>
    </row>
    <row r="46" ht="25.5" customHeight="1">
      <c r="A46" s="17"/>
      <c r="B46" s="12"/>
      <c r="C46" s="12"/>
      <c r="D46" s="17"/>
      <c r="E46" s="12"/>
      <c r="F46" s="12"/>
      <c r="G46" s="17"/>
      <c r="H46" s="17"/>
      <c r="I46" s="12"/>
      <c r="J46" s="12"/>
      <c r="K46" s="12"/>
      <c r="L46" s="12"/>
      <c r="M46" s="12"/>
      <c r="N46" s="12"/>
      <c r="O46" s="12"/>
      <c r="P46" s="12"/>
      <c r="Q46" s="12"/>
      <c r="R46" s="12"/>
      <c r="S46" s="12"/>
      <c r="T46" s="12"/>
      <c r="U46" s="12"/>
      <c r="V46" s="12"/>
      <c r="W46" s="12"/>
      <c r="X46" s="12"/>
      <c r="Y46" s="12"/>
      <c r="Z46" s="12"/>
      <c r="AA46" s="12"/>
    </row>
    <row r="47" ht="25.5" customHeight="1">
      <c r="A47" s="17"/>
      <c r="B47" s="12"/>
      <c r="C47" s="12"/>
      <c r="D47" s="17"/>
      <c r="E47" s="12"/>
      <c r="F47" s="12"/>
      <c r="G47" s="17"/>
      <c r="H47" s="17"/>
      <c r="I47" s="12"/>
      <c r="J47" s="12"/>
      <c r="K47" s="12"/>
      <c r="L47" s="12"/>
      <c r="M47" s="12"/>
      <c r="N47" s="12"/>
      <c r="O47" s="12"/>
      <c r="P47" s="12"/>
      <c r="Q47" s="12"/>
      <c r="R47" s="12"/>
      <c r="S47" s="12"/>
      <c r="T47" s="12"/>
      <c r="U47" s="12"/>
      <c r="V47" s="12"/>
      <c r="W47" s="12"/>
      <c r="X47" s="12"/>
      <c r="Y47" s="12"/>
      <c r="Z47" s="12"/>
      <c r="AA47" s="12"/>
    </row>
    <row r="48" ht="25.5" customHeight="1">
      <c r="A48" s="17"/>
      <c r="B48" s="12"/>
      <c r="C48" s="12"/>
      <c r="D48" s="17"/>
      <c r="E48" s="12"/>
      <c r="F48" s="12"/>
      <c r="G48" s="17"/>
      <c r="H48" s="17"/>
      <c r="I48" s="12"/>
      <c r="J48" s="12"/>
      <c r="K48" s="12"/>
      <c r="L48" s="12"/>
      <c r="M48" s="12"/>
      <c r="N48" s="12"/>
      <c r="O48" s="12"/>
      <c r="P48" s="12"/>
      <c r="Q48" s="12"/>
      <c r="R48" s="12"/>
      <c r="S48" s="12"/>
      <c r="T48" s="12"/>
      <c r="U48" s="12"/>
      <c r="V48" s="12"/>
      <c r="W48" s="12"/>
      <c r="X48" s="12"/>
      <c r="Y48" s="12"/>
      <c r="Z48" s="12"/>
      <c r="AA48" s="12"/>
    </row>
    <row r="49" ht="25.5" customHeight="1">
      <c r="A49" s="17"/>
      <c r="B49" s="12"/>
      <c r="C49" s="12"/>
      <c r="D49" s="17"/>
      <c r="E49" s="12"/>
      <c r="F49" s="12"/>
      <c r="G49" s="17"/>
      <c r="H49" s="17"/>
      <c r="I49" s="12"/>
      <c r="J49" s="12"/>
      <c r="K49" s="12"/>
      <c r="L49" s="12"/>
      <c r="M49" s="12"/>
      <c r="N49" s="12"/>
      <c r="O49" s="12"/>
      <c r="P49" s="12"/>
      <c r="Q49" s="12"/>
      <c r="R49" s="12"/>
      <c r="S49" s="12"/>
      <c r="T49" s="12"/>
      <c r="U49" s="12"/>
      <c r="V49" s="12"/>
      <c r="W49" s="12"/>
      <c r="X49" s="12"/>
      <c r="Y49" s="12"/>
      <c r="Z49" s="12"/>
      <c r="AA49" s="12"/>
    </row>
    <row r="50" ht="25.5" customHeight="1">
      <c r="A50" s="17"/>
      <c r="B50" s="12"/>
      <c r="C50" s="12"/>
      <c r="D50" s="17"/>
      <c r="E50" s="12"/>
      <c r="F50" s="12"/>
      <c r="G50" s="17"/>
      <c r="H50" s="17"/>
      <c r="I50" s="12"/>
      <c r="J50" s="12"/>
      <c r="K50" s="12"/>
      <c r="L50" s="12"/>
      <c r="M50" s="12"/>
      <c r="N50" s="12"/>
      <c r="O50" s="12"/>
      <c r="P50" s="12"/>
      <c r="Q50" s="12"/>
      <c r="R50" s="12"/>
      <c r="S50" s="12"/>
      <c r="T50" s="12"/>
      <c r="U50" s="12"/>
      <c r="V50" s="12"/>
      <c r="W50" s="12"/>
      <c r="X50" s="12"/>
      <c r="Y50" s="12"/>
      <c r="Z50" s="12"/>
      <c r="AA50" s="12"/>
    </row>
    <row r="51" ht="25.5" customHeight="1">
      <c r="A51" s="17"/>
      <c r="B51" s="12"/>
      <c r="C51" s="12"/>
      <c r="D51" s="17"/>
      <c r="E51" s="12"/>
      <c r="F51" s="12"/>
      <c r="G51" s="17"/>
      <c r="H51" s="17"/>
      <c r="I51" s="12"/>
      <c r="J51" s="12"/>
      <c r="K51" s="12"/>
      <c r="L51" s="12"/>
      <c r="M51" s="12"/>
      <c r="N51" s="12"/>
      <c r="O51" s="12"/>
      <c r="P51" s="12"/>
      <c r="Q51" s="12"/>
      <c r="R51" s="12"/>
      <c r="S51" s="12"/>
      <c r="T51" s="12"/>
      <c r="U51" s="12"/>
      <c r="V51" s="12"/>
      <c r="W51" s="12"/>
      <c r="X51" s="12"/>
      <c r="Y51" s="12"/>
      <c r="Z51" s="12"/>
      <c r="AA51" s="12"/>
    </row>
    <row r="52" ht="25.5" customHeight="1">
      <c r="A52" s="17"/>
      <c r="B52" s="12"/>
      <c r="C52" s="12"/>
      <c r="D52" s="17"/>
      <c r="E52" s="12"/>
      <c r="F52" s="12"/>
      <c r="G52" s="17"/>
      <c r="H52" s="17"/>
      <c r="I52" s="12"/>
      <c r="J52" s="12"/>
      <c r="K52" s="12"/>
      <c r="L52" s="12"/>
      <c r="M52" s="12"/>
      <c r="N52" s="12"/>
      <c r="O52" s="12"/>
      <c r="P52" s="12"/>
      <c r="Q52" s="12"/>
      <c r="R52" s="12"/>
      <c r="S52" s="12"/>
      <c r="T52" s="12"/>
      <c r="U52" s="12"/>
      <c r="V52" s="12"/>
      <c r="W52" s="12"/>
      <c r="X52" s="12"/>
      <c r="Y52" s="12"/>
      <c r="Z52" s="12"/>
      <c r="AA52" s="12"/>
    </row>
    <row r="53" ht="25.5" customHeight="1">
      <c r="A53" s="17"/>
      <c r="B53" s="12"/>
      <c r="C53" s="12"/>
      <c r="D53" s="17"/>
      <c r="E53" s="12"/>
      <c r="F53" s="12"/>
      <c r="G53" s="17"/>
      <c r="H53" s="17"/>
      <c r="I53" s="12"/>
      <c r="J53" s="12"/>
      <c r="K53" s="12"/>
      <c r="L53" s="12"/>
      <c r="M53" s="12"/>
      <c r="N53" s="12"/>
      <c r="O53" s="12"/>
      <c r="P53" s="12"/>
      <c r="Q53" s="12"/>
      <c r="R53" s="12"/>
      <c r="S53" s="12"/>
      <c r="T53" s="12"/>
      <c r="U53" s="12"/>
      <c r="V53" s="12"/>
      <c r="W53" s="12"/>
      <c r="X53" s="12"/>
      <c r="Y53" s="12"/>
      <c r="Z53" s="12"/>
      <c r="AA53" s="12"/>
    </row>
    <row r="54" ht="25.5" customHeight="1">
      <c r="A54" s="17"/>
      <c r="B54" s="12"/>
      <c r="C54" s="12"/>
      <c r="D54" s="17"/>
      <c r="E54" s="12"/>
      <c r="F54" s="12"/>
      <c r="G54" s="17"/>
      <c r="H54" s="17"/>
      <c r="I54" s="12"/>
      <c r="J54" s="12"/>
      <c r="K54" s="12"/>
      <c r="L54" s="12"/>
      <c r="M54" s="12"/>
      <c r="N54" s="12"/>
      <c r="O54" s="12"/>
      <c r="P54" s="12"/>
      <c r="Q54" s="12"/>
      <c r="R54" s="12"/>
      <c r="S54" s="12"/>
      <c r="T54" s="12"/>
      <c r="U54" s="12"/>
      <c r="V54" s="12"/>
      <c r="W54" s="12"/>
      <c r="X54" s="12"/>
      <c r="Y54" s="12"/>
      <c r="Z54" s="12"/>
      <c r="AA54" s="12"/>
    </row>
    <row r="55" ht="25.5" customHeight="1">
      <c r="A55" s="17"/>
      <c r="B55" s="12"/>
      <c r="C55" s="12"/>
      <c r="D55" s="17"/>
      <c r="E55" s="12"/>
      <c r="F55" s="12"/>
      <c r="G55" s="17"/>
      <c r="H55" s="17"/>
      <c r="I55" s="12"/>
      <c r="J55" s="12"/>
      <c r="K55" s="12"/>
      <c r="L55" s="12"/>
      <c r="M55" s="12"/>
      <c r="N55" s="12"/>
      <c r="O55" s="12"/>
      <c r="P55" s="12"/>
      <c r="Q55" s="12"/>
      <c r="R55" s="12"/>
      <c r="S55" s="12"/>
      <c r="T55" s="12"/>
      <c r="U55" s="12"/>
      <c r="V55" s="12"/>
      <c r="W55" s="12"/>
      <c r="X55" s="12"/>
      <c r="Y55" s="12"/>
      <c r="Z55" s="12"/>
      <c r="AA55" s="12"/>
    </row>
    <row r="56" ht="25.5" customHeight="1">
      <c r="A56" s="17"/>
      <c r="B56" s="12"/>
      <c r="C56" s="12"/>
      <c r="D56" s="17"/>
      <c r="E56" s="12"/>
      <c r="F56" s="12"/>
      <c r="G56" s="17"/>
      <c r="H56" s="17"/>
      <c r="I56" s="12"/>
      <c r="J56" s="12"/>
      <c r="K56" s="12"/>
      <c r="L56" s="12"/>
      <c r="M56" s="12"/>
      <c r="N56" s="12"/>
      <c r="O56" s="12"/>
      <c r="P56" s="12"/>
      <c r="Q56" s="12"/>
      <c r="R56" s="12"/>
      <c r="S56" s="12"/>
      <c r="T56" s="12"/>
      <c r="U56" s="12"/>
      <c r="V56" s="12"/>
      <c r="W56" s="12"/>
      <c r="X56" s="12"/>
      <c r="Y56" s="12"/>
      <c r="Z56" s="12"/>
      <c r="AA56" s="12"/>
    </row>
    <row r="57" ht="25.5" customHeight="1">
      <c r="A57" s="17"/>
      <c r="B57" s="12"/>
      <c r="C57" s="12"/>
      <c r="D57" s="17"/>
      <c r="E57" s="12"/>
      <c r="F57" s="12"/>
      <c r="G57" s="17"/>
      <c r="H57" s="17"/>
      <c r="I57" s="12"/>
      <c r="J57" s="12"/>
      <c r="K57" s="12"/>
      <c r="L57" s="12"/>
      <c r="M57" s="12"/>
      <c r="N57" s="12"/>
      <c r="O57" s="12"/>
      <c r="P57" s="12"/>
      <c r="Q57" s="12"/>
      <c r="R57" s="12"/>
      <c r="S57" s="12"/>
      <c r="T57" s="12"/>
      <c r="U57" s="12"/>
      <c r="V57" s="12"/>
      <c r="W57" s="12"/>
      <c r="X57" s="12"/>
      <c r="Y57" s="12"/>
      <c r="Z57" s="12"/>
      <c r="AA57" s="12"/>
    </row>
    <row r="58" ht="25.5" customHeight="1">
      <c r="A58" s="17"/>
      <c r="B58" s="12"/>
      <c r="C58" s="12"/>
      <c r="D58" s="17"/>
      <c r="E58" s="12"/>
      <c r="F58" s="12"/>
      <c r="G58" s="17"/>
      <c r="H58" s="17"/>
      <c r="I58" s="12"/>
      <c r="J58" s="12"/>
      <c r="K58" s="12"/>
      <c r="L58" s="12"/>
      <c r="M58" s="12"/>
      <c r="N58" s="12"/>
      <c r="O58" s="12"/>
      <c r="P58" s="12"/>
      <c r="Q58" s="12"/>
      <c r="R58" s="12"/>
      <c r="S58" s="12"/>
      <c r="T58" s="12"/>
      <c r="U58" s="12"/>
      <c r="V58" s="12"/>
      <c r="W58" s="12"/>
      <c r="X58" s="12"/>
      <c r="Y58" s="12"/>
      <c r="Z58" s="12"/>
      <c r="AA58" s="12"/>
    </row>
    <row r="59" ht="25.5" customHeight="1">
      <c r="A59" s="17"/>
      <c r="B59" s="12"/>
      <c r="C59" s="12"/>
      <c r="D59" s="17"/>
      <c r="E59" s="12"/>
      <c r="F59" s="12"/>
      <c r="G59" s="17"/>
      <c r="H59" s="17"/>
      <c r="I59" s="12"/>
      <c r="J59" s="12"/>
      <c r="K59" s="12"/>
      <c r="L59" s="12"/>
      <c r="M59" s="12"/>
      <c r="N59" s="12"/>
      <c r="O59" s="12"/>
      <c r="P59" s="12"/>
      <c r="Q59" s="12"/>
      <c r="R59" s="12"/>
      <c r="S59" s="12"/>
      <c r="T59" s="12"/>
      <c r="U59" s="12"/>
      <c r="V59" s="12"/>
      <c r="W59" s="12"/>
      <c r="X59" s="12"/>
      <c r="Y59" s="12"/>
      <c r="Z59" s="12"/>
      <c r="AA59" s="12"/>
    </row>
    <row r="60" ht="25.5" customHeight="1">
      <c r="A60" s="17"/>
      <c r="B60" s="12"/>
      <c r="C60" s="12"/>
      <c r="D60" s="17"/>
      <c r="E60" s="12"/>
      <c r="F60" s="12"/>
      <c r="G60" s="17"/>
      <c r="H60" s="17"/>
      <c r="I60" s="12"/>
      <c r="J60" s="12"/>
      <c r="K60" s="12"/>
      <c r="L60" s="12"/>
      <c r="M60" s="12"/>
      <c r="N60" s="12"/>
      <c r="O60" s="12"/>
      <c r="P60" s="12"/>
      <c r="Q60" s="12"/>
      <c r="R60" s="12"/>
      <c r="S60" s="12"/>
      <c r="T60" s="12"/>
      <c r="U60" s="12"/>
      <c r="V60" s="12"/>
      <c r="W60" s="12"/>
      <c r="X60" s="12"/>
      <c r="Y60" s="12"/>
      <c r="Z60" s="12"/>
      <c r="AA60" s="12"/>
    </row>
    <row r="61" ht="25.5" customHeight="1">
      <c r="A61" s="17"/>
      <c r="B61" s="12"/>
      <c r="C61" s="12"/>
      <c r="D61" s="17"/>
      <c r="E61" s="12"/>
      <c r="F61" s="12"/>
      <c r="G61" s="17"/>
      <c r="H61" s="17"/>
      <c r="I61" s="12"/>
      <c r="J61" s="12"/>
      <c r="K61" s="12"/>
      <c r="L61" s="12"/>
      <c r="M61" s="12"/>
      <c r="N61" s="12"/>
      <c r="O61" s="12"/>
      <c r="P61" s="12"/>
      <c r="Q61" s="12"/>
      <c r="R61" s="12"/>
      <c r="S61" s="12"/>
      <c r="T61" s="12"/>
      <c r="U61" s="12"/>
      <c r="V61" s="12"/>
      <c r="W61" s="12"/>
      <c r="X61" s="12"/>
      <c r="Y61" s="12"/>
      <c r="Z61" s="12"/>
      <c r="AA61" s="12"/>
    </row>
    <row r="62" ht="25.5" customHeight="1">
      <c r="A62" s="17"/>
      <c r="B62" s="12"/>
      <c r="C62" s="12"/>
      <c r="D62" s="17"/>
      <c r="E62" s="12"/>
      <c r="F62" s="12"/>
      <c r="G62" s="17"/>
      <c r="H62" s="17"/>
      <c r="I62" s="12"/>
      <c r="J62" s="12"/>
      <c r="K62" s="12"/>
      <c r="L62" s="12"/>
      <c r="M62" s="12"/>
      <c r="N62" s="12"/>
      <c r="O62" s="12"/>
      <c r="P62" s="12"/>
      <c r="Q62" s="12"/>
      <c r="R62" s="12"/>
      <c r="S62" s="12"/>
      <c r="T62" s="12"/>
      <c r="U62" s="12"/>
      <c r="V62" s="12"/>
      <c r="W62" s="12"/>
      <c r="X62" s="12"/>
      <c r="Y62" s="12"/>
      <c r="Z62" s="12"/>
      <c r="AA62" s="12"/>
    </row>
    <row r="63" ht="25.5" customHeight="1">
      <c r="A63" s="17"/>
      <c r="B63" s="12"/>
      <c r="C63" s="12"/>
      <c r="D63" s="17"/>
      <c r="E63" s="12"/>
      <c r="F63" s="12"/>
      <c r="G63" s="17"/>
      <c r="H63" s="17"/>
      <c r="I63" s="12"/>
      <c r="J63" s="12"/>
      <c r="K63" s="12"/>
      <c r="L63" s="12"/>
      <c r="M63" s="12"/>
      <c r="N63" s="12"/>
      <c r="O63" s="12"/>
      <c r="P63" s="12"/>
      <c r="Q63" s="12"/>
      <c r="R63" s="12"/>
      <c r="S63" s="12"/>
      <c r="T63" s="12"/>
      <c r="U63" s="12"/>
      <c r="V63" s="12"/>
      <c r="W63" s="12"/>
      <c r="X63" s="12"/>
      <c r="Y63" s="12"/>
      <c r="Z63" s="12"/>
      <c r="AA63" s="12"/>
    </row>
    <row r="64" ht="25.5" customHeight="1">
      <c r="A64" s="17"/>
      <c r="B64" s="12"/>
      <c r="C64" s="12"/>
      <c r="D64" s="17"/>
      <c r="E64" s="12"/>
      <c r="F64" s="12"/>
      <c r="G64" s="17"/>
      <c r="H64" s="17"/>
      <c r="I64" s="12"/>
      <c r="J64" s="12"/>
      <c r="K64" s="12"/>
      <c r="L64" s="12"/>
      <c r="M64" s="12"/>
      <c r="N64" s="12"/>
      <c r="O64" s="12"/>
      <c r="P64" s="12"/>
      <c r="Q64" s="12"/>
      <c r="R64" s="12"/>
      <c r="S64" s="12"/>
      <c r="T64" s="12"/>
      <c r="U64" s="12"/>
      <c r="V64" s="12"/>
      <c r="W64" s="12"/>
      <c r="X64" s="12"/>
      <c r="Y64" s="12"/>
      <c r="Z64" s="12"/>
      <c r="AA64" s="12"/>
    </row>
    <row r="65" ht="25.5" customHeight="1">
      <c r="A65" s="17"/>
      <c r="B65" s="12"/>
      <c r="C65" s="12"/>
      <c r="D65" s="17"/>
      <c r="E65" s="12"/>
      <c r="F65" s="12"/>
      <c r="G65" s="17"/>
      <c r="H65" s="17"/>
      <c r="I65" s="12"/>
      <c r="J65" s="12"/>
      <c r="K65" s="12"/>
      <c r="L65" s="12"/>
      <c r="M65" s="12"/>
      <c r="N65" s="12"/>
      <c r="O65" s="12"/>
      <c r="P65" s="12"/>
      <c r="Q65" s="12"/>
      <c r="R65" s="12"/>
      <c r="S65" s="12"/>
      <c r="T65" s="12"/>
      <c r="U65" s="12"/>
      <c r="V65" s="12"/>
      <c r="W65" s="12"/>
      <c r="X65" s="12"/>
      <c r="Y65" s="12"/>
      <c r="Z65" s="12"/>
      <c r="AA65" s="12"/>
    </row>
    <row r="66" ht="25.5" customHeight="1">
      <c r="A66" s="17"/>
      <c r="B66" s="12"/>
      <c r="C66" s="12"/>
      <c r="D66" s="17"/>
      <c r="E66" s="12"/>
      <c r="F66" s="12"/>
      <c r="G66" s="17"/>
      <c r="H66" s="17"/>
      <c r="I66" s="12"/>
      <c r="J66" s="12"/>
      <c r="K66" s="12"/>
      <c r="L66" s="12"/>
      <c r="M66" s="12"/>
      <c r="N66" s="12"/>
      <c r="O66" s="12"/>
      <c r="P66" s="12"/>
      <c r="Q66" s="12"/>
      <c r="R66" s="12"/>
      <c r="S66" s="12"/>
      <c r="T66" s="12"/>
      <c r="U66" s="12"/>
      <c r="V66" s="12"/>
      <c r="W66" s="12"/>
      <c r="X66" s="12"/>
      <c r="Y66" s="12"/>
      <c r="Z66" s="12"/>
      <c r="AA66" s="12"/>
    </row>
    <row r="67" ht="25.5" customHeight="1">
      <c r="A67" s="17"/>
      <c r="B67" s="12"/>
      <c r="C67" s="12"/>
      <c r="D67" s="17"/>
      <c r="E67" s="12"/>
      <c r="F67" s="12"/>
      <c r="G67" s="17"/>
      <c r="H67" s="17"/>
      <c r="I67" s="12"/>
      <c r="J67" s="12"/>
      <c r="K67" s="12"/>
      <c r="L67" s="12"/>
      <c r="M67" s="12"/>
      <c r="N67" s="12"/>
      <c r="O67" s="12"/>
      <c r="P67" s="12"/>
      <c r="Q67" s="12"/>
      <c r="R67" s="12"/>
      <c r="S67" s="12"/>
      <c r="T67" s="12"/>
      <c r="U67" s="12"/>
      <c r="V67" s="12"/>
      <c r="W67" s="12"/>
      <c r="X67" s="12"/>
      <c r="Y67" s="12"/>
      <c r="Z67" s="12"/>
      <c r="AA67" s="12"/>
    </row>
    <row r="68" ht="25.5" customHeight="1">
      <c r="A68" s="17"/>
      <c r="B68" s="12"/>
      <c r="C68" s="12"/>
      <c r="D68" s="17"/>
      <c r="E68" s="12"/>
      <c r="F68" s="12"/>
      <c r="G68" s="17"/>
      <c r="H68" s="17"/>
      <c r="I68" s="12"/>
      <c r="J68" s="12"/>
      <c r="K68" s="12"/>
      <c r="L68" s="12"/>
      <c r="M68" s="12"/>
      <c r="N68" s="12"/>
      <c r="O68" s="12"/>
      <c r="P68" s="12"/>
      <c r="Q68" s="12"/>
      <c r="R68" s="12"/>
      <c r="S68" s="12"/>
      <c r="T68" s="12"/>
      <c r="U68" s="12"/>
      <c r="V68" s="12"/>
      <c r="W68" s="12"/>
      <c r="X68" s="12"/>
      <c r="Y68" s="12"/>
      <c r="Z68" s="12"/>
      <c r="AA68" s="12"/>
    </row>
    <row r="69" ht="25.5" customHeight="1">
      <c r="A69" s="17"/>
      <c r="B69" s="12"/>
      <c r="C69" s="12"/>
      <c r="D69" s="17"/>
      <c r="E69" s="12"/>
      <c r="F69" s="12"/>
      <c r="G69" s="17"/>
      <c r="H69" s="17"/>
      <c r="I69" s="12"/>
      <c r="J69" s="12"/>
      <c r="K69" s="12"/>
      <c r="L69" s="12"/>
      <c r="M69" s="12"/>
      <c r="N69" s="12"/>
      <c r="O69" s="12"/>
      <c r="P69" s="12"/>
      <c r="Q69" s="12"/>
      <c r="R69" s="12"/>
      <c r="S69" s="12"/>
      <c r="T69" s="12"/>
      <c r="U69" s="12"/>
      <c r="V69" s="12"/>
      <c r="W69" s="12"/>
      <c r="X69" s="12"/>
      <c r="Y69" s="12"/>
      <c r="Z69" s="12"/>
      <c r="AA69" s="12"/>
    </row>
    <row r="70" ht="25.5" customHeight="1">
      <c r="A70" s="17"/>
      <c r="B70" s="12"/>
      <c r="C70" s="12"/>
      <c r="D70" s="17"/>
      <c r="E70" s="12"/>
      <c r="F70" s="12"/>
      <c r="G70" s="17"/>
      <c r="H70" s="17"/>
      <c r="I70" s="12"/>
      <c r="J70" s="12"/>
      <c r="K70" s="12"/>
      <c r="L70" s="12"/>
      <c r="M70" s="12"/>
      <c r="N70" s="12"/>
      <c r="O70" s="12"/>
      <c r="P70" s="12"/>
      <c r="Q70" s="12"/>
      <c r="R70" s="12"/>
      <c r="S70" s="12"/>
      <c r="T70" s="12"/>
      <c r="U70" s="12"/>
      <c r="V70" s="12"/>
      <c r="W70" s="12"/>
      <c r="X70" s="12"/>
      <c r="Y70" s="12"/>
      <c r="Z70" s="12"/>
      <c r="AA70" s="12"/>
    </row>
    <row r="71" ht="25.5" customHeight="1">
      <c r="A71" s="17"/>
      <c r="B71" s="12"/>
      <c r="C71" s="12"/>
      <c r="D71" s="17"/>
      <c r="E71" s="12"/>
      <c r="F71" s="12"/>
      <c r="G71" s="17"/>
      <c r="H71" s="17"/>
      <c r="I71" s="12"/>
      <c r="J71" s="12"/>
      <c r="K71" s="12"/>
      <c r="L71" s="12"/>
      <c r="M71" s="12"/>
      <c r="N71" s="12"/>
      <c r="O71" s="12"/>
      <c r="P71" s="12"/>
      <c r="Q71" s="12"/>
      <c r="R71" s="12"/>
      <c r="S71" s="12"/>
      <c r="T71" s="12"/>
      <c r="U71" s="12"/>
      <c r="V71" s="12"/>
      <c r="W71" s="12"/>
      <c r="X71" s="12"/>
      <c r="Y71" s="12"/>
      <c r="Z71" s="12"/>
      <c r="AA71" s="12"/>
    </row>
    <row r="72" ht="25.5" customHeight="1">
      <c r="A72" s="17"/>
      <c r="B72" s="12"/>
      <c r="C72" s="12"/>
      <c r="D72" s="17"/>
      <c r="E72" s="12"/>
      <c r="F72" s="12"/>
      <c r="G72" s="17"/>
      <c r="H72" s="17"/>
      <c r="I72" s="12"/>
      <c r="J72" s="12"/>
      <c r="K72" s="12"/>
      <c r="L72" s="12"/>
      <c r="M72" s="12"/>
      <c r="N72" s="12"/>
      <c r="O72" s="12"/>
      <c r="P72" s="12"/>
      <c r="Q72" s="12"/>
      <c r="R72" s="12"/>
      <c r="S72" s="12"/>
      <c r="T72" s="12"/>
      <c r="U72" s="12"/>
      <c r="V72" s="12"/>
      <c r="W72" s="12"/>
      <c r="X72" s="12"/>
      <c r="Y72" s="12"/>
      <c r="Z72" s="12"/>
      <c r="AA72" s="12"/>
    </row>
    <row r="73" ht="25.5" customHeight="1">
      <c r="A73" s="17"/>
      <c r="B73" s="12"/>
      <c r="C73" s="12"/>
      <c r="D73" s="17"/>
      <c r="E73" s="12"/>
      <c r="F73" s="12"/>
      <c r="G73" s="17"/>
      <c r="H73" s="17"/>
      <c r="I73" s="12"/>
      <c r="J73" s="12"/>
      <c r="K73" s="12"/>
      <c r="L73" s="12"/>
      <c r="M73" s="12"/>
      <c r="N73" s="12"/>
      <c r="O73" s="12"/>
      <c r="P73" s="12"/>
      <c r="Q73" s="12"/>
      <c r="R73" s="12"/>
      <c r="S73" s="12"/>
      <c r="T73" s="12"/>
      <c r="U73" s="12"/>
      <c r="V73" s="12"/>
      <c r="W73" s="12"/>
      <c r="X73" s="12"/>
      <c r="Y73" s="12"/>
      <c r="Z73" s="12"/>
      <c r="AA73" s="12"/>
    </row>
    <row r="74" ht="25.5" customHeight="1">
      <c r="A74" s="17"/>
      <c r="B74" s="12"/>
      <c r="C74" s="12"/>
      <c r="D74" s="17"/>
      <c r="E74" s="12"/>
      <c r="F74" s="12"/>
      <c r="G74" s="17"/>
      <c r="H74" s="17"/>
      <c r="I74" s="12"/>
      <c r="J74" s="12"/>
      <c r="K74" s="12"/>
      <c r="L74" s="12"/>
      <c r="M74" s="12"/>
      <c r="N74" s="12"/>
      <c r="O74" s="12"/>
      <c r="P74" s="12"/>
      <c r="Q74" s="12"/>
      <c r="R74" s="12"/>
      <c r="S74" s="12"/>
      <c r="T74" s="12"/>
      <c r="U74" s="12"/>
      <c r="V74" s="12"/>
      <c r="W74" s="12"/>
      <c r="X74" s="12"/>
      <c r="Y74" s="12"/>
      <c r="Z74" s="12"/>
      <c r="AA74" s="12"/>
    </row>
    <row r="75" ht="13.5" customHeight="1">
      <c r="A75" s="17"/>
      <c r="B75" s="12"/>
      <c r="C75" s="12"/>
      <c r="D75" s="17"/>
      <c r="E75" s="12"/>
      <c r="F75" s="12"/>
      <c r="G75" s="17"/>
      <c r="H75" s="17"/>
      <c r="I75" s="12"/>
      <c r="J75" s="12"/>
      <c r="K75" s="12"/>
      <c r="L75" s="12"/>
      <c r="M75" s="12"/>
      <c r="N75" s="12"/>
      <c r="O75" s="12"/>
      <c r="P75" s="12"/>
      <c r="Q75" s="12"/>
      <c r="R75" s="12"/>
      <c r="S75" s="12"/>
      <c r="T75" s="12"/>
      <c r="U75" s="12"/>
      <c r="V75" s="12"/>
      <c r="W75" s="12"/>
      <c r="X75" s="12"/>
      <c r="Y75" s="12"/>
      <c r="Z75" s="12"/>
      <c r="AA75" s="12"/>
    </row>
    <row r="76" ht="13.5" customHeight="1">
      <c r="A76" s="17"/>
      <c r="B76" s="12"/>
      <c r="C76" s="12"/>
      <c r="D76" s="17"/>
      <c r="E76" s="12"/>
      <c r="F76" s="12"/>
      <c r="G76" s="17"/>
      <c r="H76" s="17"/>
      <c r="I76" s="12"/>
      <c r="J76" s="12"/>
      <c r="K76" s="12"/>
      <c r="L76" s="12"/>
      <c r="M76" s="12"/>
      <c r="N76" s="12"/>
      <c r="O76" s="12"/>
      <c r="P76" s="12"/>
      <c r="Q76" s="12"/>
      <c r="R76" s="12"/>
      <c r="S76" s="12"/>
      <c r="T76" s="12"/>
      <c r="U76" s="12"/>
      <c r="V76" s="12"/>
      <c r="W76" s="12"/>
      <c r="X76" s="12"/>
      <c r="Y76" s="12"/>
      <c r="Z76" s="12"/>
      <c r="AA76" s="12"/>
    </row>
    <row r="77" ht="13.5" customHeight="1">
      <c r="A77" s="17"/>
      <c r="B77" s="12"/>
      <c r="C77" s="12"/>
      <c r="D77" s="17"/>
      <c r="E77" s="12"/>
      <c r="F77" s="12"/>
      <c r="G77" s="17"/>
      <c r="H77" s="17"/>
      <c r="I77" s="12"/>
      <c r="J77" s="12"/>
      <c r="K77" s="12"/>
      <c r="L77" s="12"/>
      <c r="M77" s="12"/>
      <c r="N77" s="12"/>
      <c r="O77" s="12"/>
      <c r="P77" s="12"/>
      <c r="Q77" s="12"/>
      <c r="R77" s="12"/>
      <c r="S77" s="12"/>
      <c r="T77" s="12"/>
      <c r="U77" s="12"/>
      <c r="V77" s="12"/>
      <c r="W77" s="12"/>
      <c r="X77" s="12"/>
      <c r="Y77" s="12"/>
      <c r="Z77" s="12"/>
      <c r="AA77" s="12"/>
    </row>
    <row r="78" ht="13.5" customHeight="1">
      <c r="A78" s="17"/>
      <c r="B78" s="12"/>
      <c r="C78" s="12"/>
      <c r="D78" s="17"/>
      <c r="E78" s="12"/>
      <c r="F78" s="12"/>
      <c r="G78" s="17"/>
      <c r="H78" s="17"/>
      <c r="I78" s="12"/>
      <c r="J78" s="12"/>
      <c r="K78" s="12"/>
      <c r="L78" s="12"/>
      <c r="M78" s="12"/>
      <c r="N78" s="12"/>
      <c r="O78" s="12"/>
      <c r="P78" s="12"/>
      <c r="Q78" s="12"/>
      <c r="R78" s="12"/>
      <c r="S78" s="12"/>
      <c r="T78" s="12"/>
      <c r="U78" s="12"/>
      <c r="V78" s="12"/>
      <c r="W78" s="12"/>
      <c r="X78" s="12"/>
      <c r="Y78" s="12"/>
      <c r="Z78" s="12"/>
      <c r="AA78" s="12"/>
    </row>
    <row r="79" ht="13.5" customHeight="1">
      <c r="A79" s="17"/>
      <c r="B79" s="12"/>
      <c r="C79" s="12"/>
      <c r="D79" s="17"/>
      <c r="E79" s="12"/>
      <c r="F79" s="12"/>
      <c r="G79" s="17"/>
      <c r="H79" s="17"/>
      <c r="I79" s="12"/>
      <c r="J79" s="12"/>
      <c r="K79" s="12"/>
      <c r="L79" s="12"/>
      <c r="M79" s="12"/>
      <c r="N79" s="12"/>
      <c r="O79" s="12"/>
      <c r="P79" s="12"/>
      <c r="Q79" s="12"/>
      <c r="R79" s="12"/>
      <c r="S79" s="12"/>
      <c r="T79" s="12"/>
      <c r="U79" s="12"/>
      <c r="V79" s="12"/>
      <c r="W79" s="12"/>
      <c r="X79" s="12"/>
      <c r="Y79" s="12"/>
      <c r="Z79" s="12"/>
      <c r="AA79" s="12"/>
    </row>
    <row r="80" ht="13.5" customHeight="1">
      <c r="A80" s="17"/>
      <c r="B80" s="12"/>
      <c r="C80" s="12"/>
      <c r="D80" s="17"/>
      <c r="E80" s="12"/>
      <c r="F80" s="12"/>
      <c r="G80" s="17"/>
      <c r="H80" s="17"/>
      <c r="I80" s="12"/>
      <c r="J80" s="12"/>
      <c r="K80" s="12"/>
      <c r="L80" s="12"/>
      <c r="M80" s="12"/>
      <c r="N80" s="12"/>
      <c r="O80" s="12"/>
      <c r="P80" s="12"/>
      <c r="Q80" s="12"/>
      <c r="R80" s="12"/>
      <c r="S80" s="12"/>
      <c r="T80" s="12"/>
      <c r="U80" s="12"/>
      <c r="V80" s="12"/>
      <c r="W80" s="12"/>
      <c r="X80" s="12"/>
      <c r="Y80" s="12"/>
      <c r="Z80" s="12"/>
      <c r="AA80" s="12"/>
    </row>
    <row r="81" ht="13.5" customHeight="1">
      <c r="A81" s="17"/>
      <c r="B81" s="12"/>
      <c r="C81" s="12"/>
      <c r="D81" s="17"/>
      <c r="E81" s="12"/>
      <c r="F81" s="12"/>
      <c r="G81" s="17"/>
      <c r="H81" s="17"/>
      <c r="I81" s="12"/>
      <c r="J81" s="12"/>
      <c r="K81" s="12"/>
      <c r="L81" s="12"/>
      <c r="M81" s="12"/>
      <c r="N81" s="12"/>
      <c r="O81" s="12"/>
      <c r="P81" s="12"/>
      <c r="Q81" s="12"/>
      <c r="R81" s="12"/>
      <c r="S81" s="12"/>
      <c r="T81" s="12"/>
      <c r="U81" s="12"/>
      <c r="V81" s="12"/>
      <c r="W81" s="12"/>
      <c r="X81" s="12"/>
      <c r="Y81" s="12"/>
      <c r="Z81" s="12"/>
      <c r="AA81" s="12"/>
    </row>
    <row r="82" ht="13.5" customHeight="1">
      <c r="A82" s="17"/>
      <c r="B82" s="12"/>
      <c r="C82" s="12"/>
      <c r="D82" s="17"/>
      <c r="E82" s="12"/>
      <c r="F82" s="12"/>
      <c r="G82" s="17"/>
      <c r="H82" s="17"/>
      <c r="I82" s="12"/>
      <c r="J82" s="12"/>
      <c r="K82" s="12"/>
      <c r="L82" s="12"/>
      <c r="M82" s="12"/>
      <c r="N82" s="12"/>
      <c r="O82" s="12"/>
      <c r="P82" s="12"/>
      <c r="Q82" s="12"/>
      <c r="R82" s="12"/>
      <c r="S82" s="12"/>
      <c r="T82" s="12"/>
      <c r="U82" s="12"/>
      <c r="V82" s="12"/>
      <c r="W82" s="12"/>
      <c r="X82" s="12"/>
      <c r="Y82" s="12"/>
      <c r="Z82" s="12"/>
      <c r="AA82" s="12"/>
    </row>
    <row r="83" ht="13.5" customHeight="1">
      <c r="A83" s="17"/>
      <c r="B83" s="12"/>
      <c r="C83" s="12"/>
      <c r="D83" s="17"/>
      <c r="E83" s="12"/>
      <c r="F83" s="12"/>
      <c r="G83" s="17"/>
      <c r="H83" s="17"/>
      <c r="I83" s="12"/>
      <c r="J83" s="12"/>
      <c r="K83" s="12"/>
      <c r="L83" s="12"/>
      <c r="M83" s="12"/>
      <c r="N83" s="12"/>
      <c r="O83" s="12"/>
      <c r="P83" s="12"/>
      <c r="Q83" s="12"/>
      <c r="R83" s="12"/>
      <c r="S83" s="12"/>
      <c r="T83" s="12"/>
      <c r="U83" s="12"/>
      <c r="V83" s="12"/>
      <c r="W83" s="12"/>
      <c r="X83" s="12"/>
      <c r="Y83" s="12"/>
      <c r="Z83" s="12"/>
      <c r="AA83" s="12"/>
    </row>
    <row r="84" ht="13.5" customHeight="1">
      <c r="A84" s="17"/>
      <c r="B84" s="12"/>
      <c r="C84" s="12"/>
      <c r="D84" s="17"/>
      <c r="E84" s="12"/>
      <c r="F84" s="12"/>
      <c r="G84" s="17"/>
      <c r="H84" s="17"/>
      <c r="I84" s="12"/>
      <c r="J84" s="12"/>
      <c r="K84" s="12"/>
      <c r="L84" s="12"/>
      <c r="M84" s="12"/>
      <c r="N84" s="12"/>
      <c r="O84" s="12"/>
      <c r="P84" s="12"/>
      <c r="Q84" s="12"/>
      <c r="R84" s="12"/>
      <c r="S84" s="12"/>
      <c r="T84" s="12"/>
      <c r="U84" s="12"/>
      <c r="V84" s="12"/>
      <c r="W84" s="12"/>
      <c r="X84" s="12"/>
      <c r="Y84" s="12"/>
      <c r="Z84" s="12"/>
      <c r="AA84" s="12"/>
    </row>
    <row r="85" ht="13.5" customHeight="1">
      <c r="A85" s="17"/>
      <c r="B85" s="12"/>
      <c r="C85" s="12"/>
      <c r="D85" s="17"/>
      <c r="E85" s="12"/>
      <c r="F85" s="12"/>
      <c r="G85" s="17"/>
      <c r="H85" s="17"/>
      <c r="I85" s="12"/>
      <c r="J85" s="12"/>
      <c r="K85" s="12"/>
      <c r="L85" s="12"/>
      <c r="M85" s="12"/>
      <c r="N85" s="12"/>
      <c r="O85" s="12"/>
      <c r="P85" s="12"/>
      <c r="Q85" s="12"/>
      <c r="R85" s="12"/>
      <c r="S85" s="12"/>
      <c r="T85" s="12"/>
      <c r="U85" s="12"/>
      <c r="V85" s="12"/>
      <c r="W85" s="12"/>
      <c r="X85" s="12"/>
      <c r="Y85" s="12"/>
      <c r="Z85" s="12"/>
      <c r="AA85" s="12"/>
    </row>
    <row r="86" ht="13.5" customHeight="1">
      <c r="A86" s="17"/>
      <c r="B86" s="12"/>
      <c r="C86" s="12"/>
      <c r="D86" s="17"/>
      <c r="E86" s="12"/>
      <c r="F86" s="12"/>
      <c r="G86" s="17"/>
      <c r="H86" s="17"/>
      <c r="I86" s="12"/>
      <c r="J86" s="12"/>
      <c r="K86" s="12"/>
      <c r="L86" s="12"/>
      <c r="M86" s="12"/>
      <c r="N86" s="12"/>
      <c r="O86" s="12"/>
      <c r="P86" s="12"/>
      <c r="Q86" s="12"/>
      <c r="R86" s="12"/>
      <c r="S86" s="12"/>
      <c r="T86" s="12"/>
      <c r="U86" s="12"/>
      <c r="V86" s="12"/>
      <c r="W86" s="12"/>
      <c r="X86" s="12"/>
      <c r="Y86" s="12"/>
      <c r="Z86" s="12"/>
      <c r="AA86" s="12"/>
    </row>
    <row r="87" ht="13.5" customHeight="1">
      <c r="A87" s="17"/>
      <c r="B87" s="12"/>
      <c r="C87" s="12"/>
      <c r="D87" s="17"/>
      <c r="E87" s="12"/>
      <c r="F87" s="12"/>
      <c r="G87" s="17"/>
      <c r="H87" s="17"/>
      <c r="I87" s="12"/>
      <c r="J87" s="12"/>
      <c r="K87" s="12"/>
      <c r="L87" s="12"/>
      <c r="M87" s="12"/>
      <c r="N87" s="12"/>
      <c r="O87" s="12"/>
      <c r="P87" s="12"/>
      <c r="Q87" s="12"/>
      <c r="R87" s="12"/>
      <c r="S87" s="12"/>
      <c r="T87" s="12"/>
      <c r="U87" s="12"/>
      <c r="V87" s="12"/>
      <c r="W87" s="12"/>
      <c r="X87" s="12"/>
      <c r="Y87" s="12"/>
      <c r="Z87" s="12"/>
      <c r="AA87" s="12"/>
    </row>
    <row r="88" ht="13.5" customHeight="1">
      <c r="A88" s="17"/>
      <c r="B88" s="12"/>
      <c r="C88" s="12"/>
      <c r="D88" s="17"/>
      <c r="E88" s="12"/>
      <c r="F88" s="12"/>
      <c r="G88" s="17"/>
      <c r="H88" s="17"/>
      <c r="I88" s="12"/>
      <c r="J88" s="12"/>
      <c r="K88" s="12"/>
      <c r="L88" s="12"/>
      <c r="M88" s="12"/>
      <c r="N88" s="12"/>
      <c r="O88" s="12"/>
      <c r="P88" s="12"/>
      <c r="Q88" s="12"/>
      <c r="R88" s="12"/>
      <c r="S88" s="12"/>
      <c r="T88" s="12"/>
      <c r="U88" s="12"/>
      <c r="V88" s="12"/>
      <c r="W88" s="12"/>
      <c r="X88" s="12"/>
      <c r="Y88" s="12"/>
      <c r="Z88" s="12"/>
      <c r="AA88" s="12"/>
    </row>
    <row r="89" ht="13.5" customHeight="1">
      <c r="A89" s="17"/>
      <c r="B89" s="12"/>
      <c r="C89" s="12"/>
      <c r="D89" s="17"/>
      <c r="E89" s="12"/>
      <c r="F89" s="12"/>
      <c r="G89" s="17"/>
      <c r="H89" s="17"/>
      <c r="I89" s="12"/>
      <c r="J89" s="12"/>
      <c r="K89" s="12"/>
      <c r="L89" s="12"/>
      <c r="M89" s="12"/>
      <c r="N89" s="12"/>
      <c r="O89" s="12"/>
      <c r="P89" s="12"/>
      <c r="Q89" s="12"/>
      <c r="R89" s="12"/>
      <c r="S89" s="12"/>
      <c r="T89" s="12"/>
      <c r="U89" s="12"/>
      <c r="V89" s="12"/>
      <c r="W89" s="12"/>
      <c r="X89" s="12"/>
      <c r="Y89" s="12"/>
      <c r="Z89" s="12"/>
      <c r="AA89" s="12"/>
    </row>
    <row r="90" ht="13.5" customHeight="1">
      <c r="A90" s="17"/>
      <c r="B90" s="12"/>
      <c r="C90" s="12"/>
      <c r="D90" s="17"/>
      <c r="E90" s="12"/>
      <c r="F90" s="12"/>
      <c r="G90" s="17"/>
      <c r="H90" s="17"/>
      <c r="I90" s="12"/>
      <c r="J90" s="12"/>
      <c r="K90" s="12"/>
      <c r="L90" s="12"/>
      <c r="M90" s="12"/>
      <c r="N90" s="12"/>
      <c r="O90" s="12"/>
      <c r="P90" s="12"/>
      <c r="Q90" s="12"/>
      <c r="R90" s="12"/>
      <c r="S90" s="12"/>
      <c r="T90" s="12"/>
      <c r="U90" s="12"/>
      <c r="V90" s="12"/>
      <c r="W90" s="12"/>
      <c r="X90" s="12"/>
      <c r="Y90" s="12"/>
      <c r="Z90" s="12"/>
      <c r="AA90" s="12"/>
    </row>
    <row r="91" ht="13.5" customHeight="1">
      <c r="A91" s="17"/>
      <c r="B91" s="12"/>
      <c r="C91" s="12"/>
      <c r="D91" s="17"/>
      <c r="E91" s="12"/>
      <c r="F91" s="12"/>
      <c r="G91" s="17"/>
      <c r="H91" s="17"/>
      <c r="I91" s="12"/>
      <c r="J91" s="12"/>
      <c r="K91" s="12"/>
      <c r="L91" s="12"/>
      <c r="M91" s="12"/>
      <c r="N91" s="12"/>
      <c r="O91" s="12"/>
      <c r="P91" s="12"/>
      <c r="Q91" s="12"/>
      <c r="R91" s="12"/>
      <c r="S91" s="12"/>
      <c r="T91" s="12"/>
      <c r="U91" s="12"/>
      <c r="V91" s="12"/>
      <c r="W91" s="12"/>
      <c r="X91" s="12"/>
      <c r="Y91" s="12"/>
      <c r="Z91" s="12"/>
      <c r="AA91" s="12"/>
    </row>
    <row r="92" ht="13.5" customHeight="1">
      <c r="A92" s="17"/>
      <c r="B92" s="12"/>
      <c r="C92" s="12"/>
      <c r="D92" s="17"/>
      <c r="E92" s="12"/>
      <c r="F92" s="12"/>
      <c r="G92" s="17"/>
      <c r="H92" s="17"/>
      <c r="I92" s="12"/>
      <c r="J92" s="12"/>
      <c r="K92" s="12"/>
      <c r="L92" s="12"/>
      <c r="M92" s="12"/>
      <c r="N92" s="12"/>
      <c r="O92" s="12"/>
      <c r="P92" s="12"/>
      <c r="Q92" s="12"/>
      <c r="R92" s="12"/>
      <c r="S92" s="12"/>
      <c r="T92" s="12"/>
      <c r="U92" s="12"/>
      <c r="V92" s="12"/>
      <c r="W92" s="12"/>
      <c r="X92" s="12"/>
      <c r="Y92" s="12"/>
      <c r="Z92" s="12"/>
      <c r="AA92" s="12"/>
    </row>
    <row r="93" ht="13.5" customHeight="1">
      <c r="A93" s="17"/>
      <c r="B93" s="12"/>
      <c r="C93" s="12"/>
      <c r="D93" s="17"/>
      <c r="E93" s="12"/>
      <c r="F93" s="12"/>
      <c r="G93" s="17"/>
      <c r="H93" s="17"/>
      <c r="I93" s="12"/>
      <c r="J93" s="12"/>
      <c r="K93" s="12"/>
      <c r="L93" s="12"/>
      <c r="M93" s="12"/>
      <c r="N93" s="12"/>
      <c r="O93" s="12"/>
      <c r="P93" s="12"/>
      <c r="Q93" s="12"/>
      <c r="R93" s="12"/>
      <c r="S93" s="12"/>
      <c r="T93" s="12"/>
      <c r="U93" s="12"/>
      <c r="V93" s="12"/>
      <c r="W93" s="12"/>
      <c r="X93" s="12"/>
      <c r="Y93" s="12"/>
      <c r="Z93" s="12"/>
      <c r="AA93" s="12"/>
    </row>
    <row r="94" ht="13.5" customHeight="1">
      <c r="A94" s="17"/>
      <c r="B94" s="12"/>
      <c r="C94" s="12"/>
      <c r="D94" s="17"/>
      <c r="E94" s="12"/>
      <c r="F94" s="12"/>
      <c r="G94" s="17"/>
      <c r="H94" s="17"/>
      <c r="I94" s="12"/>
      <c r="J94" s="12"/>
      <c r="K94" s="12"/>
      <c r="L94" s="12"/>
      <c r="M94" s="12"/>
      <c r="N94" s="12"/>
      <c r="O94" s="12"/>
      <c r="P94" s="12"/>
      <c r="Q94" s="12"/>
      <c r="R94" s="12"/>
      <c r="S94" s="12"/>
      <c r="T94" s="12"/>
      <c r="U94" s="12"/>
      <c r="V94" s="12"/>
      <c r="W94" s="12"/>
      <c r="X94" s="12"/>
      <c r="Y94" s="12"/>
      <c r="Z94" s="12"/>
      <c r="AA94" s="12"/>
    </row>
    <row r="95" ht="13.5" customHeight="1">
      <c r="A95" s="17"/>
      <c r="B95" s="12"/>
      <c r="C95" s="12"/>
      <c r="D95" s="17"/>
      <c r="E95" s="12"/>
      <c r="F95" s="12"/>
      <c r="G95" s="17"/>
      <c r="H95" s="17"/>
      <c r="I95" s="12"/>
      <c r="J95" s="12"/>
      <c r="K95" s="12"/>
      <c r="L95" s="12"/>
      <c r="M95" s="12"/>
      <c r="N95" s="12"/>
      <c r="O95" s="12"/>
      <c r="P95" s="12"/>
      <c r="Q95" s="12"/>
      <c r="R95" s="12"/>
      <c r="S95" s="12"/>
      <c r="T95" s="12"/>
      <c r="U95" s="12"/>
      <c r="V95" s="12"/>
      <c r="W95" s="12"/>
      <c r="X95" s="12"/>
      <c r="Y95" s="12"/>
      <c r="Z95" s="12"/>
      <c r="AA95" s="12"/>
    </row>
    <row r="96" ht="13.5" customHeight="1">
      <c r="A96" s="17"/>
      <c r="B96" s="12"/>
      <c r="C96" s="12"/>
      <c r="D96" s="17"/>
      <c r="E96" s="12"/>
      <c r="F96" s="12"/>
      <c r="G96" s="17"/>
      <c r="H96" s="17"/>
      <c r="I96" s="12"/>
      <c r="J96" s="12"/>
      <c r="K96" s="12"/>
      <c r="L96" s="12"/>
      <c r="M96" s="12"/>
      <c r="N96" s="12"/>
      <c r="O96" s="12"/>
      <c r="P96" s="12"/>
      <c r="Q96" s="12"/>
      <c r="R96" s="12"/>
      <c r="S96" s="12"/>
      <c r="T96" s="12"/>
      <c r="U96" s="12"/>
      <c r="V96" s="12"/>
      <c r="W96" s="12"/>
      <c r="X96" s="12"/>
      <c r="Y96" s="12"/>
      <c r="Z96" s="12"/>
      <c r="AA96" s="12"/>
    </row>
    <row r="97" ht="13.5" customHeight="1">
      <c r="A97" s="17"/>
      <c r="B97" s="12"/>
      <c r="C97" s="12"/>
      <c r="D97" s="17"/>
      <c r="E97" s="12"/>
      <c r="F97" s="12"/>
      <c r="G97" s="17"/>
      <c r="H97" s="17"/>
      <c r="I97" s="12"/>
      <c r="J97" s="12"/>
      <c r="K97" s="12"/>
      <c r="L97" s="12"/>
      <c r="M97" s="12"/>
      <c r="N97" s="12"/>
      <c r="O97" s="12"/>
      <c r="P97" s="12"/>
      <c r="Q97" s="12"/>
      <c r="R97" s="12"/>
      <c r="S97" s="12"/>
      <c r="T97" s="12"/>
      <c r="U97" s="12"/>
      <c r="V97" s="12"/>
      <c r="W97" s="12"/>
      <c r="X97" s="12"/>
      <c r="Y97" s="12"/>
      <c r="Z97" s="12"/>
      <c r="AA97" s="12"/>
    </row>
    <row r="98" ht="13.5" customHeight="1">
      <c r="A98" s="17"/>
      <c r="B98" s="12"/>
      <c r="C98" s="12"/>
      <c r="D98" s="17"/>
      <c r="E98" s="12"/>
      <c r="F98" s="12"/>
      <c r="G98" s="17"/>
      <c r="H98" s="17"/>
      <c r="I98" s="12"/>
      <c r="J98" s="12"/>
      <c r="K98" s="12"/>
      <c r="L98" s="12"/>
      <c r="M98" s="12"/>
      <c r="N98" s="12"/>
      <c r="O98" s="12"/>
      <c r="P98" s="12"/>
      <c r="Q98" s="12"/>
      <c r="R98" s="12"/>
      <c r="S98" s="12"/>
      <c r="T98" s="12"/>
      <c r="U98" s="12"/>
      <c r="V98" s="12"/>
      <c r="W98" s="12"/>
      <c r="X98" s="12"/>
      <c r="Y98" s="12"/>
      <c r="Z98" s="12"/>
      <c r="AA98" s="12"/>
    </row>
    <row r="99" ht="13.5" customHeight="1">
      <c r="A99" s="17"/>
      <c r="B99" s="12"/>
      <c r="C99" s="12"/>
      <c r="D99" s="17"/>
      <c r="E99" s="12"/>
      <c r="F99" s="12"/>
      <c r="G99" s="17"/>
      <c r="H99" s="17"/>
      <c r="I99" s="12"/>
      <c r="J99" s="12"/>
      <c r="K99" s="12"/>
      <c r="L99" s="12"/>
      <c r="M99" s="12"/>
      <c r="N99" s="12"/>
      <c r="O99" s="12"/>
      <c r="P99" s="12"/>
      <c r="Q99" s="12"/>
      <c r="R99" s="12"/>
      <c r="S99" s="12"/>
      <c r="T99" s="12"/>
      <c r="U99" s="12"/>
      <c r="V99" s="12"/>
      <c r="W99" s="12"/>
      <c r="X99" s="12"/>
      <c r="Y99" s="12"/>
      <c r="Z99" s="12"/>
      <c r="AA99" s="12"/>
    </row>
    <row r="100" ht="13.5" customHeight="1">
      <c r="A100" s="17"/>
      <c r="B100" s="12"/>
      <c r="C100" s="12"/>
      <c r="D100" s="17"/>
      <c r="E100" s="12"/>
      <c r="F100" s="12"/>
      <c r="G100" s="17"/>
      <c r="H100" s="17"/>
      <c r="I100" s="12"/>
      <c r="J100" s="12"/>
      <c r="K100" s="12"/>
      <c r="L100" s="12"/>
      <c r="M100" s="12"/>
      <c r="N100" s="12"/>
      <c r="O100" s="12"/>
      <c r="P100" s="12"/>
      <c r="Q100" s="12"/>
      <c r="R100" s="12"/>
      <c r="S100" s="12"/>
      <c r="T100" s="12"/>
      <c r="U100" s="12"/>
      <c r="V100" s="12"/>
      <c r="W100" s="12"/>
      <c r="X100" s="12"/>
      <c r="Y100" s="12"/>
      <c r="Z100" s="12"/>
      <c r="AA100" s="12"/>
    </row>
    <row r="101" ht="13.5" customHeight="1">
      <c r="A101" s="17"/>
      <c r="B101" s="12"/>
      <c r="C101" s="12"/>
      <c r="D101" s="17"/>
      <c r="E101" s="12"/>
      <c r="F101" s="12"/>
      <c r="G101" s="17"/>
      <c r="H101" s="17"/>
      <c r="I101" s="12"/>
      <c r="J101" s="12"/>
      <c r="K101" s="12"/>
      <c r="L101" s="12"/>
      <c r="M101" s="12"/>
      <c r="N101" s="12"/>
      <c r="O101" s="12"/>
      <c r="P101" s="12"/>
      <c r="Q101" s="12"/>
      <c r="R101" s="12"/>
      <c r="S101" s="12"/>
      <c r="T101" s="12"/>
      <c r="U101" s="12"/>
      <c r="V101" s="12"/>
      <c r="W101" s="12"/>
      <c r="X101" s="12"/>
      <c r="Y101" s="12"/>
      <c r="Z101" s="12"/>
      <c r="AA101" s="12"/>
    </row>
    <row r="102" ht="13.5" customHeight="1">
      <c r="A102" s="17"/>
      <c r="B102" s="12"/>
      <c r="C102" s="12"/>
      <c r="D102" s="17"/>
      <c r="E102" s="12"/>
      <c r="F102" s="12"/>
      <c r="G102" s="17"/>
      <c r="H102" s="17"/>
      <c r="I102" s="12"/>
      <c r="J102" s="12"/>
      <c r="K102" s="12"/>
      <c r="L102" s="12"/>
      <c r="M102" s="12"/>
      <c r="N102" s="12"/>
      <c r="O102" s="12"/>
      <c r="P102" s="12"/>
      <c r="Q102" s="12"/>
      <c r="R102" s="12"/>
      <c r="S102" s="12"/>
      <c r="T102" s="12"/>
      <c r="U102" s="12"/>
      <c r="V102" s="12"/>
      <c r="W102" s="12"/>
      <c r="X102" s="12"/>
      <c r="Y102" s="12"/>
      <c r="Z102" s="12"/>
      <c r="AA102" s="12"/>
    </row>
    <row r="103" ht="13.5" customHeight="1">
      <c r="A103" s="17"/>
      <c r="B103" s="12"/>
      <c r="C103" s="12"/>
      <c r="D103" s="17"/>
      <c r="E103" s="12"/>
      <c r="F103" s="12"/>
      <c r="G103" s="17"/>
      <c r="H103" s="17"/>
      <c r="I103" s="12"/>
      <c r="J103" s="12"/>
      <c r="K103" s="12"/>
      <c r="L103" s="12"/>
      <c r="M103" s="12"/>
      <c r="N103" s="12"/>
      <c r="O103" s="12"/>
      <c r="P103" s="12"/>
      <c r="Q103" s="12"/>
      <c r="R103" s="12"/>
      <c r="S103" s="12"/>
      <c r="T103" s="12"/>
      <c r="U103" s="12"/>
      <c r="V103" s="12"/>
      <c r="W103" s="12"/>
      <c r="X103" s="12"/>
      <c r="Y103" s="12"/>
      <c r="Z103" s="12"/>
      <c r="AA103" s="12"/>
    </row>
    <row r="104" ht="13.5" customHeight="1">
      <c r="A104" s="17"/>
      <c r="B104" s="12"/>
      <c r="C104" s="12"/>
      <c r="D104" s="17"/>
      <c r="E104" s="12"/>
      <c r="F104" s="12"/>
      <c r="G104" s="17"/>
      <c r="H104" s="17"/>
      <c r="I104" s="12"/>
      <c r="J104" s="12"/>
      <c r="K104" s="12"/>
      <c r="L104" s="12"/>
      <c r="M104" s="12"/>
      <c r="N104" s="12"/>
      <c r="O104" s="12"/>
      <c r="P104" s="12"/>
      <c r="Q104" s="12"/>
      <c r="R104" s="12"/>
      <c r="S104" s="12"/>
      <c r="T104" s="12"/>
      <c r="U104" s="12"/>
      <c r="V104" s="12"/>
      <c r="W104" s="12"/>
      <c r="X104" s="12"/>
      <c r="Y104" s="12"/>
      <c r="Z104" s="12"/>
      <c r="AA104" s="12"/>
    </row>
    <row r="105" ht="13.5" customHeight="1">
      <c r="A105" s="17"/>
      <c r="B105" s="12"/>
      <c r="C105" s="12"/>
      <c r="D105" s="17"/>
      <c r="E105" s="12"/>
      <c r="F105" s="12"/>
      <c r="G105" s="17"/>
      <c r="H105" s="17"/>
      <c r="I105" s="12"/>
      <c r="J105" s="12"/>
      <c r="K105" s="12"/>
      <c r="L105" s="12"/>
      <c r="M105" s="12"/>
      <c r="N105" s="12"/>
      <c r="O105" s="12"/>
      <c r="P105" s="12"/>
      <c r="Q105" s="12"/>
      <c r="R105" s="12"/>
      <c r="S105" s="12"/>
      <c r="T105" s="12"/>
      <c r="U105" s="12"/>
      <c r="V105" s="12"/>
      <c r="W105" s="12"/>
      <c r="X105" s="12"/>
      <c r="Y105" s="12"/>
      <c r="Z105" s="12"/>
      <c r="AA105" s="12"/>
    </row>
    <row r="106" ht="13.5" customHeight="1">
      <c r="A106" s="17"/>
      <c r="B106" s="12"/>
      <c r="C106" s="12"/>
      <c r="D106" s="17"/>
      <c r="E106" s="12"/>
      <c r="F106" s="12"/>
      <c r="G106" s="17"/>
      <c r="H106" s="17"/>
      <c r="I106" s="12"/>
      <c r="J106" s="12"/>
      <c r="K106" s="12"/>
      <c r="L106" s="12"/>
      <c r="M106" s="12"/>
      <c r="N106" s="12"/>
      <c r="O106" s="12"/>
      <c r="P106" s="12"/>
      <c r="Q106" s="12"/>
      <c r="R106" s="12"/>
      <c r="S106" s="12"/>
      <c r="T106" s="12"/>
      <c r="U106" s="12"/>
      <c r="V106" s="12"/>
      <c r="W106" s="12"/>
      <c r="X106" s="12"/>
      <c r="Y106" s="12"/>
      <c r="Z106" s="12"/>
      <c r="AA106" s="12"/>
    </row>
    <row r="107" ht="13.5" customHeight="1">
      <c r="A107" s="17"/>
      <c r="B107" s="12"/>
      <c r="C107" s="12"/>
      <c r="D107" s="17"/>
      <c r="E107" s="12"/>
      <c r="F107" s="12"/>
      <c r="G107" s="17"/>
      <c r="H107" s="17"/>
      <c r="I107" s="12"/>
      <c r="J107" s="12"/>
      <c r="K107" s="12"/>
      <c r="L107" s="12"/>
      <c r="M107" s="12"/>
      <c r="N107" s="12"/>
      <c r="O107" s="12"/>
      <c r="P107" s="12"/>
      <c r="Q107" s="12"/>
      <c r="R107" s="12"/>
      <c r="S107" s="12"/>
      <c r="T107" s="12"/>
      <c r="U107" s="12"/>
      <c r="V107" s="12"/>
      <c r="W107" s="12"/>
      <c r="X107" s="12"/>
      <c r="Y107" s="12"/>
      <c r="Z107" s="12"/>
      <c r="AA107" s="12"/>
    </row>
    <row r="108" ht="13.5" customHeight="1">
      <c r="A108" s="17"/>
      <c r="B108" s="12"/>
      <c r="C108" s="12"/>
      <c r="D108" s="17"/>
      <c r="E108" s="12"/>
      <c r="F108" s="12"/>
      <c r="G108" s="17"/>
      <c r="H108" s="17"/>
      <c r="I108" s="12"/>
      <c r="J108" s="12"/>
      <c r="K108" s="12"/>
      <c r="L108" s="12"/>
      <c r="M108" s="12"/>
      <c r="N108" s="12"/>
      <c r="O108" s="12"/>
      <c r="P108" s="12"/>
      <c r="Q108" s="12"/>
      <c r="R108" s="12"/>
      <c r="S108" s="12"/>
      <c r="T108" s="12"/>
      <c r="U108" s="12"/>
      <c r="V108" s="12"/>
      <c r="W108" s="12"/>
      <c r="X108" s="12"/>
      <c r="Y108" s="12"/>
      <c r="Z108" s="12"/>
      <c r="AA108" s="12"/>
    </row>
    <row r="109" ht="13.5" customHeight="1">
      <c r="A109" s="17"/>
      <c r="B109" s="12"/>
      <c r="C109" s="12"/>
      <c r="D109" s="17"/>
      <c r="E109" s="12"/>
      <c r="F109" s="12"/>
      <c r="G109" s="17"/>
      <c r="H109" s="17"/>
      <c r="I109" s="12"/>
      <c r="J109" s="12"/>
      <c r="K109" s="12"/>
      <c r="L109" s="12"/>
      <c r="M109" s="12"/>
      <c r="N109" s="12"/>
      <c r="O109" s="12"/>
      <c r="P109" s="12"/>
      <c r="Q109" s="12"/>
      <c r="R109" s="12"/>
      <c r="S109" s="12"/>
      <c r="T109" s="12"/>
      <c r="U109" s="12"/>
      <c r="V109" s="12"/>
      <c r="W109" s="12"/>
      <c r="X109" s="12"/>
      <c r="Y109" s="12"/>
      <c r="Z109" s="12"/>
      <c r="AA109" s="12"/>
    </row>
    <row r="110" ht="13.5" customHeight="1">
      <c r="A110" s="17"/>
      <c r="B110" s="12"/>
      <c r="C110" s="12"/>
      <c r="D110" s="17"/>
      <c r="E110" s="12"/>
      <c r="F110" s="12"/>
      <c r="G110" s="17"/>
      <c r="H110" s="17"/>
      <c r="I110" s="12"/>
      <c r="J110" s="12"/>
      <c r="K110" s="12"/>
      <c r="L110" s="12"/>
      <c r="M110" s="12"/>
      <c r="N110" s="12"/>
      <c r="O110" s="12"/>
      <c r="P110" s="12"/>
      <c r="Q110" s="12"/>
      <c r="R110" s="12"/>
      <c r="S110" s="12"/>
      <c r="T110" s="12"/>
      <c r="U110" s="12"/>
      <c r="V110" s="12"/>
      <c r="W110" s="12"/>
      <c r="X110" s="12"/>
      <c r="Y110" s="12"/>
      <c r="Z110" s="12"/>
      <c r="AA110" s="12"/>
    </row>
    <row r="111" ht="13.5" customHeight="1">
      <c r="A111" s="17"/>
      <c r="B111" s="12"/>
      <c r="C111" s="12"/>
      <c r="D111" s="17"/>
      <c r="E111" s="12"/>
      <c r="F111" s="12"/>
      <c r="G111" s="17"/>
      <c r="H111" s="17"/>
      <c r="I111" s="12"/>
      <c r="J111" s="12"/>
      <c r="K111" s="12"/>
      <c r="L111" s="12"/>
      <c r="M111" s="12"/>
      <c r="N111" s="12"/>
      <c r="O111" s="12"/>
      <c r="P111" s="12"/>
      <c r="Q111" s="12"/>
      <c r="R111" s="12"/>
      <c r="S111" s="12"/>
      <c r="T111" s="12"/>
      <c r="U111" s="12"/>
      <c r="V111" s="12"/>
      <c r="W111" s="12"/>
      <c r="X111" s="12"/>
      <c r="Y111" s="12"/>
      <c r="Z111" s="12"/>
      <c r="AA111" s="12"/>
    </row>
    <row r="112" ht="13.5" customHeight="1">
      <c r="A112" s="17"/>
      <c r="B112" s="12"/>
      <c r="C112" s="12"/>
      <c r="D112" s="17"/>
      <c r="E112" s="12"/>
      <c r="F112" s="12"/>
      <c r="G112" s="17"/>
      <c r="H112" s="17"/>
      <c r="I112" s="12"/>
      <c r="J112" s="12"/>
      <c r="K112" s="12"/>
      <c r="L112" s="12"/>
      <c r="M112" s="12"/>
      <c r="N112" s="12"/>
      <c r="O112" s="12"/>
      <c r="P112" s="12"/>
      <c r="Q112" s="12"/>
      <c r="R112" s="12"/>
      <c r="S112" s="12"/>
      <c r="T112" s="12"/>
      <c r="U112" s="12"/>
      <c r="V112" s="12"/>
      <c r="W112" s="12"/>
      <c r="X112" s="12"/>
      <c r="Y112" s="12"/>
      <c r="Z112" s="12"/>
      <c r="AA112" s="12"/>
    </row>
    <row r="113" ht="13.5" customHeight="1">
      <c r="A113" s="17"/>
      <c r="B113" s="12"/>
      <c r="C113" s="12"/>
      <c r="D113" s="17"/>
      <c r="E113" s="12"/>
      <c r="F113" s="12"/>
      <c r="G113" s="17"/>
      <c r="H113" s="17"/>
      <c r="I113" s="12"/>
      <c r="J113" s="12"/>
      <c r="K113" s="12"/>
      <c r="L113" s="12"/>
      <c r="M113" s="12"/>
      <c r="N113" s="12"/>
      <c r="O113" s="12"/>
      <c r="P113" s="12"/>
      <c r="Q113" s="12"/>
      <c r="R113" s="12"/>
      <c r="S113" s="12"/>
      <c r="T113" s="12"/>
      <c r="U113" s="12"/>
      <c r="V113" s="12"/>
      <c r="W113" s="12"/>
      <c r="X113" s="12"/>
      <c r="Y113" s="12"/>
      <c r="Z113" s="12"/>
      <c r="AA113" s="12"/>
    </row>
    <row r="114" ht="13.5" customHeight="1">
      <c r="A114" s="17"/>
      <c r="B114" s="12"/>
      <c r="C114" s="12"/>
      <c r="D114" s="17"/>
      <c r="E114" s="12"/>
      <c r="F114" s="12"/>
      <c r="G114" s="17"/>
      <c r="H114" s="17"/>
      <c r="I114" s="12"/>
      <c r="J114" s="12"/>
      <c r="K114" s="12"/>
      <c r="L114" s="12"/>
      <c r="M114" s="12"/>
      <c r="N114" s="12"/>
      <c r="O114" s="12"/>
      <c r="P114" s="12"/>
      <c r="Q114" s="12"/>
      <c r="R114" s="12"/>
      <c r="S114" s="12"/>
      <c r="T114" s="12"/>
      <c r="U114" s="12"/>
      <c r="V114" s="12"/>
      <c r="W114" s="12"/>
      <c r="X114" s="12"/>
      <c r="Y114" s="12"/>
      <c r="Z114" s="12"/>
      <c r="AA114" s="12"/>
    </row>
    <row r="115" ht="13.5" customHeight="1">
      <c r="A115" s="17"/>
      <c r="B115" s="12"/>
      <c r="C115" s="12"/>
      <c r="D115" s="17"/>
      <c r="E115" s="12"/>
      <c r="F115" s="12"/>
      <c r="G115" s="17"/>
      <c r="H115" s="17"/>
      <c r="I115" s="12"/>
      <c r="J115" s="12"/>
      <c r="K115" s="12"/>
      <c r="L115" s="12"/>
      <c r="M115" s="12"/>
      <c r="N115" s="12"/>
      <c r="O115" s="12"/>
      <c r="P115" s="12"/>
      <c r="Q115" s="12"/>
      <c r="R115" s="12"/>
      <c r="S115" s="12"/>
      <c r="T115" s="12"/>
      <c r="U115" s="12"/>
      <c r="V115" s="12"/>
      <c r="W115" s="12"/>
      <c r="X115" s="12"/>
      <c r="Y115" s="12"/>
      <c r="Z115" s="12"/>
      <c r="AA115" s="12"/>
    </row>
    <row r="116" ht="13.5" customHeight="1">
      <c r="A116" s="17"/>
      <c r="B116" s="12"/>
      <c r="C116" s="12"/>
      <c r="D116" s="17"/>
      <c r="E116" s="12"/>
      <c r="F116" s="12"/>
      <c r="G116" s="17"/>
      <c r="H116" s="17"/>
      <c r="I116" s="12"/>
      <c r="J116" s="12"/>
      <c r="K116" s="12"/>
      <c r="L116" s="12"/>
      <c r="M116" s="12"/>
      <c r="N116" s="12"/>
      <c r="O116" s="12"/>
      <c r="P116" s="12"/>
      <c r="Q116" s="12"/>
      <c r="R116" s="12"/>
      <c r="S116" s="12"/>
      <c r="T116" s="12"/>
      <c r="U116" s="12"/>
      <c r="V116" s="12"/>
      <c r="W116" s="12"/>
      <c r="X116" s="12"/>
      <c r="Y116" s="12"/>
      <c r="Z116" s="12"/>
      <c r="AA116" s="12"/>
    </row>
    <row r="117" ht="13.5" customHeight="1">
      <c r="A117" s="17"/>
      <c r="B117" s="12"/>
      <c r="C117" s="12"/>
      <c r="D117" s="17"/>
      <c r="E117" s="12"/>
      <c r="F117" s="12"/>
      <c r="G117" s="17"/>
      <c r="H117" s="17"/>
      <c r="I117" s="12"/>
      <c r="J117" s="12"/>
      <c r="K117" s="12"/>
      <c r="L117" s="12"/>
      <c r="M117" s="12"/>
      <c r="N117" s="12"/>
      <c r="O117" s="12"/>
      <c r="P117" s="12"/>
      <c r="Q117" s="12"/>
      <c r="R117" s="12"/>
      <c r="S117" s="12"/>
      <c r="T117" s="12"/>
      <c r="U117" s="12"/>
      <c r="V117" s="12"/>
      <c r="W117" s="12"/>
      <c r="X117" s="12"/>
      <c r="Y117" s="12"/>
      <c r="Z117" s="12"/>
      <c r="AA117" s="12"/>
    </row>
    <row r="118" ht="13.5" customHeight="1">
      <c r="A118" s="17"/>
      <c r="B118" s="12"/>
      <c r="C118" s="12"/>
      <c r="D118" s="17"/>
      <c r="E118" s="12"/>
      <c r="F118" s="12"/>
      <c r="G118" s="17"/>
      <c r="H118" s="17"/>
      <c r="I118" s="12"/>
      <c r="J118" s="12"/>
      <c r="K118" s="12"/>
      <c r="L118" s="12"/>
      <c r="M118" s="12"/>
      <c r="N118" s="12"/>
      <c r="O118" s="12"/>
      <c r="P118" s="12"/>
      <c r="Q118" s="12"/>
      <c r="R118" s="12"/>
      <c r="S118" s="12"/>
      <c r="T118" s="12"/>
      <c r="U118" s="12"/>
      <c r="V118" s="12"/>
      <c r="W118" s="12"/>
      <c r="X118" s="12"/>
      <c r="Y118" s="12"/>
      <c r="Z118" s="12"/>
      <c r="AA118" s="12"/>
    </row>
    <row r="119" ht="13.5" customHeight="1">
      <c r="A119" s="17"/>
      <c r="B119" s="12"/>
      <c r="C119" s="12"/>
      <c r="D119" s="17"/>
      <c r="E119" s="12"/>
      <c r="F119" s="12"/>
      <c r="G119" s="17"/>
      <c r="H119" s="17"/>
      <c r="I119" s="12"/>
      <c r="J119" s="12"/>
      <c r="K119" s="12"/>
      <c r="L119" s="12"/>
      <c r="M119" s="12"/>
      <c r="N119" s="12"/>
      <c r="O119" s="12"/>
      <c r="P119" s="12"/>
      <c r="Q119" s="12"/>
      <c r="R119" s="12"/>
      <c r="S119" s="12"/>
      <c r="T119" s="12"/>
      <c r="U119" s="12"/>
      <c r="V119" s="12"/>
      <c r="W119" s="12"/>
      <c r="X119" s="12"/>
      <c r="Y119" s="12"/>
      <c r="Z119" s="12"/>
      <c r="AA119" s="12"/>
    </row>
    <row r="120" ht="13.5" customHeight="1">
      <c r="A120" s="17"/>
      <c r="B120" s="12"/>
      <c r="C120" s="12"/>
      <c r="D120" s="17"/>
      <c r="E120" s="12"/>
      <c r="F120" s="12"/>
      <c r="G120" s="17"/>
      <c r="H120" s="17"/>
      <c r="I120" s="12"/>
      <c r="J120" s="12"/>
      <c r="K120" s="12"/>
      <c r="L120" s="12"/>
      <c r="M120" s="12"/>
      <c r="N120" s="12"/>
      <c r="O120" s="12"/>
      <c r="P120" s="12"/>
      <c r="Q120" s="12"/>
      <c r="R120" s="12"/>
      <c r="S120" s="12"/>
      <c r="T120" s="12"/>
      <c r="U120" s="12"/>
      <c r="V120" s="12"/>
      <c r="W120" s="12"/>
      <c r="X120" s="12"/>
      <c r="Y120" s="12"/>
      <c r="Z120" s="12"/>
      <c r="AA120" s="12"/>
    </row>
    <row r="121" ht="13.5" customHeight="1">
      <c r="A121" s="17"/>
      <c r="B121" s="12"/>
      <c r="C121" s="12"/>
      <c r="D121" s="17"/>
      <c r="E121" s="12"/>
      <c r="F121" s="12"/>
      <c r="G121" s="17"/>
      <c r="H121" s="17"/>
      <c r="I121" s="12"/>
      <c r="J121" s="12"/>
      <c r="K121" s="12"/>
      <c r="L121" s="12"/>
      <c r="M121" s="12"/>
      <c r="N121" s="12"/>
      <c r="O121" s="12"/>
      <c r="P121" s="12"/>
      <c r="Q121" s="12"/>
      <c r="R121" s="12"/>
      <c r="S121" s="12"/>
      <c r="T121" s="12"/>
      <c r="U121" s="12"/>
      <c r="V121" s="12"/>
      <c r="W121" s="12"/>
      <c r="X121" s="12"/>
      <c r="Y121" s="12"/>
      <c r="Z121" s="12"/>
      <c r="AA121" s="12"/>
    </row>
    <row r="122" ht="13.5" customHeight="1">
      <c r="A122" s="17"/>
      <c r="B122" s="12"/>
      <c r="C122" s="12"/>
      <c r="D122" s="17"/>
      <c r="E122" s="12"/>
      <c r="F122" s="12"/>
      <c r="G122" s="17"/>
      <c r="H122" s="17"/>
      <c r="I122" s="12"/>
      <c r="J122" s="12"/>
      <c r="K122" s="12"/>
      <c r="L122" s="12"/>
      <c r="M122" s="12"/>
      <c r="N122" s="12"/>
      <c r="O122" s="12"/>
      <c r="P122" s="12"/>
      <c r="Q122" s="12"/>
      <c r="R122" s="12"/>
      <c r="S122" s="12"/>
      <c r="T122" s="12"/>
      <c r="U122" s="12"/>
      <c r="V122" s="12"/>
      <c r="W122" s="12"/>
      <c r="X122" s="12"/>
      <c r="Y122" s="12"/>
      <c r="Z122" s="12"/>
      <c r="AA122" s="12"/>
    </row>
    <row r="123" ht="13.5" customHeight="1">
      <c r="A123" s="17"/>
      <c r="B123" s="12"/>
      <c r="C123" s="12"/>
      <c r="D123" s="17"/>
      <c r="E123" s="12"/>
      <c r="F123" s="12"/>
      <c r="G123" s="17"/>
      <c r="H123" s="17"/>
      <c r="I123" s="12"/>
      <c r="J123" s="12"/>
      <c r="K123" s="12"/>
      <c r="L123" s="12"/>
      <c r="M123" s="12"/>
      <c r="N123" s="12"/>
      <c r="O123" s="12"/>
      <c r="P123" s="12"/>
      <c r="Q123" s="12"/>
      <c r="R123" s="12"/>
      <c r="S123" s="12"/>
      <c r="T123" s="12"/>
      <c r="U123" s="12"/>
      <c r="V123" s="12"/>
      <c r="W123" s="12"/>
      <c r="X123" s="12"/>
      <c r="Y123" s="12"/>
      <c r="Z123" s="12"/>
      <c r="AA123" s="12"/>
    </row>
    <row r="124" ht="13.5" customHeight="1">
      <c r="A124" s="17"/>
      <c r="B124" s="12"/>
      <c r="C124" s="12"/>
      <c r="D124" s="17"/>
      <c r="E124" s="12"/>
      <c r="F124" s="12"/>
      <c r="G124" s="17"/>
      <c r="H124" s="17"/>
      <c r="I124" s="12"/>
      <c r="J124" s="12"/>
      <c r="K124" s="12"/>
      <c r="L124" s="12"/>
      <c r="M124" s="12"/>
      <c r="N124" s="12"/>
      <c r="O124" s="12"/>
      <c r="P124" s="12"/>
      <c r="Q124" s="12"/>
      <c r="R124" s="12"/>
      <c r="S124" s="12"/>
      <c r="T124" s="12"/>
      <c r="U124" s="12"/>
      <c r="V124" s="12"/>
      <c r="W124" s="12"/>
      <c r="X124" s="12"/>
      <c r="Y124" s="12"/>
      <c r="Z124" s="12"/>
      <c r="AA124" s="12"/>
    </row>
    <row r="125" ht="13.5" customHeight="1">
      <c r="A125" s="17"/>
      <c r="B125" s="12"/>
      <c r="C125" s="12"/>
      <c r="D125" s="17"/>
      <c r="E125" s="12"/>
      <c r="F125" s="12"/>
      <c r="G125" s="17"/>
      <c r="H125" s="17"/>
      <c r="I125" s="12"/>
      <c r="J125" s="12"/>
      <c r="K125" s="12"/>
      <c r="L125" s="12"/>
      <c r="M125" s="12"/>
      <c r="N125" s="12"/>
      <c r="O125" s="12"/>
      <c r="P125" s="12"/>
      <c r="Q125" s="12"/>
      <c r="R125" s="12"/>
      <c r="S125" s="12"/>
      <c r="T125" s="12"/>
      <c r="U125" s="12"/>
      <c r="V125" s="12"/>
      <c r="W125" s="12"/>
      <c r="X125" s="12"/>
      <c r="Y125" s="12"/>
      <c r="Z125" s="12"/>
      <c r="AA125" s="12"/>
    </row>
    <row r="126" ht="13.5" customHeight="1">
      <c r="A126" s="17"/>
      <c r="B126" s="12"/>
      <c r="C126" s="12"/>
      <c r="D126" s="17"/>
      <c r="E126" s="12"/>
      <c r="F126" s="12"/>
      <c r="G126" s="17"/>
      <c r="H126" s="17"/>
      <c r="I126" s="12"/>
      <c r="J126" s="12"/>
      <c r="K126" s="12"/>
      <c r="L126" s="12"/>
      <c r="M126" s="12"/>
      <c r="N126" s="12"/>
      <c r="O126" s="12"/>
      <c r="P126" s="12"/>
      <c r="Q126" s="12"/>
      <c r="R126" s="12"/>
      <c r="S126" s="12"/>
      <c r="T126" s="12"/>
      <c r="U126" s="12"/>
      <c r="V126" s="12"/>
      <c r="W126" s="12"/>
      <c r="X126" s="12"/>
      <c r="Y126" s="12"/>
      <c r="Z126" s="12"/>
      <c r="AA126" s="12"/>
    </row>
    <row r="127" ht="13.5" customHeight="1">
      <c r="A127" s="17"/>
      <c r="B127" s="12"/>
      <c r="C127" s="12"/>
      <c r="D127" s="17"/>
      <c r="E127" s="12"/>
      <c r="F127" s="12"/>
      <c r="G127" s="17"/>
      <c r="H127" s="17"/>
      <c r="I127" s="12"/>
      <c r="J127" s="12"/>
      <c r="K127" s="12"/>
      <c r="L127" s="12"/>
      <c r="M127" s="12"/>
      <c r="N127" s="12"/>
      <c r="O127" s="12"/>
      <c r="P127" s="12"/>
      <c r="Q127" s="12"/>
      <c r="R127" s="12"/>
      <c r="S127" s="12"/>
      <c r="T127" s="12"/>
      <c r="U127" s="12"/>
      <c r="V127" s="12"/>
      <c r="W127" s="12"/>
      <c r="X127" s="12"/>
      <c r="Y127" s="12"/>
      <c r="Z127" s="12"/>
      <c r="AA127" s="12"/>
    </row>
    <row r="128" ht="13.5" customHeight="1">
      <c r="A128" s="17"/>
      <c r="B128" s="12"/>
      <c r="C128" s="12"/>
      <c r="D128" s="17"/>
      <c r="E128" s="12"/>
      <c r="F128" s="12"/>
      <c r="G128" s="17"/>
      <c r="H128" s="17"/>
      <c r="I128" s="12"/>
      <c r="J128" s="12"/>
      <c r="K128" s="12"/>
      <c r="L128" s="12"/>
      <c r="M128" s="12"/>
      <c r="N128" s="12"/>
      <c r="O128" s="12"/>
      <c r="P128" s="12"/>
      <c r="Q128" s="12"/>
      <c r="R128" s="12"/>
      <c r="S128" s="12"/>
      <c r="T128" s="12"/>
      <c r="U128" s="12"/>
      <c r="V128" s="12"/>
      <c r="W128" s="12"/>
      <c r="X128" s="12"/>
      <c r="Y128" s="12"/>
      <c r="Z128" s="12"/>
      <c r="AA128" s="12"/>
    </row>
    <row r="129" ht="13.5" customHeight="1">
      <c r="A129" s="17"/>
      <c r="B129" s="12"/>
      <c r="C129" s="12"/>
      <c r="D129" s="17"/>
      <c r="E129" s="12"/>
      <c r="F129" s="12"/>
      <c r="G129" s="17"/>
      <c r="H129" s="17"/>
      <c r="I129" s="12"/>
      <c r="J129" s="12"/>
      <c r="K129" s="12"/>
      <c r="L129" s="12"/>
      <c r="M129" s="12"/>
      <c r="N129" s="12"/>
      <c r="O129" s="12"/>
      <c r="P129" s="12"/>
      <c r="Q129" s="12"/>
      <c r="R129" s="12"/>
      <c r="S129" s="12"/>
      <c r="T129" s="12"/>
      <c r="U129" s="12"/>
      <c r="V129" s="12"/>
      <c r="W129" s="12"/>
      <c r="X129" s="12"/>
      <c r="Y129" s="12"/>
      <c r="Z129" s="12"/>
      <c r="AA129" s="12"/>
    </row>
    <row r="130" ht="13.5" customHeight="1">
      <c r="A130" s="17"/>
      <c r="B130" s="12"/>
      <c r="C130" s="12"/>
      <c r="D130" s="17"/>
      <c r="E130" s="12"/>
      <c r="F130" s="12"/>
      <c r="G130" s="17"/>
      <c r="H130" s="17"/>
      <c r="I130" s="12"/>
      <c r="J130" s="12"/>
      <c r="K130" s="12"/>
      <c r="L130" s="12"/>
      <c r="M130" s="12"/>
      <c r="N130" s="12"/>
      <c r="O130" s="12"/>
      <c r="P130" s="12"/>
      <c r="Q130" s="12"/>
      <c r="R130" s="12"/>
      <c r="S130" s="12"/>
      <c r="T130" s="12"/>
      <c r="U130" s="12"/>
      <c r="V130" s="12"/>
      <c r="W130" s="12"/>
      <c r="X130" s="12"/>
      <c r="Y130" s="12"/>
      <c r="Z130" s="12"/>
      <c r="AA130" s="12"/>
    </row>
    <row r="131" ht="13.5" customHeight="1">
      <c r="A131" s="17"/>
      <c r="B131" s="12"/>
      <c r="C131" s="12"/>
      <c r="D131" s="17"/>
      <c r="E131" s="12"/>
      <c r="F131" s="12"/>
      <c r="G131" s="17"/>
      <c r="H131" s="17"/>
      <c r="I131" s="12"/>
      <c r="J131" s="12"/>
      <c r="K131" s="12"/>
      <c r="L131" s="12"/>
      <c r="M131" s="12"/>
      <c r="N131" s="12"/>
      <c r="O131" s="12"/>
      <c r="P131" s="12"/>
      <c r="Q131" s="12"/>
      <c r="R131" s="12"/>
      <c r="S131" s="12"/>
      <c r="T131" s="12"/>
      <c r="U131" s="12"/>
      <c r="V131" s="12"/>
      <c r="W131" s="12"/>
      <c r="X131" s="12"/>
      <c r="Y131" s="12"/>
      <c r="Z131" s="12"/>
      <c r="AA131" s="12"/>
    </row>
    <row r="132" ht="13.5" customHeight="1">
      <c r="A132" s="17"/>
      <c r="B132" s="12"/>
      <c r="C132" s="12"/>
      <c r="D132" s="17"/>
      <c r="E132" s="12"/>
      <c r="F132" s="12"/>
      <c r="G132" s="17"/>
      <c r="H132" s="17"/>
      <c r="I132" s="12"/>
      <c r="J132" s="12"/>
      <c r="K132" s="12"/>
      <c r="L132" s="12"/>
      <c r="M132" s="12"/>
      <c r="N132" s="12"/>
      <c r="O132" s="12"/>
      <c r="P132" s="12"/>
      <c r="Q132" s="12"/>
      <c r="R132" s="12"/>
      <c r="S132" s="12"/>
      <c r="T132" s="12"/>
      <c r="U132" s="12"/>
      <c r="V132" s="12"/>
      <c r="W132" s="12"/>
      <c r="X132" s="12"/>
      <c r="Y132" s="12"/>
      <c r="Z132" s="12"/>
      <c r="AA132" s="12"/>
    </row>
    <row r="133" ht="13.5" customHeight="1">
      <c r="A133" s="17"/>
      <c r="B133" s="12"/>
      <c r="C133" s="12"/>
      <c r="D133" s="17"/>
      <c r="E133" s="12"/>
      <c r="F133" s="12"/>
      <c r="G133" s="17"/>
      <c r="H133" s="17"/>
      <c r="I133" s="12"/>
      <c r="J133" s="12"/>
      <c r="K133" s="12"/>
      <c r="L133" s="12"/>
      <c r="M133" s="12"/>
      <c r="N133" s="12"/>
      <c r="O133" s="12"/>
      <c r="P133" s="12"/>
      <c r="Q133" s="12"/>
      <c r="R133" s="12"/>
      <c r="S133" s="12"/>
      <c r="T133" s="12"/>
      <c r="U133" s="12"/>
      <c r="V133" s="12"/>
      <c r="W133" s="12"/>
      <c r="X133" s="12"/>
      <c r="Y133" s="12"/>
      <c r="Z133" s="12"/>
      <c r="AA133" s="12"/>
    </row>
    <row r="134" ht="13.5" customHeight="1">
      <c r="A134" s="17"/>
      <c r="B134" s="12"/>
      <c r="C134" s="12"/>
      <c r="D134" s="17"/>
      <c r="E134" s="12"/>
      <c r="F134" s="12"/>
      <c r="G134" s="17"/>
      <c r="H134" s="17"/>
      <c r="I134" s="12"/>
      <c r="J134" s="12"/>
      <c r="K134" s="12"/>
      <c r="L134" s="12"/>
      <c r="M134" s="12"/>
      <c r="N134" s="12"/>
      <c r="O134" s="12"/>
      <c r="P134" s="12"/>
      <c r="Q134" s="12"/>
      <c r="R134" s="12"/>
      <c r="S134" s="12"/>
      <c r="T134" s="12"/>
      <c r="U134" s="12"/>
      <c r="V134" s="12"/>
      <c r="W134" s="12"/>
      <c r="X134" s="12"/>
      <c r="Y134" s="12"/>
      <c r="Z134" s="12"/>
      <c r="AA134" s="12"/>
    </row>
    <row r="135" ht="13.5" customHeight="1">
      <c r="A135" s="17"/>
      <c r="B135" s="12"/>
      <c r="C135" s="12"/>
      <c r="D135" s="17"/>
      <c r="E135" s="12"/>
      <c r="F135" s="12"/>
      <c r="G135" s="17"/>
      <c r="H135" s="17"/>
      <c r="I135" s="12"/>
      <c r="J135" s="12"/>
      <c r="K135" s="12"/>
      <c r="L135" s="12"/>
      <c r="M135" s="12"/>
      <c r="N135" s="12"/>
      <c r="O135" s="12"/>
      <c r="P135" s="12"/>
      <c r="Q135" s="12"/>
      <c r="R135" s="12"/>
      <c r="S135" s="12"/>
      <c r="T135" s="12"/>
      <c r="U135" s="12"/>
      <c r="V135" s="12"/>
      <c r="W135" s="12"/>
      <c r="X135" s="12"/>
      <c r="Y135" s="12"/>
      <c r="Z135" s="12"/>
      <c r="AA135" s="12"/>
    </row>
    <row r="136" ht="13.5" customHeight="1">
      <c r="A136" s="17"/>
      <c r="B136" s="12"/>
      <c r="C136" s="12"/>
      <c r="D136" s="17"/>
      <c r="E136" s="12"/>
      <c r="F136" s="12"/>
      <c r="G136" s="17"/>
      <c r="H136" s="17"/>
      <c r="I136" s="12"/>
      <c r="J136" s="12"/>
      <c r="K136" s="12"/>
      <c r="L136" s="12"/>
      <c r="M136" s="12"/>
      <c r="N136" s="12"/>
      <c r="O136" s="12"/>
      <c r="P136" s="12"/>
      <c r="Q136" s="12"/>
      <c r="R136" s="12"/>
      <c r="S136" s="12"/>
      <c r="T136" s="12"/>
      <c r="U136" s="12"/>
      <c r="V136" s="12"/>
      <c r="W136" s="12"/>
      <c r="X136" s="12"/>
      <c r="Y136" s="12"/>
      <c r="Z136" s="12"/>
      <c r="AA136" s="12"/>
    </row>
    <row r="137" ht="13.5" customHeight="1">
      <c r="A137" s="17"/>
      <c r="B137" s="12"/>
      <c r="C137" s="12"/>
      <c r="D137" s="17"/>
      <c r="E137" s="12"/>
      <c r="F137" s="12"/>
      <c r="G137" s="17"/>
      <c r="H137" s="17"/>
      <c r="I137" s="12"/>
      <c r="J137" s="12"/>
      <c r="K137" s="12"/>
      <c r="L137" s="12"/>
      <c r="M137" s="12"/>
      <c r="N137" s="12"/>
      <c r="O137" s="12"/>
      <c r="P137" s="12"/>
      <c r="Q137" s="12"/>
      <c r="R137" s="12"/>
      <c r="S137" s="12"/>
      <c r="T137" s="12"/>
      <c r="U137" s="12"/>
      <c r="V137" s="12"/>
      <c r="W137" s="12"/>
      <c r="X137" s="12"/>
      <c r="Y137" s="12"/>
      <c r="Z137" s="12"/>
      <c r="AA137" s="12"/>
    </row>
    <row r="138" ht="13.5" customHeight="1">
      <c r="A138" s="17"/>
      <c r="B138" s="12"/>
      <c r="C138" s="12"/>
      <c r="D138" s="17"/>
      <c r="E138" s="12"/>
      <c r="F138" s="12"/>
      <c r="G138" s="17"/>
      <c r="H138" s="17"/>
      <c r="I138" s="12"/>
      <c r="J138" s="12"/>
      <c r="K138" s="12"/>
      <c r="L138" s="12"/>
      <c r="M138" s="12"/>
      <c r="N138" s="12"/>
      <c r="O138" s="12"/>
      <c r="P138" s="12"/>
      <c r="Q138" s="12"/>
      <c r="R138" s="12"/>
      <c r="S138" s="12"/>
      <c r="T138" s="12"/>
      <c r="U138" s="12"/>
      <c r="V138" s="12"/>
      <c r="W138" s="12"/>
      <c r="X138" s="12"/>
      <c r="Y138" s="12"/>
      <c r="Z138" s="12"/>
      <c r="AA138" s="12"/>
    </row>
    <row r="139" ht="13.5" customHeight="1">
      <c r="A139" s="17"/>
      <c r="B139" s="12"/>
      <c r="C139" s="12"/>
      <c r="D139" s="17"/>
      <c r="E139" s="12"/>
      <c r="F139" s="12"/>
      <c r="G139" s="17"/>
      <c r="H139" s="17"/>
      <c r="I139" s="12"/>
      <c r="J139" s="12"/>
      <c r="K139" s="12"/>
      <c r="L139" s="12"/>
      <c r="M139" s="12"/>
      <c r="N139" s="12"/>
      <c r="O139" s="12"/>
      <c r="P139" s="12"/>
      <c r="Q139" s="12"/>
      <c r="R139" s="12"/>
      <c r="S139" s="12"/>
      <c r="T139" s="12"/>
      <c r="U139" s="12"/>
      <c r="V139" s="12"/>
      <c r="W139" s="12"/>
      <c r="X139" s="12"/>
      <c r="Y139" s="12"/>
      <c r="Z139" s="12"/>
      <c r="AA139" s="12"/>
    </row>
    <row r="140" ht="13.5" customHeight="1">
      <c r="A140" s="17"/>
      <c r="B140" s="12"/>
      <c r="C140" s="12"/>
      <c r="D140" s="17"/>
      <c r="E140" s="12"/>
      <c r="F140" s="12"/>
      <c r="G140" s="17"/>
      <c r="H140" s="17"/>
      <c r="I140" s="12"/>
      <c r="J140" s="12"/>
      <c r="K140" s="12"/>
      <c r="L140" s="12"/>
      <c r="M140" s="12"/>
      <c r="N140" s="12"/>
      <c r="O140" s="12"/>
      <c r="P140" s="12"/>
      <c r="Q140" s="12"/>
      <c r="R140" s="12"/>
      <c r="S140" s="12"/>
      <c r="T140" s="12"/>
      <c r="U140" s="12"/>
      <c r="V140" s="12"/>
      <c r="W140" s="12"/>
      <c r="X140" s="12"/>
      <c r="Y140" s="12"/>
      <c r="Z140" s="12"/>
      <c r="AA140" s="12"/>
    </row>
    <row r="141" ht="13.5" customHeight="1">
      <c r="A141" s="17"/>
      <c r="B141" s="12"/>
      <c r="C141" s="12"/>
      <c r="D141" s="17"/>
      <c r="E141" s="12"/>
      <c r="F141" s="12"/>
      <c r="G141" s="17"/>
      <c r="H141" s="17"/>
      <c r="I141" s="12"/>
      <c r="J141" s="12"/>
      <c r="K141" s="12"/>
      <c r="L141" s="12"/>
      <c r="M141" s="12"/>
      <c r="N141" s="12"/>
      <c r="O141" s="12"/>
      <c r="P141" s="12"/>
      <c r="Q141" s="12"/>
      <c r="R141" s="12"/>
      <c r="S141" s="12"/>
      <c r="T141" s="12"/>
      <c r="U141" s="12"/>
      <c r="V141" s="12"/>
      <c r="W141" s="12"/>
      <c r="X141" s="12"/>
      <c r="Y141" s="12"/>
      <c r="Z141" s="12"/>
      <c r="AA141" s="12"/>
    </row>
    <row r="142" ht="13.5" customHeight="1">
      <c r="A142" s="17"/>
      <c r="B142" s="12"/>
      <c r="C142" s="12"/>
      <c r="D142" s="17"/>
      <c r="E142" s="12"/>
      <c r="F142" s="12"/>
      <c r="G142" s="17"/>
      <c r="H142" s="17"/>
      <c r="I142" s="12"/>
      <c r="J142" s="12"/>
      <c r="K142" s="12"/>
      <c r="L142" s="12"/>
      <c r="M142" s="12"/>
      <c r="N142" s="12"/>
      <c r="O142" s="12"/>
      <c r="P142" s="12"/>
      <c r="Q142" s="12"/>
      <c r="R142" s="12"/>
      <c r="S142" s="12"/>
      <c r="T142" s="12"/>
      <c r="U142" s="12"/>
      <c r="V142" s="12"/>
      <c r="W142" s="12"/>
      <c r="X142" s="12"/>
      <c r="Y142" s="12"/>
      <c r="Z142" s="12"/>
      <c r="AA142" s="12"/>
    </row>
    <row r="143" ht="13.5" customHeight="1">
      <c r="A143" s="17"/>
      <c r="B143" s="12"/>
      <c r="C143" s="12"/>
      <c r="D143" s="17"/>
      <c r="E143" s="12"/>
      <c r="F143" s="12"/>
      <c r="G143" s="17"/>
      <c r="H143" s="17"/>
      <c r="I143" s="12"/>
      <c r="J143" s="12"/>
      <c r="K143" s="12"/>
      <c r="L143" s="12"/>
      <c r="M143" s="12"/>
      <c r="N143" s="12"/>
      <c r="O143" s="12"/>
      <c r="P143" s="12"/>
      <c r="Q143" s="12"/>
      <c r="R143" s="12"/>
      <c r="S143" s="12"/>
      <c r="T143" s="12"/>
      <c r="U143" s="12"/>
      <c r="V143" s="12"/>
      <c r="W143" s="12"/>
      <c r="X143" s="12"/>
      <c r="Y143" s="12"/>
      <c r="Z143" s="12"/>
      <c r="AA143" s="12"/>
    </row>
    <row r="144" ht="13.5" customHeight="1">
      <c r="A144" s="17"/>
      <c r="B144" s="12"/>
      <c r="C144" s="12"/>
      <c r="D144" s="17"/>
      <c r="E144" s="12"/>
      <c r="F144" s="12"/>
      <c r="G144" s="17"/>
      <c r="H144" s="17"/>
      <c r="I144" s="12"/>
      <c r="J144" s="12"/>
      <c r="K144" s="12"/>
      <c r="L144" s="12"/>
      <c r="M144" s="12"/>
      <c r="N144" s="12"/>
      <c r="O144" s="12"/>
      <c r="P144" s="12"/>
      <c r="Q144" s="12"/>
      <c r="R144" s="12"/>
      <c r="S144" s="12"/>
      <c r="T144" s="12"/>
      <c r="U144" s="12"/>
      <c r="V144" s="12"/>
      <c r="W144" s="12"/>
      <c r="X144" s="12"/>
      <c r="Y144" s="12"/>
      <c r="Z144" s="12"/>
      <c r="AA144" s="12"/>
    </row>
    <row r="145" ht="13.5" customHeight="1">
      <c r="A145" s="17"/>
      <c r="B145" s="12"/>
      <c r="C145" s="12"/>
      <c r="D145" s="17"/>
      <c r="E145" s="12"/>
      <c r="F145" s="12"/>
      <c r="G145" s="17"/>
      <c r="H145" s="17"/>
      <c r="I145" s="12"/>
      <c r="J145" s="12"/>
      <c r="K145" s="12"/>
      <c r="L145" s="12"/>
      <c r="M145" s="12"/>
      <c r="N145" s="12"/>
      <c r="O145" s="12"/>
      <c r="P145" s="12"/>
      <c r="Q145" s="12"/>
      <c r="R145" s="12"/>
      <c r="S145" s="12"/>
      <c r="T145" s="12"/>
      <c r="U145" s="12"/>
      <c r="V145" s="12"/>
      <c r="W145" s="12"/>
      <c r="X145" s="12"/>
      <c r="Y145" s="12"/>
      <c r="Z145" s="12"/>
      <c r="AA145" s="12"/>
    </row>
    <row r="146" ht="13.5" customHeight="1">
      <c r="A146" s="17"/>
      <c r="B146" s="12"/>
      <c r="C146" s="12"/>
      <c r="D146" s="17"/>
      <c r="E146" s="12"/>
      <c r="F146" s="12"/>
      <c r="G146" s="17"/>
      <c r="H146" s="17"/>
      <c r="I146" s="12"/>
      <c r="J146" s="12"/>
      <c r="K146" s="12"/>
      <c r="L146" s="12"/>
      <c r="M146" s="12"/>
      <c r="N146" s="12"/>
      <c r="O146" s="12"/>
      <c r="P146" s="12"/>
      <c r="Q146" s="12"/>
      <c r="R146" s="12"/>
      <c r="S146" s="12"/>
      <c r="T146" s="12"/>
      <c r="U146" s="12"/>
      <c r="V146" s="12"/>
      <c r="W146" s="12"/>
      <c r="X146" s="12"/>
      <c r="Y146" s="12"/>
      <c r="Z146" s="12"/>
      <c r="AA146" s="12"/>
    </row>
    <row r="147" ht="13.5" customHeight="1">
      <c r="A147" s="17"/>
      <c r="B147" s="12"/>
      <c r="C147" s="12"/>
      <c r="D147" s="17"/>
      <c r="E147" s="12"/>
      <c r="F147" s="12"/>
      <c r="G147" s="17"/>
      <c r="H147" s="17"/>
      <c r="I147" s="12"/>
      <c r="J147" s="12"/>
      <c r="K147" s="12"/>
      <c r="L147" s="12"/>
      <c r="M147" s="12"/>
      <c r="N147" s="12"/>
      <c r="O147" s="12"/>
      <c r="P147" s="12"/>
      <c r="Q147" s="12"/>
      <c r="R147" s="12"/>
      <c r="S147" s="12"/>
      <c r="T147" s="12"/>
      <c r="U147" s="12"/>
      <c r="V147" s="12"/>
      <c r="W147" s="12"/>
      <c r="X147" s="12"/>
      <c r="Y147" s="12"/>
      <c r="Z147" s="12"/>
      <c r="AA147" s="12"/>
    </row>
    <row r="148" ht="13.5" customHeight="1">
      <c r="A148" s="17"/>
      <c r="B148" s="12"/>
      <c r="C148" s="12"/>
      <c r="D148" s="17"/>
      <c r="E148" s="12"/>
      <c r="F148" s="12"/>
      <c r="G148" s="17"/>
      <c r="H148" s="17"/>
      <c r="I148" s="12"/>
      <c r="J148" s="12"/>
      <c r="K148" s="12"/>
      <c r="L148" s="12"/>
      <c r="M148" s="12"/>
      <c r="N148" s="12"/>
      <c r="O148" s="12"/>
      <c r="P148" s="12"/>
      <c r="Q148" s="12"/>
      <c r="R148" s="12"/>
      <c r="S148" s="12"/>
      <c r="T148" s="12"/>
      <c r="U148" s="12"/>
      <c r="V148" s="12"/>
      <c r="W148" s="12"/>
      <c r="X148" s="12"/>
      <c r="Y148" s="12"/>
      <c r="Z148" s="12"/>
      <c r="AA148" s="12"/>
    </row>
    <row r="149" ht="13.5" customHeight="1">
      <c r="A149" s="17"/>
      <c r="B149" s="12"/>
      <c r="C149" s="12"/>
      <c r="D149" s="17"/>
      <c r="E149" s="12"/>
      <c r="F149" s="12"/>
      <c r="G149" s="17"/>
      <c r="H149" s="17"/>
      <c r="I149" s="12"/>
      <c r="J149" s="12"/>
      <c r="K149" s="12"/>
      <c r="L149" s="12"/>
      <c r="M149" s="12"/>
      <c r="N149" s="12"/>
      <c r="O149" s="12"/>
      <c r="P149" s="12"/>
      <c r="Q149" s="12"/>
      <c r="R149" s="12"/>
      <c r="S149" s="12"/>
      <c r="T149" s="12"/>
      <c r="U149" s="12"/>
      <c r="V149" s="12"/>
      <c r="W149" s="12"/>
      <c r="X149" s="12"/>
      <c r="Y149" s="12"/>
      <c r="Z149" s="12"/>
      <c r="AA149" s="12"/>
    </row>
    <row r="150" ht="13.5" customHeight="1">
      <c r="A150" s="17"/>
      <c r="B150" s="12"/>
      <c r="C150" s="12"/>
      <c r="D150" s="17"/>
      <c r="E150" s="12"/>
      <c r="F150" s="12"/>
      <c r="G150" s="17"/>
      <c r="H150" s="17"/>
      <c r="I150" s="12"/>
      <c r="J150" s="12"/>
      <c r="K150" s="12"/>
      <c r="L150" s="12"/>
      <c r="M150" s="12"/>
      <c r="N150" s="12"/>
      <c r="O150" s="12"/>
      <c r="P150" s="12"/>
      <c r="Q150" s="12"/>
      <c r="R150" s="12"/>
      <c r="S150" s="12"/>
      <c r="T150" s="12"/>
      <c r="U150" s="12"/>
      <c r="V150" s="12"/>
      <c r="W150" s="12"/>
      <c r="X150" s="12"/>
      <c r="Y150" s="12"/>
      <c r="Z150" s="12"/>
      <c r="AA150" s="12"/>
    </row>
    <row r="151" ht="13.5" customHeight="1">
      <c r="A151" s="17"/>
      <c r="B151" s="12"/>
      <c r="C151" s="12"/>
      <c r="D151" s="17"/>
      <c r="E151" s="12"/>
      <c r="F151" s="12"/>
      <c r="G151" s="17"/>
      <c r="H151" s="17"/>
      <c r="I151" s="12"/>
      <c r="J151" s="12"/>
      <c r="K151" s="12"/>
      <c r="L151" s="12"/>
      <c r="M151" s="12"/>
      <c r="N151" s="12"/>
      <c r="O151" s="12"/>
      <c r="P151" s="12"/>
      <c r="Q151" s="12"/>
      <c r="R151" s="12"/>
      <c r="S151" s="12"/>
      <c r="T151" s="12"/>
      <c r="U151" s="12"/>
      <c r="V151" s="12"/>
      <c r="W151" s="12"/>
      <c r="X151" s="12"/>
      <c r="Y151" s="12"/>
      <c r="Z151" s="12"/>
      <c r="AA151" s="12"/>
    </row>
    <row r="152" ht="13.5" customHeight="1">
      <c r="A152" s="17"/>
      <c r="B152" s="12"/>
      <c r="C152" s="12"/>
      <c r="D152" s="17"/>
      <c r="E152" s="12"/>
      <c r="F152" s="12"/>
      <c r="G152" s="17"/>
      <c r="H152" s="17"/>
      <c r="I152" s="12"/>
      <c r="J152" s="12"/>
      <c r="K152" s="12"/>
      <c r="L152" s="12"/>
      <c r="M152" s="12"/>
      <c r="N152" s="12"/>
      <c r="O152" s="12"/>
      <c r="P152" s="12"/>
      <c r="Q152" s="12"/>
      <c r="R152" s="12"/>
      <c r="S152" s="12"/>
      <c r="T152" s="12"/>
      <c r="U152" s="12"/>
      <c r="V152" s="12"/>
      <c r="W152" s="12"/>
      <c r="X152" s="12"/>
      <c r="Y152" s="12"/>
      <c r="Z152" s="12"/>
      <c r="AA152" s="12"/>
    </row>
    <row r="153" ht="13.5" customHeight="1">
      <c r="A153" s="17"/>
      <c r="B153" s="12"/>
      <c r="C153" s="12"/>
      <c r="D153" s="17"/>
      <c r="E153" s="12"/>
      <c r="F153" s="12"/>
      <c r="G153" s="17"/>
      <c r="H153" s="17"/>
      <c r="I153" s="12"/>
      <c r="J153" s="12"/>
      <c r="K153" s="12"/>
      <c r="L153" s="12"/>
      <c r="M153" s="12"/>
      <c r="N153" s="12"/>
      <c r="O153" s="12"/>
      <c r="P153" s="12"/>
      <c r="Q153" s="12"/>
      <c r="R153" s="12"/>
      <c r="S153" s="12"/>
      <c r="T153" s="12"/>
      <c r="U153" s="12"/>
      <c r="V153" s="12"/>
      <c r="W153" s="12"/>
      <c r="X153" s="12"/>
      <c r="Y153" s="12"/>
      <c r="Z153" s="12"/>
      <c r="AA153" s="12"/>
    </row>
    <row r="154" ht="13.5" customHeight="1">
      <c r="A154" s="17"/>
      <c r="B154" s="12"/>
      <c r="C154" s="12"/>
      <c r="D154" s="17"/>
      <c r="E154" s="12"/>
      <c r="F154" s="12"/>
      <c r="G154" s="17"/>
      <c r="H154" s="17"/>
      <c r="I154" s="12"/>
      <c r="J154" s="12"/>
      <c r="K154" s="12"/>
      <c r="L154" s="12"/>
      <c r="M154" s="12"/>
      <c r="N154" s="12"/>
      <c r="O154" s="12"/>
      <c r="P154" s="12"/>
      <c r="Q154" s="12"/>
      <c r="R154" s="12"/>
      <c r="S154" s="12"/>
      <c r="T154" s="12"/>
      <c r="U154" s="12"/>
      <c r="V154" s="12"/>
      <c r="W154" s="12"/>
      <c r="X154" s="12"/>
      <c r="Y154" s="12"/>
      <c r="Z154" s="12"/>
      <c r="AA154" s="12"/>
    </row>
    <row r="155" ht="13.5" customHeight="1">
      <c r="A155" s="17"/>
      <c r="B155" s="12"/>
      <c r="C155" s="12"/>
      <c r="D155" s="17"/>
      <c r="E155" s="12"/>
      <c r="F155" s="12"/>
      <c r="G155" s="17"/>
      <c r="H155" s="17"/>
      <c r="I155" s="12"/>
      <c r="J155" s="12"/>
      <c r="K155" s="12"/>
      <c r="L155" s="12"/>
      <c r="M155" s="12"/>
      <c r="N155" s="12"/>
      <c r="O155" s="12"/>
      <c r="P155" s="12"/>
      <c r="Q155" s="12"/>
      <c r="R155" s="12"/>
      <c r="S155" s="12"/>
      <c r="T155" s="12"/>
      <c r="U155" s="12"/>
      <c r="V155" s="12"/>
      <c r="W155" s="12"/>
      <c r="X155" s="12"/>
      <c r="Y155" s="12"/>
      <c r="Z155" s="12"/>
      <c r="AA155" s="12"/>
    </row>
    <row r="156" ht="13.5" customHeight="1">
      <c r="A156" s="17"/>
      <c r="B156" s="12"/>
      <c r="C156" s="12"/>
      <c r="D156" s="17"/>
      <c r="E156" s="12"/>
      <c r="F156" s="12"/>
      <c r="G156" s="17"/>
      <c r="H156" s="17"/>
      <c r="I156" s="12"/>
      <c r="J156" s="12"/>
      <c r="K156" s="12"/>
      <c r="L156" s="12"/>
      <c r="M156" s="12"/>
      <c r="N156" s="12"/>
      <c r="O156" s="12"/>
      <c r="P156" s="12"/>
      <c r="Q156" s="12"/>
      <c r="R156" s="12"/>
      <c r="S156" s="12"/>
      <c r="T156" s="12"/>
      <c r="U156" s="12"/>
      <c r="V156" s="12"/>
      <c r="W156" s="12"/>
      <c r="X156" s="12"/>
      <c r="Y156" s="12"/>
      <c r="Z156" s="12"/>
      <c r="AA156" s="12"/>
    </row>
    <row r="157" ht="13.5" customHeight="1">
      <c r="A157" s="17"/>
      <c r="B157" s="12"/>
      <c r="C157" s="12"/>
      <c r="D157" s="17"/>
      <c r="E157" s="12"/>
      <c r="F157" s="12"/>
      <c r="G157" s="17"/>
      <c r="H157" s="17"/>
      <c r="I157" s="12"/>
      <c r="J157" s="12"/>
      <c r="K157" s="12"/>
      <c r="L157" s="12"/>
      <c r="M157" s="12"/>
      <c r="N157" s="12"/>
      <c r="O157" s="12"/>
      <c r="P157" s="12"/>
      <c r="Q157" s="12"/>
      <c r="R157" s="12"/>
      <c r="S157" s="12"/>
      <c r="T157" s="12"/>
      <c r="U157" s="12"/>
      <c r="V157" s="12"/>
      <c r="W157" s="12"/>
      <c r="X157" s="12"/>
      <c r="Y157" s="12"/>
      <c r="Z157" s="12"/>
      <c r="AA157" s="12"/>
    </row>
    <row r="158" ht="13.5" customHeight="1">
      <c r="A158" s="17"/>
      <c r="B158" s="12"/>
      <c r="C158" s="12"/>
      <c r="D158" s="17"/>
      <c r="E158" s="12"/>
      <c r="F158" s="12"/>
      <c r="G158" s="17"/>
      <c r="H158" s="17"/>
      <c r="I158" s="12"/>
      <c r="J158" s="12"/>
      <c r="K158" s="12"/>
      <c r="L158" s="12"/>
      <c r="M158" s="12"/>
      <c r="N158" s="12"/>
      <c r="O158" s="12"/>
      <c r="P158" s="12"/>
      <c r="Q158" s="12"/>
      <c r="R158" s="12"/>
      <c r="S158" s="12"/>
      <c r="T158" s="12"/>
      <c r="U158" s="12"/>
      <c r="V158" s="12"/>
      <c r="W158" s="12"/>
      <c r="X158" s="12"/>
      <c r="Y158" s="12"/>
      <c r="Z158" s="12"/>
      <c r="AA158" s="12"/>
    </row>
    <row r="159" ht="13.5" customHeight="1">
      <c r="A159" s="17"/>
      <c r="B159" s="12"/>
      <c r="C159" s="12"/>
      <c r="D159" s="17"/>
      <c r="E159" s="12"/>
      <c r="F159" s="12"/>
      <c r="G159" s="17"/>
      <c r="H159" s="17"/>
      <c r="I159" s="12"/>
      <c r="J159" s="12"/>
      <c r="K159" s="12"/>
      <c r="L159" s="12"/>
      <c r="M159" s="12"/>
      <c r="N159" s="12"/>
      <c r="O159" s="12"/>
      <c r="P159" s="12"/>
      <c r="Q159" s="12"/>
      <c r="R159" s="12"/>
      <c r="S159" s="12"/>
      <c r="T159" s="12"/>
      <c r="U159" s="12"/>
      <c r="V159" s="12"/>
      <c r="W159" s="12"/>
      <c r="X159" s="12"/>
      <c r="Y159" s="12"/>
      <c r="Z159" s="12"/>
      <c r="AA159" s="12"/>
    </row>
    <row r="160" ht="13.5" customHeight="1">
      <c r="A160" s="17"/>
      <c r="B160" s="12"/>
      <c r="C160" s="12"/>
      <c r="D160" s="17"/>
      <c r="E160" s="12"/>
      <c r="F160" s="12"/>
      <c r="G160" s="17"/>
      <c r="H160" s="17"/>
      <c r="I160" s="12"/>
      <c r="J160" s="12"/>
      <c r="K160" s="12"/>
      <c r="L160" s="12"/>
      <c r="M160" s="12"/>
      <c r="N160" s="12"/>
      <c r="O160" s="12"/>
      <c r="P160" s="12"/>
      <c r="Q160" s="12"/>
      <c r="R160" s="12"/>
      <c r="S160" s="12"/>
      <c r="T160" s="12"/>
      <c r="U160" s="12"/>
      <c r="V160" s="12"/>
      <c r="W160" s="12"/>
      <c r="X160" s="12"/>
      <c r="Y160" s="12"/>
      <c r="Z160" s="12"/>
      <c r="AA160" s="12"/>
    </row>
    <row r="161" ht="13.5" customHeight="1">
      <c r="A161" s="17"/>
      <c r="B161" s="12"/>
      <c r="C161" s="12"/>
      <c r="D161" s="17"/>
      <c r="E161" s="12"/>
      <c r="F161" s="12"/>
      <c r="G161" s="17"/>
      <c r="H161" s="17"/>
      <c r="I161" s="12"/>
      <c r="J161" s="12"/>
      <c r="K161" s="12"/>
      <c r="L161" s="12"/>
      <c r="M161" s="12"/>
      <c r="N161" s="12"/>
      <c r="O161" s="12"/>
      <c r="P161" s="12"/>
      <c r="Q161" s="12"/>
      <c r="R161" s="12"/>
      <c r="S161" s="12"/>
      <c r="T161" s="12"/>
      <c r="U161" s="12"/>
      <c r="V161" s="12"/>
      <c r="W161" s="12"/>
      <c r="X161" s="12"/>
      <c r="Y161" s="12"/>
      <c r="Z161" s="12"/>
      <c r="AA161" s="12"/>
    </row>
    <row r="162" ht="13.5" customHeight="1">
      <c r="A162" s="17"/>
      <c r="B162" s="12"/>
      <c r="C162" s="12"/>
      <c r="D162" s="17"/>
      <c r="E162" s="12"/>
      <c r="F162" s="12"/>
      <c r="G162" s="17"/>
      <c r="H162" s="17"/>
      <c r="I162" s="12"/>
      <c r="J162" s="12"/>
      <c r="K162" s="12"/>
      <c r="L162" s="12"/>
      <c r="M162" s="12"/>
      <c r="N162" s="12"/>
      <c r="O162" s="12"/>
      <c r="P162" s="12"/>
      <c r="Q162" s="12"/>
      <c r="R162" s="12"/>
      <c r="S162" s="12"/>
      <c r="T162" s="12"/>
      <c r="U162" s="12"/>
      <c r="V162" s="12"/>
      <c r="W162" s="12"/>
      <c r="X162" s="12"/>
      <c r="Y162" s="12"/>
      <c r="Z162" s="12"/>
      <c r="AA162" s="12"/>
    </row>
    <row r="163" ht="13.5" customHeight="1">
      <c r="A163" s="17"/>
      <c r="B163" s="12"/>
      <c r="C163" s="12"/>
      <c r="D163" s="17"/>
      <c r="E163" s="12"/>
      <c r="F163" s="12"/>
      <c r="G163" s="17"/>
      <c r="H163" s="17"/>
      <c r="I163" s="12"/>
      <c r="J163" s="12"/>
      <c r="K163" s="12"/>
      <c r="L163" s="12"/>
      <c r="M163" s="12"/>
      <c r="N163" s="12"/>
      <c r="O163" s="12"/>
      <c r="P163" s="12"/>
      <c r="Q163" s="12"/>
      <c r="R163" s="12"/>
      <c r="S163" s="12"/>
      <c r="T163" s="12"/>
      <c r="U163" s="12"/>
      <c r="V163" s="12"/>
      <c r="W163" s="12"/>
      <c r="X163" s="12"/>
      <c r="Y163" s="12"/>
      <c r="Z163" s="12"/>
      <c r="AA163" s="12"/>
    </row>
    <row r="164" ht="13.5" customHeight="1">
      <c r="A164" s="17"/>
      <c r="B164" s="12"/>
      <c r="C164" s="12"/>
      <c r="D164" s="17"/>
      <c r="E164" s="12"/>
      <c r="F164" s="12"/>
      <c r="G164" s="17"/>
      <c r="H164" s="17"/>
      <c r="I164" s="12"/>
      <c r="J164" s="12"/>
      <c r="K164" s="12"/>
      <c r="L164" s="12"/>
      <c r="M164" s="12"/>
      <c r="N164" s="12"/>
      <c r="O164" s="12"/>
      <c r="P164" s="12"/>
      <c r="Q164" s="12"/>
      <c r="R164" s="12"/>
      <c r="S164" s="12"/>
      <c r="T164" s="12"/>
      <c r="U164" s="12"/>
      <c r="V164" s="12"/>
      <c r="W164" s="12"/>
      <c r="X164" s="12"/>
      <c r="Y164" s="12"/>
      <c r="Z164" s="12"/>
      <c r="AA164" s="12"/>
    </row>
    <row r="165" ht="13.5" customHeight="1">
      <c r="A165" s="17"/>
      <c r="B165" s="12"/>
      <c r="C165" s="12"/>
      <c r="D165" s="17"/>
      <c r="E165" s="12"/>
      <c r="F165" s="12"/>
      <c r="G165" s="17"/>
      <c r="H165" s="17"/>
      <c r="I165" s="12"/>
      <c r="J165" s="12"/>
      <c r="K165" s="12"/>
      <c r="L165" s="12"/>
      <c r="M165" s="12"/>
      <c r="N165" s="12"/>
      <c r="O165" s="12"/>
      <c r="P165" s="12"/>
      <c r="Q165" s="12"/>
      <c r="R165" s="12"/>
      <c r="S165" s="12"/>
      <c r="T165" s="12"/>
      <c r="U165" s="12"/>
      <c r="V165" s="12"/>
      <c r="W165" s="12"/>
      <c r="X165" s="12"/>
      <c r="Y165" s="12"/>
      <c r="Z165" s="12"/>
      <c r="AA165" s="12"/>
    </row>
    <row r="166" ht="13.5" customHeight="1">
      <c r="A166" s="17"/>
      <c r="B166" s="12"/>
      <c r="C166" s="12"/>
      <c r="D166" s="17"/>
      <c r="E166" s="12"/>
      <c r="F166" s="12"/>
      <c r="G166" s="17"/>
      <c r="H166" s="17"/>
      <c r="I166" s="12"/>
      <c r="J166" s="12"/>
      <c r="K166" s="12"/>
      <c r="L166" s="12"/>
      <c r="M166" s="12"/>
      <c r="N166" s="12"/>
      <c r="O166" s="12"/>
      <c r="P166" s="12"/>
      <c r="Q166" s="12"/>
      <c r="R166" s="12"/>
      <c r="S166" s="12"/>
      <c r="T166" s="12"/>
      <c r="U166" s="12"/>
      <c r="V166" s="12"/>
      <c r="W166" s="12"/>
      <c r="X166" s="12"/>
      <c r="Y166" s="12"/>
      <c r="Z166" s="12"/>
      <c r="AA166" s="12"/>
    </row>
    <row r="167" ht="13.5" customHeight="1">
      <c r="A167" s="17"/>
      <c r="B167" s="12"/>
      <c r="C167" s="12"/>
      <c r="D167" s="17"/>
      <c r="E167" s="12"/>
      <c r="F167" s="12"/>
      <c r="G167" s="17"/>
      <c r="H167" s="17"/>
      <c r="I167" s="12"/>
      <c r="J167" s="12"/>
      <c r="K167" s="12"/>
      <c r="L167" s="12"/>
      <c r="M167" s="12"/>
      <c r="N167" s="12"/>
      <c r="O167" s="12"/>
      <c r="P167" s="12"/>
      <c r="Q167" s="12"/>
      <c r="R167" s="12"/>
      <c r="S167" s="12"/>
      <c r="T167" s="12"/>
      <c r="U167" s="12"/>
      <c r="V167" s="12"/>
      <c r="W167" s="12"/>
      <c r="X167" s="12"/>
      <c r="Y167" s="12"/>
      <c r="Z167" s="12"/>
      <c r="AA167" s="12"/>
    </row>
    <row r="168" ht="13.5" customHeight="1">
      <c r="A168" s="17"/>
      <c r="B168" s="12"/>
      <c r="C168" s="12"/>
      <c r="D168" s="17"/>
      <c r="E168" s="12"/>
      <c r="F168" s="12"/>
      <c r="G168" s="17"/>
      <c r="H168" s="17"/>
      <c r="I168" s="12"/>
      <c r="J168" s="12"/>
      <c r="K168" s="12"/>
      <c r="L168" s="12"/>
      <c r="M168" s="12"/>
      <c r="N168" s="12"/>
      <c r="O168" s="12"/>
      <c r="P168" s="12"/>
      <c r="Q168" s="12"/>
      <c r="R168" s="12"/>
      <c r="S168" s="12"/>
      <c r="T168" s="12"/>
      <c r="U168" s="12"/>
      <c r="V168" s="12"/>
      <c r="W168" s="12"/>
      <c r="X168" s="12"/>
      <c r="Y168" s="12"/>
      <c r="Z168" s="12"/>
      <c r="AA168" s="12"/>
    </row>
    <row r="169" ht="13.5" customHeight="1">
      <c r="A169" s="17"/>
      <c r="B169" s="12"/>
      <c r="C169" s="12"/>
      <c r="D169" s="17"/>
      <c r="E169" s="12"/>
      <c r="F169" s="12"/>
      <c r="G169" s="17"/>
      <c r="H169" s="17"/>
      <c r="I169" s="12"/>
      <c r="J169" s="12"/>
      <c r="K169" s="12"/>
      <c r="L169" s="12"/>
      <c r="M169" s="12"/>
      <c r="N169" s="12"/>
      <c r="O169" s="12"/>
      <c r="P169" s="12"/>
      <c r="Q169" s="12"/>
      <c r="R169" s="12"/>
      <c r="S169" s="12"/>
      <c r="T169" s="12"/>
      <c r="U169" s="12"/>
      <c r="V169" s="12"/>
      <c r="W169" s="12"/>
      <c r="X169" s="12"/>
      <c r="Y169" s="12"/>
      <c r="Z169" s="12"/>
      <c r="AA169" s="12"/>
    </row>
    <row r="170" ht="13.5" customHeight="1">
      <c r="A170" s="17"/>
      <c r="B170" s="12"/>
      <c r="C170" s="12"/>
      <c r="D170" s="17"/>
      <c r="E170" s="12"/>
      <c r="F170" s="12"/>
      <c r="G170" s="17"/>
      <c r="H170" s="17"/>
      <c r="I170" s="12"/>
      <c r="J170" s="12"/>
      <c r="K170" s="12"/>
      <c r="L170" s="12"/>
      <c r="M170" s="12"/>
      <c r="N170" s="12"/>
      <c r="O170" s="12"/>
      <c r="P170" s="12"/>
      <c r="Q170" s="12"/>
      <c r="R170" s="12"/>
      <c r="S170" s="12"/>
      <c r="T170" s="12"/>
      <c r="U170" s="12"/>
      <c r="V170" s="12"/>
      <c r="W170" s="12"/>
      <c r="X170" s="12"/>
      <c r="Y170" s="12"/>
      <c r="Z170" s="12"/>
      <c r="AA170" s="12"/>
    </row>
    <row r="171" ht="13.5" customHeight="1">
      <c r="A171" s="17"/>
      <c r="B171" s="12"/>
      <c r="C171" s="12"/>
      <c r="D171" s="17"/>
      <c r="E171" s="12"/>
      <c r="F171" s="12"/>
      <c r="G171" s="17"/>
      <c r="H171" s="17"/>
      <c r="I171" s="12"/>
      <c r="J171" s="12"/>
      <c r="K171" s="12"/>
      <c r="L171" s="12"/>
      <c r="M171" s="12"/>
      <c r="N171" s="12"/>
      <c r="O171" s="12"/>
      <c r="P171" s="12"/>
      <c r="Q171" s="12"/>
      <c r="R171" s="12"/>
      <c r="S171" s="12"/>
      <c r="T171" s="12"/>
      <c r="U171" s="12"/>
      <c r="V171" s="12"/>
      <c r="W171" s="12"/>
      <c r="X171" s="12"/>
      <c r="Y171" s="12"/>
      <c r="Z171" s="12"/>
      <c r="AA171" s="12"/>
    </row>
    <row r="172" ht="13.5" customHeight="1">
      <c r="A172" s="17"/>
      <c r="B172" s="12"/>
      <c r="C172" s="12"/>
      <c r="D172" s="17"/>
      <c r="E172" s="12"/>
      <c r="F172" s="12"/>
      <c r="G172" s="17"/>
      <c r="H172" s="17"/>
      <c r="I172" s="12"/>
      <c r="J172" s="12"/>
      <c r="K172" s="12"/>
      <c r="L172" s="12"/>
      <c r="M172" s="12"/>
      <c r="N172" s="12"/>
      <c r="O172" s="12"/>
      <c r="P172" s="12"/>
      <c r="Q172" s="12"/>
      <c r="R172" s="12"/>
      <c r="S172" s="12"/>
      <c r="T172" s="12"/>
      <c r="U172" s="12"/>
      <c r="V172" s="12"/>
      <c r="W172" s="12"/>
      <c r="X172" s="12"/>
      <c r="Y172" s="12"/>
      <c r="Z172" s="12"/>
      <c r="AA172" s="12"/>
    </row>
    <row r="173" ht="13.5" customHeight="1">
      <c r="A173" s="17"/>
      <c r="B173" s="12"/>
      <c r="C173" s="12"/>
      <c r="D173" s="17"/>
      <c r="E173" s="12"/>
      <c r="F173" s="12"/>
      <c r="G173" s="17"/>
      <c r="H173" s="17"/>
      <c r="I173" s="12"/>
      <c r="J173" s="12"/>
      <c r="K173" s="12"/>
      <c r="L173" s="12"/>
      <c r="M173" s="12"/>
      <c r="N173" s="12"/>
      <c r="O173" s="12"/>
      <c r="P173" s="12"/>
      <c r="Q173" s="12"/>
      <c r="R173" s="12"/>
      <c r="S173" s="12"/>
      <c r="T173" s="12"/>
      <c r="U173" s="12"/>
      <c r="V173" s="12"/>
      <c r="W173" s="12"/>
      <c r="X173" s="12"/>
      <c r="Y173" s="12"/>
      <c r="Z173" s="12"/>
      <c r="AA173" s="12"/>
    </row>
    <row r="174" ht="13.5" customHeight="1">
      <c r="A174" s="17"/>
      <c r="B174" s="12"/>
      <c r="C174" s="12"/>
      <c r="D174" s="17"/>
      <c r="E174" s="12"/>
      <c r="F174" s="12"/>
      <c r="G174" s="17"/>
      <c r="H174" s="17"/>
      <c r="I174" s="12"/>
      <c r="J174" s="12"/>
      <c r="K174" s="12"/>
      <c r="L174" s="12"/>
      <c r="M174" s="12"/>
      <c r="N174" s="12"/>
      <c r="O174" s="12"/>
      <c r="P174" s="12"/>
      <c r="Q174" s="12"/>
      <c r="R174" s="12"/>
      <c r="S174" s="12"/>
      <c r="T174" s="12"/>
      <c r="U174" s="12"/>
      <c r="V174" s="12"/>
      <c r="W174" s="12"/>
      <c r="X174" s="12"/>
      <c r="Y174" s="12"/>
      <c r="Z174" s="12"/>
      <c r="AA174" s="12"/>
    </row>
    <row r="175" ht="13.5" customHeight="1">
      <c r="A175" s="17"/>
      <c r="B175" s="12"/>
      <c r="C175" s="12"/>
      <c r="D175" s="17"/>
      <c r="E175" s="12"/>
      <c r="F175" s="12"/>
      <c r="G175" s="17"/>
      <c r="H175" s="17"/>
      <c r="I175" s="12"/>
      <c r="J175" s="12"/>
      <c r="K175" s="12"/>
      <c r="L175" s="12"/>
      <c r="M175" s="12"/>
      <c r="N175" s="12"/>
      <c r="O175" s="12"/>
      <c r="P175" s="12"/>
      <c r="Q175" s="12"/>
      <c r="R175" s="12"/>
      <c r="S175" s="12"/>
      <c r="T175" s="12"/>
      <c r="U175" s="12"/>
      <c r="V175" s="12"/>
      <c r="W175" s="12"/>
      <c r="X175" s="12"/>
      <c r="Y175" s="12"/>
      <c r="Z175" s="12"/>
      <c r="AA175" s="12"/>
    </row>
    <row r="176" ht="13.5" customHeight="1">
      <c r="A176" s="17"/>
      <c r="B176" s="12"/>
      <c r="C176" s="12"/>
      <c r="D176" s="17"/>
      <c r="E176" s="12"/>
      <c r="F176" s="12"/>
      <c r="G176" s="17"/>
      <c r="H176" s="17"/>
      <c r="I176" s="12"/>
      <c r="J176" s="12"/>
      <c r="K176" s="12"/>
      <c r="L176" s="12"/>
      <c r="M176" s="12"/>
      <c r="N176" s="12"/>
      <c r="O176" s="12"/>
      <c r="P176" s="12"/>
      <c r="Q176" s="12"/>
      <c r="R176" s="12"/>
      <c r="S176" s="12"/>
      <c r="T176" s="12"/>
      <c r="U176" s="12"/>
      <c r="V176" s="12"/>
      <c r="W176" s="12"/>
      <c r="X176" s="12"/>
      <c r="Y176" s="12"/>
      <c r="Z176" s="12"/>
      <c r="AA176" s="12"/>
    </row>
    <row r="177" ht="13.5" customHeight="1">
      <c r="A177" s="17"/>
      <c r="B177" s="12"/>
      <c r="C177" s="12"/>
      <c r="D177" s="17"/>
      <c r="E177" s="12"/>
      <c r="F177" s="12"/>
      <c r="G177" s="17"/>
      <c r="H177" s="17"/>
      <c r="I177" s="12"/>
      <c r="J177" s="12"/>
      <c r="K177" s="12"/>
      <c r="L177" s="12"/>
      <c r="M177" s="12"/>
      <c r="N177" s="12"/>
      <c r="O177" s="12"/>
      <c r="P177" s="12"/>
      <c r="Q177" s="12"/>
      <c r="R177" s="12"/>
      <c r="S177" s="12"/>
      <c r="T177" s="12"/>
      <c r="U177" s="12"/>
      <c r="V177" s="12"/>
      <c r="W177" s="12"/>
      <c r="X177" s="12"/>
      <c r="Y177" s="12"/>
      <c r="Z177" s="12"/>
      <c r="AA177" s="12"/>
    </row>
    <row r="178" ht="13.5" customHeight="1">
      <c r="A178" s="17"/>
      <c r="B178" s="12"/>
      <c r="C178" s="12"/>
      <c r="D178" s="17"/>
      <c r="E178" s="12"/>
      <c r="F178" s="12"/>
      <c r="G178" s="17"/>
      <c r="H178" s="17"/>
      <c r="I178" s="12"/>
      <c r="J178" s="12"/>
      <c r="K178" s="12"/>
      <c r="L178" s="12"/>
      <c r="M178" s="12"/>
      <c r="N178" s="12"/>
      <c r="O178" s="12"/>
      <c r="P178" s="12"/>
      <c r="Q178" s="12"/>
      <c r="R178" s="12"/>
      <c r="S178" s="12"/>
      <c r="T178" s="12"/>
      <c r="U178" s="12"/>
      <c r="V178" s="12"/>
      <c r="W178" s="12"/>
      <c r="X178" s="12"/>
      <c r="Y178" s="12"/>
      <c r="Z178" s="12"/>
      <c r="AA178" s="12"/>
    </row>
    <row r="179" ht="13.5" customHeight="1">
      <c r="A179" s="17"/>
      <c r="B179" s="12"/>
      <c r="C179" s="12"/>
      <c r="D179" s="17"/>
      <c r="E179" s="12"/>
      <c r="F179" s="12"/>
      <c r="G179" s="17"/>
      <c r="H179" s="17"/>
      <c r="I179" s="12"/>
      <c r="J179" s="12"/>
      <c r="K179" s="12"/>
      <c r="L179" s="12"/>
      <c r="M179" s="12"/>
      <c r="N179" s="12"/>
      <c r="O179" s="12"/>
      <c r="P179" s="12"/>
      <c r="Q179" s="12"/>
      <c r="R179" s="12"/>
      <c r="S179" s="12"/>
      <c r="T179" s="12"/>
      <c r="U179" s="12"/>
      <c r="V179" s="12"/>
      <c r="W179" s="12"/>
      <c r="X179" s="12"/>
      <c r="Y179" s="12"/>
      <c r="Z179" s="12"/>
      <c r="AA179" s="12"/>
    </row>
    <row r="180" ht="13.5" customHeight="1">
      <c r="A180" s="17"/>
      <c r="B180" s="12"/>
      <c r="C180" s="12"/>
      <c r="D180" s="17"/>
      <c r="E180" s="12"/>
      <c r="F180" s="12"/>
      <c r="G180" s="17"/>
      <c r="H180" s="17"/>
      <c r="I180" s="12"/>
      <c r="J180" s="12"/>
      <c r="K180" s="12"/>
      <c r="L180" s="12"/>
      <c r="M180" s="12"/>
      <c r="N180" s="12"/>
      <c r="O180" s="12"/>
      <c r="P180" s="12"/>
      <c r="Q180" s="12"/>
      <c r="R180" s="12"/>
      <c r="S180" s="12"/>
      <c r="T180" s="12"/>
      <c r="U180" s="12"/>
      <c r="V180" s="12"/>
      <c r="W180" s="12"/>
      <c r="X180" s="12"/>
      <c r="Y180" s="12"/>
      <c r="Z180" s="12"/>
      <c r="AA180" s="12"/>
    </row>
    <row r="181" ht="13.5" customHeight="1">
      <c r="A181" s="17"/>
      <c r="B181" s="12"/>
      <c r="C181" s="12"/>
      <c r="D181" s="17"/>
      <c r="E181" s="12"/>
      <c r="F181" s="12"/>
      <c r="G181" s="17"/>
      <c r="H181" s="17"/>
      <c r="I181" s="12"/>
      <c r="J181" s="12"/>
      <c r="K181" s="12"/>
      <c r="L181" s="12"/>
      <c r="M181" s="12"/>
      <c r="N181" s="12"/>
      <c r="O181" s="12"/>
      <c r="P181" s="12"/>
      <c r="Q181" s="12"/>
      <c r="R181" s="12"/>
      <c r="S181" s="12"/>
      <c r="T181" s="12"/>
      <c r="U181" s="12"/>
      <c r="V181" s="12"/>
      <c r="W181" s="12"/>
      <c r="X181" s="12"/>
      <c r="Y181" s="12"/>
      <c r="Z181" s="12"/>
      <c r="AA181" s="12"/>
    </row>
    <row r="182" ht="13.5" customHeight="1">
      <c r="A182" s="17"/>
      <c r="B182" s="12"/>
      <c r="C182" s="12"/>
      <c r="D182" s="17"/>
      <c r="E182" s="12"/>
      <c r="F182" s="12"/>
      <c r="G182" s="17"/>
      <c r="H182" s="17"/>
      <c r="I182" s="12"/>
      <c r="J182" s="12"/>
      <c r="K182" s="12"/>
      <c r="L182" s="12"/>
      <c r="M182" s="12"/>
      <c r="N182" s="12"/>
      <c r="O182" s="12"/>
      <c r="P182" s="12"/>
      <c r="Q182" s="12"/>
      <c r="R182" s="12"/>
      <c r="S182" s="12"/>
      <c r="T182" s="12"/>
      <c r="U182" s="12"/>
      <c r="V182" s="12"/>
      <c r="W182" s="12"/>
      <c r="X182" s="12"/>
      <c r="Y182" s="12"/>
      <c r="Z182" s="12"/>
      <c r="AA182" s="12"/>
    </row>
    <row r="183" ht="13.5" customHeight="1">
      <c r="A183" s="17"/>
      <c r="B183" s="12"/>
      <c r="C183" s="12"/>
      <c r="D183" s="17"/>
      <c r="E183" s="12"/>
      <c r="F183" s="12"/>
      <c r="G183" s="17"/>
      <c r="H183" s="17"/>
      <c r="I183" s="12"/>
      <c r="J183" s="12"/>
      <c r="K183" s="12"/>
      <c r="L183" s="12"/>
      <c r="M183" s="12"/>
      <c r="N183" s="12"/>
      <c r="O183" s="12"/>
      <c r="P183" s="12"/>
      <c r="Q183" s="12"/>
      <c r="R183" s="12"/>
      <c r="S183" s="12"/>
      <c r="T183" s="12"/>
      <c r="U183" s="12"/>
      <c r="V183" s="12"/>
      <c r="W183" s="12"/>
      <c r="X183" s="12"/>
      <c r="Y183" s="12"/>
      <c r="Z183" s="12"/>
      <c r="AA183" s="12"/>
    </row>
    <row r="184" ht="13.5" customHeight="1">
      <c r="A184" s="17"/>
      <c r="B184" s="12"/>
      <c r="C184" s="12"/>
      <c r="D184" s="17"/>
      <c r="E184" s="12"/>
      <c r="F184" s="12"/>
      <c r="G184" s="17"/>
      <c r="H184" s="17"/>
      <c r="I184" s="12"/>
      <c r="J184" s="12"/>
      <c r="K184" s="12"/>
      <c r="L184" s="12"/>
      <c r="M184" s="12"/>
      <c r="N184" s="12"/>
      <c r="O184" s="12"/>
      <c r="P184" s="12"/>
      <c r="Q184" s="12"/>
      <c r="R184" s="12"/>
      <c r="S184" s="12"/>
      <c r="T184" s="12"/>
      <c r="U184" s="12"/>
      <c r="V184" s="12"/>
      <c r="W184" s="12"/>
      <c r="X184" s="12"/>
      <c r="Y184" s="12"/>
      <c r="Z184" s="12"/>
      <c r="AA184" s="12"/>
    </row>
    <row r="185" ht="13.5" customHeight="1">
      <c r="A185" s="17"/>
      <c r="B185" s="12"/>
      <c r="C185" s="12"/>
      <c r="D185" s="17"/>
      <c r="E185" s="12"/>
      <c r="F185" s="12"/>
      <c r="G185" s="17"/>
      <c r="H185" s="17"/>
      <c r="I185" s="12"/>
      <c r="J185" s="12"/>
      <c r="K185" s="12"/>
      <c r="L185" s="12"/>
      <c r="M185" s="12"/>
      <c r="N185" s="12"/>
      <c r="O185" s="12"/>
      <c r="P185" s="12"/>
      <c r="Q185" s="12"/>
      <c r="R185" s="12"/>
      <c r="S185" s="12"/>
      <c r="T185" s="12"/>
      <c r="U185" s="12"/>
      <c r="V185" s="12"/>
      <c r="W185" s="12"/>
      <c r="X185" s="12"/>
      <c r="Y185" s="12"/>
      <c r="Z185" s="12"/>
      <c r="AA185" s="12"/>
    </row>
    <row r="186" ht="13.5" customHeight="1">
      <c r="A186" s="17"/>
      <c r="B186" s="12"/>
      <c r="C186" s="12"/>
      <c r="D186" s="17"/>
      <c r="E186" s="12"/>
      <c r="F186" s="12"/>
      <c r="G186" s="17"/>
      <c r="H186" s="17"/>
      <c r="I186" s="12"/>
      <c r="J186" s="12"/>
      <c r="K186" s="12"/>
      <c r="L186" s="12"/>
      <c r="M186" s="12"/>
      <c r="N186" s="12"/>
      <c r="O186" s="12"/>
      <c r="P186" s="12"/>
      <c r="Q186" s="12"/>
      <c r="R186" s="12"/>
      <c r="S186" s="12"/>
      <c r="T186" s="12"/>
      <c r="U186" s="12"/>
      <c r="V186" s="12"/>
      <c r="W186" s="12"/>
      <c r="X186" s="12"/>
      <c r="Y186" s="12"/>
      <c r="Z186" s="12"/>
      <c r="AA186" s="12"/>
    </row>
    <row r="187" ht="13.5" customHeight="1">
      <c r="A187" s="17"/>
      <c r="B187" s="12"/>
      <c r="C187" s="12"/>
      <c r="D187" s="17"/>
      <c r="E187" s="12"/>
      <c r="F187" s="12"/>
      <c r="G187" s="17"/>
      <c r="H187" s="17"/>
      <c r="I187" s="12"/>
      <c r="J187" s="12"/>
      <c r="K187" s="12"/>
      <c r="L187" s="12"/>
      <c r="M187" s="12"/>
      <c r="N187" s="12"/>
      <c r="O187" s="12"/>
      <c r="P187" s="12"/>
      <c r="Q187" s="12"/>
      <c r="R187" s="12"/>
      <c r="S187" s="12"/>
      <c r="T187" s="12"/>
      <c r="U187" s="12"/>
      <c r="V187" s="12"/>
      <c r="W187" s="12"/>
      <c r="X187" s="12"/>
      <c r="Y187" s="12"/>
      <c r="Z187" s="12"/>
      <c r="AA187" s="12"/>
    </row>
    <row r="188" ht="13.5" customHeight="1">
      <c r="A188" s="17"/>
      <c r="B188" s="12"/>
      <c r="C188" s="12"/>
      <c r="D188" s="17"/>
      <c r="E188" s="12"/>
      <c r="F188" s="12"/>
      <c r="G188" s="17"/>
      <c r="H188" s="17"/>
      <c r="I188" s="12"/>
      <c r="J188" s="12"/>
      <c r="K188" s="12"/>
      <c r="L188" s="12"/>
      <c r="M188" s="12"/>
      <c r="N188" s="12"/>
      <c r="O188" s="12"/>
      <c r="P188" s="12"/>
      <c r="Q188" s="12"/>
      <c r="R188" s="12"/>
      <c r="S188" s="12"/>
      <c r="T188" s="12"/>
      <c r="U188" s="12"/>
      <c r="V188" s="12"/>
      <c r="W188" s="12"/>
      <c r="X188" s="12"/>
      <c r="Y188" s="12"/>
      <c r="Z188" s="12"/>
      <c r="AA188" s="12"/>
    </row>
    <row r="189" ht="13.5" customHeight="1">
      <c r="A189" s="17"/>
      <c r="B189" s="12"/>
      <c r="C189" s="12"/>
      <c r="D189" s="17"/>
      <c r="E189" s="12"/>
      <c r="F189" s="12"/>
      <c r="G189" s="17"/>
      <c r="H189" s="17"/>
      <c r="I189" s="12"/>
      <c r="J189" s="12"/>
      <c r="K189" s="12"/>
      <c r="L189" s="12"/>
      <c r="M189" s="12"/>
      <c r="N189" s="12"/>
      <c r="O189" s="12"/>
      <c r="P189" s="12"/>
      <c r="Q189" s="12"/>
      <c r="R189" s="12"/>
      <c r="S189" s="12"/>
      <c r="T189" s="12"/>
      <c r="U189" s="12"/>
      <c r="V189" s="12"/>
      <c r="W189" s="12"/>
      <c r="X189" s="12"/>
      <c r="Y189" s="12"/>
      <c r="Z189" s="12"/>
      <c r="AA189" s="12"/>
    </row>
    <row r="190" ht="13.5" customHeight="1">
      <c r="A190" s="17"/>
      <c r="B190" s="12"/>
      <c r="C190" s="12"/>
      <c r="D190" s="17"/>
      <c r="E190" s="12"/>
      <c r="F190" s="12"/>
      <c r="G190" s="17"/>
      <c r="H190" s="17"/>
      <c r="I190" s="12"/>
      <c r="J190" s="12"/>
      <c r="K190" s="12"/>
      <c r="L190" s="12"/>
      <c r="M190" s="12"/>
      <c r="N190" s="12"/>
      <c r="O190" s="12"/>
      <c r="P190" s="12"/>
      <c r="Q190" s="12"/>
      <c r="R190" s="12"/>
      <c r="S190" s="12"/>
      <c r="T190" s="12"/>
      <c r="U190" s="12"/>
      <c r="V190" s="12"/>
      <c r="W190" s="12"/>
      <c r="X190" s="12"/>
      <c r="Y190" s="12"/>
      <c r="Z190" s="12"/>
      <c r="AA190" s="12"/>
    </row>
    <row r="191" ht="13.5" customHeight="1">
      <c r="A191" s="17"/>
      <c r="B191" s="12"/>
      <c r="C191" s="12"/>
      <c r="D191" s="17"/>
      <c r="E191" s="12"/>
      <c r="F191" s="12"/>
      <c r="G191" s="17"/>
      <c r="H191" s="17"/>
      <c r="I191" s="12"/>
      <c r="J191" s="12"/>
      <c r="K191" s="12"/>
      <c r="L191" s="12"/>
      <c r="M191" s="12"/>
      <c r="N191" s="12"/>
      <c r="O191" s="12"/>
      <c r="P191" s="12"/>
      <c r="Q191" s="12"/>
      <c r="R191" s="12"/>
      <c r="S191" s="12"/>
      <c r="T191" s="12"/>
      <c r="U191" s="12"/>
      <c r="V191" s="12"/>
      <c r="W191" s="12"/>
      <c r="X191" s="12"/>
      <c r="Y191" s="12"/>
      <c r="Z191" s="12"/>
      <c r="AA191" s="12"/>
    </row>
    <row r="192" ht="13.5" customHeight="1">
      <c r="A192" s="17"/>
      <c r="B192" s="12"/>
      <c r="C192" s="12"/>
      <c r="D192" s="17"/>
      <c r="E192" s="12"/>
      <c r="F192" s="12"/>
      <c r="G192" s="17"/>
      <c r="H192" s="17"/>
      <c r="I192" s="12"/>
      <c r="J192" s="12"/>
      <c r="K192" s="12"/>
      <c r="L192" s="12"/>
      <c r="M192" s="12"/>
      <c r="N192" s="12"/>
      <c r="O192" s="12"/>
      <c r="P192" s="12"/>
      <c r="Q192" s="12"/>
      <c r="R192" s="12"/>
      <c r="S192" s="12"/>
      <c r="T192" s="12"/>
      <c r="U192" s="12"/>
      <c r="V192" s="12"/>
      <c r="W192" s="12"/>
      <c r="X192" s="12"/>
      <c r="Y192" s="12"/>
      <c r="Z192" s="12"/>
      <c r="AA192" s="12"/>
    </row>
    <row r="193" ht="13.5" customHeight="1">
      <c r="A193" s="17"/>
      <c r="B193" s="12"/>
      <c r="C193" s="12"/>
      <c r="D193" s="17"/>
      <c r="E193" s="12"/>
      <c r="F193" s="12"/>
      <c r="G193" s="17"/>
      <c r="H193" s="17"/>
      <c r="I193" s="12"/>
      <c r="J193" s="12"/>
      <c r="K193" s="12"/>
      <c r="L193" s="12"/>
      <c r="M193" s="12"/>
      <c r="N193" s="12"/>
      <c r="O193" s="12"/>
      <c r="P193" s="12"/>
      <c r="Q193" s="12"/>
      <c r="R193" s="12"/>
      <c r="S193" s="12"/>
      <c r="T193" s="12"/>
      <c r="U193" s="12"/>
      <c r="V193" s="12"/>
      <c r="W193" s="12"/>
      <c r="X193" s="12"/>
      <c r="Y193" s="12"/>
      <c r="Z193" s="12"/>
      <c r="AA193" s="12"/>
    </row>
    <row r="194" ht="13.5" customHeight="1">
      <c r="A194" s="17"/>
      <c r="B194" s="12"/>
      <c r="C194" s="12"/>
      <c r="D194" s="17"/>
      <c r="E194" s="12"/>
      <c r="F194" s="12"/>
      <c r="G194" s="17"/>
      <c r="H194" s="17"/>
      <c r="I194" s="12"/>
      <c r="J194" s="12"/>
      <c r="K194" s="12"/>
      <c r="L194" s="12"/>
      <c r="M194" s="12"/>
      <c r="N194" s="12"/>
      <c r="O194" s="12"/>
      <c r="P194" s="12"/>
      <c r="Q194" s="12"/>
      <c r="R194" s="12"/>
      <c r="S194" s="12"/>
      <c r="T194" s="12"/>
      <c r="U194" s="12"/>
      <c r="V194" s="12"/>
      <c r="W194" s="12"/>
      <c r="X194" s="12"/>
      <c r="Y194" s="12"/>
      <c r="Z194" s="12"/>
      <c r="AA194" s="12"/>
    </row>
    <row r="195" ht="13.5" customHeight="1">
      <c r="A195" s="17"/>
      <c r="B195" s="12"/>
      <c r="C195" s="12"/>
      <c r="D195" s="17"/>
      <c r="E195" s="12"/>
      <c r="F195" s="12"/>
      <c r="G195" s="17"/>
      <c r="H195" s="17"/>
      <c r="I195" s="12"/>
      <c r="J195" s="12"/>
      <c r="K195" s="12"/>
      <c r="L195" s="12"/>
      <c r="M195" s="12"/>
      <c r="N195" s="12"/>
      <c r="O195" s="12"/>
      <c r="P195" s="12"/>
      <c r="Q195" s="12"/>
      <c r="R195" s="12"/>
      <c r="S195" s="12"/>
      <c r="T195" s="12"/>
      <c r="U195" s="12"/>
      <c r="V195" s="12"/>
      <c r="W195" s="12"/>
      <c r="X195" s="12"/>
      <c r="Y195" s="12"/>
      <c r="Z195" s="12"/>
      <c r="AA195" s="12"/>
    </row>
    <row r="196" ht="13.5" customHeight="1">
      <c r="A196" s="17"/>
      <c r="B196" s="12"/>
      <c r="C196" s="12"/>
      <c r="D196" s="17"/>
      <c r="E196" s="12"/>
      <c r="F196" s="12"/>
      <c r="G196" s="17"/>
      <c r="H196" s="17"/>
      <c r="I196" s="12"/>
      <c r="J196" s="12"/>
      <c r="K196" s="12"/>
      <c r="L196" s="12"/>
      <c r="M196" s="12"/>
      <c r="N196" s="12"/>
      <c r="O196" s="12"/>
      <c r="P196" s="12"/>
      <c r="Q196" s="12"/>
      <c r="R196" s="12"/>
      <c r="S196" s="12"/>
      <c r="T196" s="12"/>
      <c r="U196" s="12"/>
      <c r="V196" s="12"/>
      <c r="W196" s="12"/>
      <c r="X196" s="12"/>
      <c r="Y196" s="12"/>
      <c r="Z196" s="12"/>
      <c r="AA196" s="12"/>
    </row>
    <row r="197" ht="13.5" customHeight="1">
      <c r="A197" s="17"/>
      <c r="B197" s="12"/>
      <c r="C197" s="12"/>
      <c r="D197" s="17"/>
      <c r="E197" s="12"/>
      <c r="F197" s="12"/>
      <c r="G197" s="17"/>
      <c r="H197" s="17"/>
      <c r="I197" s="12"/>
      <c r="J197" s="12"/>
      <c r="K197" s="12"/>
      <c r="L197" s="12"/>
      <c r="M197" s="12"/>
      <c r="N197" s="12"/>
      <c r="O197" s="12"/>
      <c r="P197" s="12"/>
      <c r="Q197" s="12"/>
      <c r="R197" s="12"/>
      <c r="S197" s="12"/>
      <c r="T197" s="12"/>
      <c r="U197" s="12"/>
      <c r="V197" s="12"/>
      <c r="W197" s="12"/>
      <c r="X197" s="12"/>
      <c r="Y197" s="12"/>
      <c r="Z197" s="12"/>
      <c r="AA197" s="12"/>
    </row>
    <row r="198" ht="13.5" customHeight="1">
      <c r="A198" s="17"/>
      <c r="B198" s="12"/>
      <c r="C198" s="12"/>
      <c r="D198" s="17"/>
      <c r="E198" s="12"/>
      <c r="F198" s="12"/>
      <c r="G198" s="17"/>
      <c r="H198" s="17"/>
      <c r="I198" s="12"/>
      <c r="J198" s="12"/>
      <c r="K198" s="12"/>
      <c r="L198" s="12"/>
      <c r="M198" s="12"/>
      <c r="N198" s="12"/>
      <c r="O198" s="12"/>
      <c r="P198" s="12"/>
      <c r="Q198" s="12"/>
      <c r="R198" s="12"/>
      <c r="S198" s="12"/>
      <c r="T198" s="12"/>
      <c r="U198" s="12"/>
      <c r="V198" s="12"/>
      <c r="W198" s="12"/>
      <c r="X198" s="12"/>
      <c r="Y198" s="12"/>
      <c r="Z198" s="12"/>
      <c r="AA198" s="12"/>
    </row>
    <row r="199" ht="13.5" customHeight="1">
      <c r="A199" s="17"/>
      <c r="B199" s="12"/>
      <c r="C199" s="12"/>
      <c r="D199" s="17"/>
      <c r="E199" s="12"/>
      <c r="F199" s="12"/>
      <c r="G199" s="17"/>
      <c r="H199" s="17"/>
      <c r="I199" s="12"/>
      <c r="J199" s="12"/>
      <c r="K199" s="12"/>
      <c r="L199" s="12"/>
      <c r="M199" s="12"/>
      <c r="N199" s="12"/>
      <c r="O199" s="12"/>
      <c r="P199" s="12"/>
      <c r="Q199" s="12"/>
      <c r="R199" s="12"/>
      <c r="S199" s="12"/>
      <c r="T199" s="12"/>
      <c r="U199" s="12"/>
      <c r="V199" s="12"/>
      <c r="W199" s="12"/>
      <c r="X199" s="12"/>
      <c r="Y199" s="12"/>
      <c r="Z199" s="12"/>
      <c r="AA199" s="12"/>
    </row>
    <row r="200" ht="13.5" customHeight="1">
      <c r="A200" s="17"/>
      <c r="B200" s="12"/>
      <c r="C200" s="12"/>
      <c r="D200" s="17"/>
      <c r="E200" s="12"/>
      <c r="F200" s="12"/>
      <c r="G200" s="17"/>
      <c r="H200" s="17"/>
      <c r="I200" s="12"/>
      <c r="J200" s="12"/>
      <c r="K200" s="12"/>
      <c r="L200" s="12"/>
      <c r="M200" s="12"/>
      <c r="N200" s="12"/>
      <c r="O200" s="12"/>
      <c r="P200" s="12"/>
      <c r="Q200" s="12"/>
      <c r="R200" s="12"/>
      <c r="S200" s="12"/>
      <c r="T200" s="12"/>
      <c r="U200" s="12"/>
      <c r="V200" s="12"/>
      <c r="W200" s="12"/>
      <c r="X200" s="12"/>
      <c r="Y200" s="12"/>
      <c r="Z200" s="12"/>
      <c r="AA200" s="12"/>
    </row>
    <row r="201" ht="13.5" customHeight="1">
      <c r="A201" s="17"/>
      <c r="B201" s="12"/>
      <c r="C201" s="12"/>
      <c r="D201" s="17"/>
      <c r="E201" s="12"/>
      <c r="F201" s="12"/>
      <c r="G201" s="17"/>
      <c r="H201" s="17"/>
      <c r="I201" s="12"/>
      <c r="J201" s="12"/>
      <c r="K201" s="12"/>
      <c r="L201" s="12"/>
      <c r="M201" s="12"/>
      <c r="N201" s="12"/>
      <c r="O201" s="12"/>
      <c r="P201" s="12"/>
      <c r="Q201" s="12"/>
      <c r="R201" s="12"/>
      <c r="S201" s="12"/>
      <c r="T201" s="12"/>
      <c r="U201" s="12"/>
      <c r="V201" s="12"/>
      <c r="W201" s="12"/>
      <c r="X201" s="12"/>
      <c r="Y201" s="12"/>
      <c r="Z201" s="12"/>
      <c r="AA201" s="12"/>
    </row>
    <row r="202" ht="13.5" customHeight="1">
      <c r="A202" s="17"/>
      <c r="B202" s="12"/>
      <c r="C202" s="12"/>
      <c r="D202" s="17"/>
      <c r="E202" s="12"/>
      <c r="F202" s="12"/>
      <c r="G202" s="17"/>
      <c r="H202" s="17"/>
      <c r="I202" s="12"/>
      <c r="J202" s="12"/>
      <c r="K202" s="12"/>
      <c r="L202" s="12"/>
      <c r="M202" s="12"/>
      <c r="N202" s="12"/>
      <c r="O202" s="12"/>
      <c r="P202" s="12"/>
      <c r="Q202" s="12"/>
      <c r="R202" s="12"/>
      <c r="S202" s="12"/>
      <c r="T202" s="12"/>
      <c r="U202" s="12"/>
      <c r="V202" s="12"/>
      <c r="W202" s="12"/>
      <c r="X202" s="12"/>
      <c r="Y202" s="12"/>
      <c r="Z202" s="12"/>
      <c r="AA202" s="12"/>
    </row>
    <row r="203" ht="13.5" customHeight="1">
      <c r="A203" s="17"/>
      <c r="B203" s="12"/>
      <c r="C203" s="12"/>
      <c r="D203" s="17"/>
      <c r="E203" s="12"/>
      <c r="F203" s="12"/>
      <c r="G203" s="17"/>
      <c r="H203" s="17"/>
      <c r="I203" s="12"/>
      <c r="J203" s="12"/>
      <c r="K203" s="12"/>
      <c r="L203" s="12"/>
      <c r="M203" s="12"/>
      <c r="N203" s="12"/>
      <c r="O203" s="12"/>
      <c r="P203" s="12"/>
      <c r="Q203" s="12"/>
      <c r="R203" s="12"/>
      <c r="S203" s="12"/>
      <c r="T203" s="12"/>
      <c r="U203" s="12"/>
      <c r="V203" s="12"/>
      <c r="W203" s="12"/>
      <c r="X203" s="12"/>
      <c r="Y203" s="12"/>
      <c r="Z203" s="12"/>
      <c r="AA203" s="12"/>
    </row>
    <row r="204" ht="13.5" customHeight="1">
      <c r="A204" s="17"/>
      <c r="B204" s="12"/>
      <c r="C204" s="12"/>
      <c r="D204" s="17"/>
      <c r="E204" s="12"/>
      <c r="F204" s="12"/>
      <c r="G204" s="17"/>
      <c r="H204" s="17"/>
      <c r="I204" s="12"/>
      <c r="J204" s="12"/>
      <c r="K204" s="12"/>
      <c r="L204" s="12"/>
      <c r="M204" s="12"/>
      <c r="N204" s="12"/>
      <c r="O204" s="12"/>
      <c r="P204" s="12"/>
      <c r="Q204" s="12"/>
      <c r="R204" s="12"/>
      <c r="S204" s="12"/>
      <c r="T204" s="12"/>
      <c r="U204" s="12"/>
      <c r="V204" s="12"/>
      <c r="W204" s="12"/>
      <c r="X204" s="12"/>
      <c r="Y204" s="12"/>
      <c r="Z204" s="12"/>
      <c r="AA204" s="12"/>
    </row>
    <row r="205" ht="13.5" customHeight="1">
      <c r="A205" s="17"/>
      <c r="B205" s="12"/>
      <c r="C205" s="12"/>
      <c r="D205" s="17"/>
      <c r="E205" s="12"/>
      <c r="F205" s="12"/>
      <c r="G205" s="17"/>
      <c r="H205" s="17"/>
      <c r="I205" s="12"/>
      <c r="J205" s="12"/>
      <c r="K205" s="12"/>
      <c r="L205" s="12"/>
      <c r="M205" s="12"/>
      <c r="N205" s="12"/>
      <c r="O205" s="12"/>
      <c r="P205" s="12"/>
      <c r="Q205" s="12"/>
      <c r="R205" s="12"/>
      <c r="S205" s="12"/>
      <c r="T205" s="12"/>
      <c r="U205" s="12"/>
      <c r="V205" s="12"/>
      <c r="W205" s="12"/>
      <c r="X205" s="12"/>
      <c r="Y205" s="12"/>
      <c r="Z205" s="12"/>
      <c r="AA205" s="12"/>
    </row>
    <row r="206" ht="13.5" customHeight="1">
      <c r="A206" s="17"/>
      <c r="B206" s="12"/>
      <c r="C206" s="12"/>
      <c r="D206" s="17"/>
      <c r="E206" s="12"/>
      <c r="F206" s="12"/>
      <c r="G206" s="17"/>
      <c r="H206" s="17"/>
      <c r="I206" s="12"/>
      <c r="J206" s="12"/>
      <c r="K206" s="12"/>
      <c r="L206" s="12"/>
      <c r="M206" s="12"/>
      <c r="N206" s="12"/>
      <c r="O206" s="12"/>
      <c r="P206" s="12"/>
      <c r="Q206" s="12"/>
      <c r="R206" s="12"/>
      <c r="S206" s="12"/>
      <c r="T206" s="12"/>
      <c r="U206" s="12"/>
      <c r="V206" s="12"/>
      <c r="W206" s="12"/>
      <c r="X206" s="12"/>
      <c r="Y206" s="12"/>
      <c r="Z206" s="12"/>
      <c r="AA206" s="12"/>
    </row>
    <row r="207" ht="13.5" customHeight="1">
      <c r="A207" s="17"/>
      <c r="B207" s="12"/>
      <c r="C207" s="12"/>
      <c r="D207" s="17"/>
      <c r="E207" s="12"/>
      <c r="F207" s="12"/>
      <c r="G207" s="17"/>
      <c r="H207" s="17"/>
      <c r="I207" s="12"/>
      <c r="J207" s="12"/>
      <c r="K207" s="12"/>
      <c r="L207" s="12"/>
      <c r="M207" s="12"/>
      <c r="N207" s="12"/>
      <c r="O207" s="12"/>
      <c r="P207" s="12"/>
      <c r="Q207" s="12"/>
      <c r="R207" s="12"/>
      <c r="S207" s="12"/>
      <c r="T207" s="12"/>
      <c r="U207" s="12"/>
      <c r="V207" s="12"/>
      <c r="W207" s="12"/>
      <c r="X207" s="12"/>
      <c r="Y207" s="12"/>
      <c r="Z207" s="12"/>
      <c r="AA207" s="12"/>
    </row>
    <row r="208" ht="13.5" customHeight="1">
      <c r="A208" s="17"/>
      <c r="B208" s="12"/>
      <c r="C208" s="12"/>
      <c r="D208" s="17"/>
      <c r="E208" s="12"/>
      <c r="F208" s="12"/>
      <c r="G208" s="17"/>
      <c r="H208" s="17"/>
      <c r="I208" s="12"/>
      <c r="J208" s="12"/>
      <c r="K208" s="12"/>
      <c r="L208" s="12"/>
      <c r="M208" s="12"/>
      <c r="N208" s="12"/>
      <c r="O208" s="12"/>
      <c r="P208" s="12"/>
      <c r="Q208" s="12"/>
      <c r="R208" s="12"/>
      <c r="S208" s="12"/>
      <c r="T208" s="12"/>
      <c r="U208" s="12"/>
      <c r="V208" s="12"/>
      <c r="W208" s="12"/>
      <c r="X208" s="12"/>
      <c r="Y208" s="12"/>
      <c r="Z208" s="12"/>
      <c r="AA208" s="12"/>
    </row>
    <row r="209" ht="13.5" customHeight="1">
      <c r="A209" s="17"/>
      <c r="B209" s="12"/>
      <c r="C209" s="12"/>
      <c r="D209" s="17"/>
      <c r="E209" s="12"/>
      <c r="F209" s="12"/>
      <c r="G209" s="17"/>
      <c r="H209" s="17"/>
      <c r="I209" s="12"/>
      <c r="J209" s="12"/>
      <c r="K209" s="12"/>
      <c r="L209" s="12"/>
      <c r="M209" s="12"/>
      <c r="N209" s="12"/>
      <c r="O209" s="12"/>
      <c r="P209" s="12"/>
      <c r="Q209" s="12"/>
      <c r="R209" s="12"/>
      <c r="S209" s="12"/>
      <c r="T209" s="12"/>
      <c r="U209" s="12"/>
      <c r="V209" s="12"/>
      <c r="W209" s="12"/>
      <c r="X209" s="12"/>
      <c r="Y209" s="12"/>
      <c r="Z209" s="12"/>
      <c r="AA209" s="12"/>
    </row>
    <row r="210" ht="13.5" customHeight="1">
      <c r="A210" s="17"/>
      <c r="B210" s="12"/>
      <c r="C210" s="12"/>
      <c r="D210" s="17"/>
      <c r="E210" s="12"/>
      <c r="F210" s="12"/>
      <c r="G210" s="17"/>
      <c r="H210" s="17"/>
      <c r="I210" s="12"/>
      <c r="J210" s="12"/>
      <c r="K210" s="12"/>
      <c r="L210" s="12"/>
      <c r="M210" s="12"/>
      <c r="N210" s="12"/>
      <c r="O210" s="12"/>
      <c r="P210" s="12"/>
      <c r="Q210" s="12"/>
      <c r="R210" s="12"/>
      <c r="S210" s="12"/>
      <c r="T210" s="12"/>
      <c r="U210" s="12"/>
      <c r="V210" s="12"/>
      <c r="W210" s="12"/>
      <c r="X210" s="12"/>
      <c r="Y210" s="12"/>
      <c r="Z210" s="12"/>
      <c r="AA210" s="12"/>
    </row>
    <row r="211" ht="13.5" customHeight="1">
      <c r="A211" s="17"/>
      <c r="B211" s="12"/>
      <c r="C211" s="12"/>
      <c r="D211" s="17"/>
      <c r="E211" s="12"/>
      <c r="F211" s="12"/>
      <c r="G211" s="17"/>
      <c r="H211" s="17"/>
      <c r="I211" s="12"/>
      <c r="J211" s="12"/>
      <c r="K211" s="12"/>
      <c r="L211" s="12"/>
      <c r="M211" s="12"/>
      <c r="N211" s="12"/>
      <c r="O211" s="12"/>
      <c r="P211" s="12"/>
      <c r="Q211" s="12"/>
      <c r="R211" s="12"/>
      <c r="S211" s="12"/>
      <c r="T211" s="12"/>
      <c r="U211" s="12"/>
      <c r="V211" s="12"/>
      <c r="W211" s="12"/>
      <c r="X211" s="12"/>
      <c r="Y211" s="12"/>
      <c r="Z211" s="12"/>
      <c r="AA211" s="12"/>
    </row>
    <row r="212" ht="13.5" customHeight="1">
      <c r="A212" s="17"/>
      <c r="B212" s="12"/>
      <c r="C212" s="12"/>
      <c r="D212" s="17"/>
      <c r="E212" s="12"/>
      <c r="F212" s="12"/>
      <c r="G212" s="17"/>
      <c r="H212" s="17"/>
      <c r="I212" s="12"/>
      <c r="J212" s="12"/>
      <c r="K212" s="12"/>
      <c r="L212" s="12"/>
      <c r="M212" s="12"/>
      <c r="N212" s="12"/>
      <c r="O212" s="12"/>
      <c r="P212" s="12"/>
      <c r="Q212" s="12"/>
      <c r="R212" s="12"/>
      <c r="S212" s="12"/>
      <c r="T212" s="12"/>
      <c r="U212" s="12"/>
      <c r="V212" s="12"/>
      <c r="W212" s="12"/>
      <c r="X212" s="12"/>
      <c r="Y212" s="12"/>
      <c r="Z212" s="12"/>
      <c r="AA212" s="12"/>
    </row>
    <row r="213" ht="13.5" customHeight="1">
      <c r="A213" s="17"/>
      <c r="B213" s="12"/>
      <c r="C213" s="12"/>
      <c r="D213" s="17"/>
      <c r="E213" s="12"/>
      <c r="F213" s="12"/>
      <c r="G213" s="17"/>
      <c r="H213" s="17"/>
      <c r="I213" s="12"/>
      <c r="J213" s="12"/>
      <c r="K213" s="12"/>
      <c r="L213" s="12"/>
      <c r="M213" s="12"/>
      <c r="N213" s="12"/>
      <c r="O213" s="12"/>
      <c r="P213" s="12"/>
      <c r="Q213" s="12"/>
      <c r="R213" s="12"/>
      <c r="S213" s="12"/>
      <c r="T213" s="12"/>
      <c r="U213" s="12"/>
      <c r="V213" s="12"/>
      <c r="W213" s="12"/>
      <c r="X213" s="12"/>
      <c r="Y213" s="12"/>
      <c r="Z213" s="12"/>
      <c r="AA213" s="12"/>
    </row>
    <row r="214" ht="13.5" customHeight="1">
      <c r="A214" s="17"/>
      <c r="B214" s="12"/>
      <c r="C214" s="12"/>
      <c r="D214" s="17"/>
      <c r="E214" s="12"/>
      <c r="F214" s="12"/>
      <c r="G214" s="17"/>
      <c r="H214" s="17"/>
      <c r="I214" s="12"/>
      <c r="J214" s="12"/>
      <c r="K214" s="12"/>
      <c r="L214" s="12"/>
      <c r="M214" s="12"/>
      <c r="N214" s="12"/>
      <c r="O214" s="12"/>
      <c r="P214" s="12"/>
      <c r="Q214" s="12"/>
      <c r="R214" s="12"/>
      <c r="S214" s="12"/>
      <c r="T214" s="12"/>
      <c r="U214" s="12"/>
      <c r="V214" s="12"/>
      <c r="W214" s="12"/>
      <c r="X214" s="12"/>
      <c r="Y214" s="12"/>
      <c r="Z214" s="12"/>
      <c r="AA214" s="12"/>
    </row>
    <row r="215" ht="13.5" customHeight="1">
      <c r="A215" s="17"/>
      <c r="B215" s="12"/>
      <c r="C215" s="12"/>
      <c r="D215" s="17"/>
      <c r="E215" s="12"/>
      <c r="F215" s="12"/>
      <c r="G215" s="17"/>
      <c r="H215" s="17"/>
      <c r="I215" s="12"/>
      <c r="J215" s="12"/>
      <c r="K215" s="12"/>
      <c r="L215" s="12"/>
      <c r="M215" s="12"/>
      <c r="N215" s="12"/>
      <c r="O215" s="12"/>
      <c r="P215" s="12"/>
      <c r="Q215" s="12"/>
      <c r="R215" s="12"/>
      <c r="S215" s="12"/>
      <c r="T215" s="12"/>
      <c r="U215" s="12"/>
      <c r="V215" s="12"/>
      <c r="W215" s="12"/>
      <c r="X215" s="12"/>
      <c r="Y215" s="12"/>
      <c r="Z215" s="12"/>
      <c r="AA215" s="12"/>
    </row>
    <row r="216" ht="13.5" customHeight="1">
      <c r="A216" s="17"/>
      <c r="B216" s="12"/>
      <c r="C216" s="12"/>
      <c r="D216" s="17"/>
      <c r="E216" s="12"/>
      <c r="F216" s="12"/>
      <c r="G216" s="17"/>
      <c r="H216" s="17"/>
      <c r="I216" s="12"/>
      <c r="J216" s="12"/>
      <c r="K216" s="12"/>
      <c r="L216" s="12"/>
      <c r="M216" s="12"/>
      <c r="N216" s="12"/>
      <c r="O216" s="12"/>
      <c r="P216" s="12"/>
      <c r="Q216" s="12"/>
      <c r="R216" s="12"/>
      <c r="S216" s="12"/>
      <c r="T216" s="12"/>
      <c r="U216" s="12"/>
      <c r="V216" s="12"/>
      <c r="W216" s="12"/>
      <c r="X216" s="12"/>
      <c r="Y216" s="12"/>
      <c r="Z216" s="12"/>
      <c r="AA216" s="12"/>
    </row>
    <row r="217" ht="13.5" customHeight="1">
      <c r="A217" s="17"/>
      <c r="B217" s="12"/>
      <c r="C217" s="12"/>
      <c r="D217" s="17"/>
      <c r="E217" s="12"/>
      <c r="F217" s="12"/>
      <c r="G217" s="17"/>
      <c r="H217" s="17"/>
      <c r="I217" s="12"/>
      <c r="J217" s="12"/>
      <c r="K217" s="12"/>
      <c r="L217" s="12"/>
      <c r="M217" s="12"/>
      <c r="N217" s="12"/>
      <c r="O217" s="12"/>
      <c r="P217" s="12"/>
      <c r="Q217" s="12"/>
      <c r="R217" s="12"/>
      <c r="S217" s="12"/>
      <c r="T217" s="12"/>
      <c r="U217" s="12"/>
      <c r="V217" s="12"/>
      <c r="W217" s="12"/>
      <c r="X217" s="12"/>
      <c r="Y217" s="12"/>
      <c r="Z217" s="12"/>
      <c r="AA217" s="12"/>
    </row>
    <row r="218" ht="13.5" customHeight="1">
      <c r="A218" s="17"/>
      <c r="B218" s="12"/>
      <c r="C218" s="12"/>
      <c r="D218" s="17"/>
      <c r="E218" s="12"/>
      <c r="F218" s="12"/>
      <c r="G218" s="17"/>
      <c r="H218" s="17"/>
      <c r="I218" s="12"/>
      <c r="J218" s="12"/>
      <c r="K218" s="12"/>
      <c r="L218" s="12"/>
      <c r="M218" s="12"/>
      <c r="N218" s="12"/>
      <c r="O218" s="12"/>
      <c r="P218" s="12"/>
      <c r="Q218" s="12"/>
      <c r="R218" s="12"/>
      <c r="S218" s="12"/>
      <c r="T218" s="12"/>
      <c r="U218" s="12"/>
      <c r="V218" s="12"/>
      <c r="W218" s="12"/>
      <c r="X218" s="12"/>
      <c r="Y218" s="12"/>
      <c r="Z218" s="12"/>
      <c r="AA218" s="12"/>
    </row>
    <row r="219" ht="13.5" customHeight="1">
      <c r="A219" s="17"/>
      <c r="B219" s="12"/>
      <c r="C219" s="12"/>
      <c r="D219" s="17"/>
      <c r="E219" s="12"/>
      <c r="F219" s="12"/>
      <c r="G219" s="17"/>
      <c r="H219" s="17"/>
      <c r="I219" s="12"/>
      <c r="J219" s="12"/>
      <c r="K219" s="12"/>
      <c r="L219" s="12"/>
      <c r="M219" s="12"/>
      <c r="N219" s="12"/>
      <c r="O219" s="12"/>
      <c r="P219" s="12"/>
      <c r="Q219" s="12"/>
      <c r="R219" s="12"/>
      <c r="S219" s="12"/>
      <c r="T219" s="12"/>
      <c r="U219" s="12"/>
      <c r="V219" s="12"/>
      <c r="W219" s="12"/>
      <c r="X219" s="12"/>
      <c r="Y219" s="12"/>
      <c r="Z219" s="12"/>
      <c r="AA219" s="12"/>
    </row>
    <row r="220" ht="13.5" customHeight="1">
      <c r="A220" s="17"/>
      <c r="B220" s="12"/>
      <c r="C220" s="12"/>
      <c r="D220" s="17"/>
      <c r="E220" s="12"/>
      <c r="F220" s="12"/>
      <c r="G220" s="17"/>
      <c r="H220" s="17"/>
      <c r="I220" s="12"/>
      <c r="J220" s="12"/>
      <c r="K220" s="12"/>
      <c r="L220" s="12"/>
      <c r="M220" s="12"/>
      <c r="N220" s="12"/>
      <c r="O220" s="12"/>
      <c r="P220" s="12"/>
      <c r="Q220" s="12"/>
      <c r="R220" s="12"/>
      <c r="S220" s="12"/>
      <c r="T220" s="12"/>
      <c r="U220" s="12"/>
      <c r="V220" s="12"/>
      <c r="W220" s="12"/>
      <c r="X220" s="12"/>
      <c r="Y220" s="12"/>
      <c r="Z220" s="12"/>
      <c r="AA220" s="12"/>
    </row>
    <row r="221" ht="13.5" customHeight="1">
      <c r="A221" s="17"/>
      <c r="B221" s="12"/>
      <c r="C221" s="12"/>
      <c r="D221" s="17"/>
      <c r="E221" s="12"/>
      <c r="F221" s="12"/>
      <c r="G221" s="17"/>
      <c r="H221" s="17"/>
      <c r="I221" s="12"/>
      <c r="J221" s="12"/>
      <c r="K221" s="12"/>
      <c r="L221" s="12"/>
      <c r="M221" s="12"/>
      <c r="N221" s="12"/>
      <c r="O221" s="12"/>
      <c r="P221" s="12"/>
      <c r="Q221" s="12"/>
      <c r="R221" s="12"/>
      <c r="S221" s="12"/>
      <c r="T221" s="12"/>
      <c r="U221" s="12"/>
      <c r="V221" s="12"/>
      <c r="W221" s="12"/>
      <c r="X221" s="12"/>
      <c r="Y221" s="12"/>
      <c r="Z221" s="12"/>
      <c r="AA221" s="12"/>
    </row>
    <row r="222" ht="13.5" customHeight="1">
      <c r="A222" s="17"/>
      <c r="B222" s="12"/>
      <c r="C222" s="12"/>
      <c r="D222" s="17"/>
      <c r="E222" s="12"/>
      <c r="F222" s="12"/>
      <c r="G222" s="17"/>
      <c r="H222" s="17"/>
      <c r="I222" s="12"/>
      <c r="J222" s="12"/>
      <c r="K222" s="12"/>
      <c r="L222" s="12"/>
      <c r="M222" s="12"/>
      <c r="N222" s="12"/>
      <c r="O222" s="12"/>
      <c r="P222" s="12"/>
      <c r="Q222" s="12"/>
      <c r="R222" s="12"/>
      <c r="S222" s="12"/>
      <c r="T222" s="12"/>
      <c r="U222" s="12"/>
      <c r="V222" s="12"/>
      <c r="W222" s="12"/>
      <c r="X222" s="12"/>
      <c r="Y222" s="12"/>
      <c r="Z222" s="12"/>
      <c r="AA222" s="12"/>
    </row>
    <row r="223" ht="13.5" customHeight="1">
      <c r="A223" s="17"/>
      <c r="B223" s="12"/>
      <c r="C223" s="12"/>
      <c r="D223" s="17"/>
      <c r="E223" s="12"/>
      <c r="F223" s="12"/>
      <c r="G223" s="17"/>
      <c r="H223" s="17"/>
      <c r="I223" s="12"/>
      <c r="J223" s="12"/>
      <c r="K223" s="12"/>
      <c r="L223" s="12"/>
      <c r="M223" s="12"/>
      <c r="N223" s="12"/>
      <c r="O223" s="12"/>
      <c r="P223" s="12"/>
      <c r="Q223" s="12"/>
      <c r="R223" s="12"/>
      <c r="S223" s="12"/>
      <c r="T223" s="12"/>
      <c r="U223" s="12"/>
      <c r="V223" s="12"/>
      <c r="W223" s="12"/>
      <c r="X223" s="12"/>
      <c r="Y223" s="12"/>
      <c r="Z223" s="12"/>
      <c r="AA223" s="12"/>
    </row>
    <row r="224" ht="13.5" customHeight="1">
      <c r="A224" s="17"/>
      <c r="B224" s="12"/>
      <c r="C224" s="12"/>
      <c r="D224" s="17"/>
      <c r="E224" s="12"/>
      <c r="F224" s="12"/>
      <c r="G224" s="17"/>
      <c r="H224" s="17"/>
      <c r="I224" s="12"/>
      <c r="J224" s="12"/>
      <c r="K224" s="12"/>
      <c r="L224" s="12"/>
      <c r="M224" s="12"/>
      <c r="N224" s="12"/>
      <c r="O224" s="12"/>
      <c r="P224" s="12"/>
      <c r="Q224" s="12"/>
      <c r="R224" s="12"/>
      <c r="S224" s="12"/>
      <c r="T224" s="12"/>
      <c r="U224" s="12"/>
      <c r="V224" s="12"/>
      <c r="W224" s="12"/>
      <c r="X224" s="12"/>
      <c r="Y224" s="12"/>
      <c r="Z224" s="12"/>
      <c r="AA224" s="12"/>
    </row>
    <row r="225" ht="13.5" customHeight="1">
      <c r="A225" s="17"/>
      <c r="B225" s="12"/>
      <c r="C225" s="12"/>
      <c r="D225" s="17"/>
      <c r="E225" s="12"/>
      <c r="F225" s="12"/>
      <c r="G225" s="17"/>
      <c r="H225" s="17"/>
      <c r="I225" s="12"/>
      <c r="J225" s="12"/>
      <c r="K225" s="12"/>
      <c r="L225" s="12"/>
      <c r="M225" s="12"/>
      <c r="N225" s="12"/>
      <c r="O225" s="12"/>
      <c r="P225" s="12"/>
      <c r="Q225" s="12"/>
      <c r="R225" s="12"/>
      <c r="S225" s="12"/>
      <c r="T225" s="12"/>
      <c r="U225" s="12"/>
      <c r="V225" s="12"/>
      <c r="W225" s="12"/>
      <c r="X225" s="12"/>
      <c r="Y225" s="12"/>
      <c r="Z225" s="12"/>
      <c r="AA225" s="12"/>
    </row>
    <row r="226" ht="13.5" customHeight="1">
      <c r="A226" s="17"/>
      <c r="B226" s="12"/>
      <c r="C226" s="12"/>
      <c r="D226" s="17"/>
      <c r="E226" s="12"/>
      <c r="F226" s="12"/>
      <c r="G226" s="17"/>
      <c r="H226" s="17"/>
      <c r="I226" s="12"/>
      <c r="J226" s="12"/>
      <c r="K226" s="12"/>
      <c r="L226" s="12"/>
      <c r="M226" s="12"/>
      <c r="N226" s="12"/>
      <c r="O226" s="12"/>
      <c r="P226" s="12"/>
      <c r="Q226" s="12"/>
      <c r="R226" s="12"/>
      <c r="S226" s="12"/>
      <c r="T226" s="12"/>
      <c r="U226" s="12"/>
      <c r="V226" s="12"/>
      <c r="W226" s="12"/>
      <c r="X226" s="12"/>
      <c r="Y226" s="12"/>
      <c r="Z226" s="12"/>
      <c r="AA226" s="12"/>
    </row>
    <row r="227" ht="13.5" customHeight="1">
      <c r="A227" s="17"/>
      <c r="B227" s="12"/>
      <c r="C227" s="12"/>
      <c r="D227" s="17"/>
      <c r="E227" s="12"/>
      <c r="F227" s="12"/>
      <c r="G227" s="17"/>
      <c r="H227" s="17"/>
      <c r="I227" s="12"/>
      <c r="J227" s="12"/>
      <c r="K227" s="12"/>
      <c r="L227" s="12"/>
      <c r="M227" s="12"/>
      <c r="N227" s="12"/>
      <c r="O227" s="12"/>
      <c r="P227" s="12"/>
      <c r="Q227" s="12"/>
      <c r="R227" s="12"/>
      <c r="S227" s="12"/>
      <c r="T227" s="12"/>
      <c r="U227" s="12"/>
      <c r="V227" s="12"/>
      <c r="W227" s="12"/>
      <c r="X227" s="12"/>
      <c r="Y227" s="12"/>
      <c r="Z227" s="12"/>
      <c r="AA227" s="12"/>
    </row>
    <row r="228" ht="13.5" customHeight="1">
      <c r="A228" s="17"/>
      <c r="B228" s="12"/>
      <c r="C228" s="12"/>
      <c r="D228" s="17"/>
      <c r="E228" s="12"/>
      <c r="F228" s="12"/>
      <c r="G228" s="17"/>
      <c r="H228" s="17"/>
      <c r="I228" s="12"/>
      <c r="J228" s="12"/>
      <c r="K228" s="12"/>
      <c r="L228" s="12"/>
      <c r="M228" s="12"/>
      <c r="N228" s="12"/>
      <c r="O228" s="12"/>
      <c r="P228" s="12"/>
      <c r="Q228" s="12"/>
      <c r="R228" s="12"/>
      <c r="S228" s="12"/>
      <c r="T228" s="12"/>
      <c r="U228" s="12"/>
      <c r="V228" s="12"/>
      <c r="W228" s="12"/>
      <c r="X228" s="12"/>
      <c r="Y228" s="12"/>
      <c r="Z228" s="12"/>
      <c r="AA228" s="12"/>
    </row>
    <row r="229" ht="13.5" customHeight="1">
      <c r="A229" s="17"/>
      <c r="B229" s="12"/>
      <c r="C229" s="12"/>
      <c r="D229" s="17"/>
      <c r="E229" s="12"/>
      <c r="F229" s="12"/>
      <c r="G229" s="17"/>
      <c r="H229" s="17"/>
      <c r="I229" s="12"/>
      <c r="J229" s="12"/>
      <c r="K229" s="12"/>
      <c r="L229" s="12"/>
      <c r="M229" s="12"/>
      <c r="N229" s="12"/>
      <c r="O229" s="12"/>
      <c r="P229" s="12"/>
      <c r="Q229" s="12"/>
      <c r="R229" s="12"/>
      <c r="S229" s="12"/>
      <c r="T229" s="12"/>
      <c r="U229" s="12"/>
      <c r="V229" s="12"/>
      <c r="W229" s="12"/>
      <c r="X229" s="12"/>
      <c r="Y229" s="12"/>
      <c r="Z229" s="12"/>
      <c r="AA229" s="12"/>
    </row>
    <row r="230" ht="13.5" customHeight="1">
      <c r="A230" s="17"/>
      <c r="B230" s="12"/>
      <c r="C230" s="12"/>
      <c r="D230" s="17"/>
      <c r="E230" s="12"/>
      <c r="F230" s="12"/>
      <c r="G230" s="17"/>
      <c r="H230" s="17"/>
      <c r="I230" s="12"/>
      <c r="J230" s="12"/>
      <c r="K230" s="12"/>
      <c r="L230" s="12"/>
      <c r="M230" s="12"/>
      <c r="N230" s="12"/>
      <c r="O230" s="12"/>
      <c r="P230" s="12"/>
      <c r="Q230" s="12"/>
      <c r="R230" s="12"/>
      <c r="S230" s="12"/>
      <c r="T230" s="12"/>
      <c r="U230" s="12"/>
      <c r="V230" s="12"/>
      <c r="W230" s="12"/>
      <c r="X230" s="12"/>
      <c r="Y230" s="12"/>
      <c r="Z230" s="12"/>
      <c r="AA230" s="12"/>
    </row>
    <row r="231" ht="13.5" customHeight="1">
      <c r="A231" s="17"/>
      <c r="B231" s="12"/>
      <c r="C231" s="12"/>
      <c r="D231" s="17"/>
      <c r="E231" s="12"/>
      <c r="F231" s="12"/>
      <c r="G231" s="17"/>
      <c r="H231" s="17"/>
      <c r="I231" s="12"/>
      <c r="J231" s="12"/>
      <c r="K231" s="12"/>
      <c r="L231" s="12"/>
      <c r="M231" s="12"/>
      <c r="N231" s="12"/>
      <c r="O231" s="12"/>
      <c r="P231" s="12"/>
      <c r="Q231" s="12"/>
      <c r="R231" s="12"/>
      <c r="S231" s="12"/>
      <c r="T231" s="12"/>
      <c r="U231" s="12"/>
      <c r="V231" s="12"/>
      <c r="W231" s="12"/>
      <c r="X231" s="12"/>
      <c r="Y231" s="12"/>
      <c r="Z231" s="12"/>
      <c r="AA231" s="12"/>
    </row>
    <row r="232" ht="13.5" customHeight="1">
      <c r="A232" s="17"/>
      <c r="B232" s="12"/>
      <c r="C232" s="12"/>
      <c r="D232" s="17"/>
      <c r="E232" s="12"/>
      <c r="F232" s="12"/>
      <c r="G232" s="17"/>
      <c r="H232" s="17"/>
      <c r="I232" s="12"/>
      <c r="J232" s="12"/>
      <c r="K232" s="12"/>
      <c r="L232" s="12"/>
      <c r="M232" s="12"/>
      <c r="N232" s="12"/>
      <c r="O232" s="12"/>
      <c r="P232" s="12"/>
      <c r="Q232" s="12"/>
      <c r="R232" s="12"/>
      <c r="S232" s="12"/>
      <c r="T232" s="12"/>
      <c r="U232" s="12"/>
      <c r="V232" s="12"/>
      <c r="W232" s="12"/>
      <c r="X232" s="12"/>
      <c r="Y232" s="12"/>
      <c r="Z232" s="12"/>
      <c r="AA232" s="12"/>
    </row>
    <row r="233" ht="13.5" customHeight="1">
      <c r="A233" s="17"/>
      <c r="B233" s="12"/>
      <c r="C233" s="12"/>
      <c r="D233" s="17"/>
      <c r="E233" s="12"/>
      <c r="F233" s="12"/>
      <c r="G233" s="17"/>
      <c r="H233" s="17"/>
      <c r="I233" s="12"/>
      <c r="J233" s="12"/>
      <c r="K233" s="12"/>
      <c r="L233" s="12"/>
      <c r="M233" s="12"/>
      <c r="N233" s="12"/>
      <c r="O233" s="12"/>
      <c r="P233" s="12"/>
      <c r="Q233" s="12"/>
      <c r="R233" s="12"/>
      <c r="S233" s="12"/>
      <c r="T233" s="12"/>
      <c r="U233" s="12"/>
      <c r="V233" s="12"/>
      <c r="W233" s="12"/>
      <c r="X233" s="12"/>
      <c r="Y233" s="12"/>
      <c r="Z233" s="12"/>
      <c r="AA233" s="12"/>
    </row>
    <row r="234" ht="13.5" customHeight="1">
      <c r="A234" s="17"/>
      <c r="B234" s="12"/>
      <c r="C234" s="12"/>
      <c r="D234" s="17"/>
      <c r="E234" s="12"/>
      <c r="F234" s="12"/>
      <c r="G234" s="17"/>
      <c r="H234" s="17"/>
      <c r="I234" s="12"/>
      <c r="J234" s="12"/>
      <c r="K234" s="12"/>
      <c r="L234" s="12"/>
      <c r="M234" s="12"/>
      <c r="N234" s="12"/>
      <c r="O234" s="12"/>
      <c r="P234" s="12"/>
      <c r="Q234" s="12"/>
      <c r="R234" s="12"/>
      <c r="S234" s="12"/>
      <c r="T234" s="12"/>
      <c r="U234" s="12"/>
      <c r="V234" s="12"/>
      <c r="W234" s="12"/>
      <c r="X234" s="12"/>
      <c r="Y234" s="12"/>
      <c r="Z234" s="12"/>
      <c r="AA234" s="12"/>
    </row>
    <row r="235" ht="13.5" customHeight="1">
      <c r="A235" s="17"/>
      <c r="B235" s="12"/>
      <c r="C235" s="12"/>
      <c r="D235" s="17"/>
      <c r="E235" s="12"/>
      <c r="F235" s="12"/>
      <c r="G235" s="17"/>
      <c r="H235" s="17"/>
      <c r="I235" s="12"/>
      <c r="J235" s="12"/>
      <c r="K235" s="12"/>
      <c r="L235" s="12"/>
      <c r="M235" s="12"/>
      <c r="N235" s="12"/>
      <c r="O235" s="12"/>
      <c r="P235" s="12"/>
      <c r="Q235" s="12"/>
      <c r="R235" s="12"/>
      <c r="S235" s="12"/>
      <c r="T235" s="12"/>
      <c r="U235" s="12"/>
      <c r="V235" s="12"/>
      <c r="W235" s="12"/>
      <c r="X235" s="12"/>
      <c r="Y235" s="12"/>
      <c r="Z235" s="12"/>
      <c r="AA235" s="12"/>
    </row>
    <row r="236" ht="13.5" customHeight="1">
      <c r="A236" s="17"/>
      <c r="B236" s="12"/>
      <c r="C236" s="12"/>
      <c r="D236" s="17"/>
      <c r="E236" s="12"/>
      <c r="F236" s="12"/>
      <c r="G236" s="17"/>
      <c r="H236" s="17"/>
      <c r="I236" s="12"/>
      <c r="J236" s="12"/>
      <c r="K236" s="12"/>
      <c r="L236" s="12"/>
      <c r="M236" s="12"/>
      <c r="N236" s="12"/>
      <c r="O236" s="12"/>
      <c r="P236" s="12"/>
      <c r="Q236" s="12"/>
      <c r="R236" s="12"/>
      <c r="S236" s="12"/>
      <c r="T236" s="12"/>
      <c r="U236" s="12"/>
      <c r="V236" s="12"/>
      <c r="W236" s="12"/>
      <c r="X236" s="12"/>
      <c r="Y236" s="12"/>
      <c r="Z236" s="12"/>
      <c r="AA236" s="12"/>
    </row>
    <row r="237" ht="13.5" customHeight="1">
      <c r="A237" s="17"/>
      <c r="B237" s="12"/>
      <c r="C237" s="12"/>
      <c r="D237" s="17"/>
      <c r="E237" s="12"/>
      <c r="F237" s="12"/>
      <c r="G237" s="17"/>
      <c r="H237" s="17"/>
      <c r="I237" s="12"/>
      <c r="J237" s="12"/>
      <c r="K237" s="12"/>
      <c r="L237" s="12"/>
      <c r="M237" s="12"/>
      <c r="N237" s="12"/>
      <c r="O237" s="12"/>
      <c r="P237" s="12"/>
      <c r="Q237" s="12"/>
      <c r="R237" s="12"/>
      <c r="S237" s="12"/>
      <c r="T237" s="12"/>
      <c r="U237" s="12"/>
      <c r="V237" s="12"/>
      <c r="W237" s="12"/>
      <c r="X237" s="12"/>
      <c r="Y237" s="12"/>
      <c r="Z237" s="12"/>
      <c r="AA237" s="12"/>
    </row>
    <row r="238" ht="13.5" customHeight="1">
      <c r="A238" s="17"/>
      <c r="B238" s="12"/>
      <c r="C238" s="12"/>
      <c r="D238" s="17"/>
      <c r="E238" s="12"/>
      <c r="F238" s="12"/>
      <c r="G238" s="17"/>
      <c r="H238" s="17"/>
      <c r="I238" s="12"/>
      <c r="J238" s="12"/>
      <c r="K238" s="12"/>
      <c r="L238" s="12"/>
      <c r="M238" s="12"/>
      <c r="N238" s="12"/>
      <c r="O238" s="12"/>
      <c r="P238" s="12"/>
      <c r="Q238" s="12"/>
      <c r="R238" s="12"/>
      <c r="S238" s="12"/>
      <c r="T238" s="12"/>
      <c r="U238" s="12"/>
      <c r="V238" s="12"/>
      <c r="W238" s="12"/>
      <c r="X238" s="12"/>
      <c r="Y238" s="12"/>
      <c r="Z238" s="12"/>
      <c r="AA238" s="12"/>
    </row>
    <row r="239" ht="13.5" customHeight="1">
      <c r="A239" s="17"/>
      <c r="B239" s="12"/>
      <c r="C239" s="12"/>
      <c r="D239" s="17"/>
      <c r="E239" s="12"/>
      <c r="F239" s="12"/>
      <c r="G239" s="17"/>
      <c r="H239" s="17"/>
      <c r="I239" s="12"/>
      <c r="J239" s="12"/>
      <c r="K239" s="12"/>
      <c r="L239" s="12"/>
      <c r="M239" s="12"/>
      <c r="N239" s="12"/>
      <c r="O239" s="12"/>
      <c r="P239" s="12"/>
      <c r="Q239" s="12"/>
      <c r="R239" s="12"/>
      <c r="S239" s="12"/>
      <c r="T239" s="12"/>
      <c r="U239" s="12"/>
      <c r="V239" s="12"/>
      <c r="W239" s="12"/>
      <c r="X239" s="12"/>
      <c r="Y239" s="12"/>
      <c r="Z239" s="12"/>
      <c r="AA239" s="12"/>
    </row>
    <row r="240" ht="13.5" customHeight="1">
      <c r="A240" s="17"/>
      <c r="B240" s="12"/>
      <c r="C240" s="12"/>
      <c r="D240" s="17"/>
      <c r="E240" s="12"/>
      <c r="F240" s="12"/>
      <c r="G240" s="17"/>
      <c r="H240" s="17"/>
      <c r="I240" s="12"/>
      <c r="J240" s="12"/>
      <c r="K240" s="12"/>
      <c r="L240" s="12"/>
      <c r="M240" s="12"/>
      <c r="N240" s="12"/>
      <c r="O240" s="12"/>
      <c r="P240" s="12"/>
      <c r="Q240" s="12"/>
      <c r="R240" s="12"/>
      <c r="S240" s="12"/>
      <c r="T240" s="12"/>
      <c r="U240" s="12"/>
      <c r="V240" s="12"/>
      <c r="W240" s="12"/>
      <c r="X240" s="12"/>
      <c r="Y240" s="12"/>
      <c r="Z240" s="12"/>
      <c r="AA240" s="12"/>
    </row>
    <row r="241" ht="13.5" customHeight="1">
      <c r="A241" s="17"/>
      <c r="B241" s="12"/>
      <c r="C241" s="12"/>
      <c r="D241" s="17"/>
      <c r="E241" s="12"/>
      <c r="F241" s="12"/>
      <c r="G241" s="17"/>
      <c r="H241" s="17"/>
      <c r="I241" s="12"/>
      <c r="J241" s="12"/>
      <c r="K241" s="12"/>
      <c r="L241" s="12"/>
      <c r="M241" s="12"/>
      <c r="N241" s="12"/>
      <c r="O241" s="12"/>
      <c r="P241" s="12"/>
      <c r="Q241" s="12"/>
      <c r="R241" s="12"/>
      <c r="S241" s="12"/>
      <c r="T241" s="12"/>
      <c r="U241" s="12"/>
      <c r="V241" s="12"/>
      <c r="W241" s="12"/>
      <c r="X241" s="12"/>
      <c r="Y241" s="12"/>
      <c r="Z241" s="12"/>
      <c r="AA241" s="12"/>
    </row>
    <row r="242" ht="13.5" customHeight="1">
      <c r="A242" s="17"/>
      <c r="B242" s="12"/>
      <c r="C242" s="12"/>
      <c r="D242" s="17"/>
      <c r="E242" s="12"/>
      <c r="F242" s="12"/>
      <c r="G242" s="17"/>
      <c r="H242" s="17"/>
      <c r="I242" s="12"/>
      <c r="J242" s="12"/>
      <c r="K242" s="12"/>
      <c r="L242" s="12"/>
      <c r="M242" s="12"/>
      <c r="N242" s="12"/>
      <c r="O242" s="12"/>
      <c r="P242" s="12"/>
      <c r="Q242" s="12"/>
      <c r="R242" s="12"/>
      <c r="S242" s="12"/>
      <c r="T242" s="12"/>
      <c r="U242" s="12"/>
      <c r="V242" s="12"/>
      <c r="W242" s="12"/>
      <c r="X242" s="12"/>
      <c r="Y242" s="12"/>
      <c r="Z242" s="12"/>
      <c r="AA242" s="12"/>
    </row>
    <row r="243" ht="13.5" customHeight="1">
      <c r="A243" s="17"/>
      <c r="B243" s="12"/>
      <c r="C243" s="12"/>
      <c r="D243" s="17"/>
      <c r="E243" s="12"/>
      <c r="F243" s="12"/>
      <c r="G243" s="17"/>
      <c r="H243" s="17"/>
      <c r="I243" s="12"/>
      <c r="J243" s="12"/>
      <c r="K243" s="12"/>
      <c r="L243" s="12"/>
      <c r="M243" s="12"/>
      <c r="N243" s="12"/>
      <c r="O243" s="12"/>
      <c r="P243" s="12"/>
      <c r="Q243" s="12"/>
      <c r="R243" s="12"/>
      <c r="S243" s="12"/>
      <c r="T243" s="12"/>
      <c r="U243" s="12"/>
      <c r="V243" s="12"/>
      <c r="W243" s="12"/>
      <c r="X243" s="12"/>
      <c r="Y243" s="12"/>
      <c r="Z243" s="12"/>
      <c r="AA243" s="12"/>
    </row>
    <row r="244" ht="13.5" customHeight="1">
      <c r="A244" s="17"/>
      <c r="B244" s="12"/>
      <c r="C244" s="12"/>
      <c r="D244" s="17"/>
      <c r="E244" s="12"/>
      <c r="F244" s="12"/>
      <c r="G244" s="17"/>
      <c r="H244" s="17"/>
      <c r="I244" s="12"/>
      <c r="J244" s="12"/>
      <c r="K244" s="12"/>
      <c r="L244" s="12"/>
      <c r="M244" s="12"/>
      <c r="N244" s="12"/>
      <c r="O244" s="12"/>
      <c r="P244" s="12"/>
      <c r="Q244" s="12"/>
      <c r="R244" s="12"/>
      <c r="S244" s="12"/>
      <c r="T244" s="12"/>
      <c r="U244" s="12"/>
      <c r="V244" s="12"/>
      <c r="W244" s="12"/>
      <c r="X244" s="12"/>
      <c r="Y244" s="12"/>
      <c r="Z244" s="12"/>
      <c r="AA244" s="12"/>
    </row>
    <row r="245" ht="13.5" customHeight="1">
      <c r="A245" s="17"/>
      <c r="B245" s="12"/>
      <c r="C245" s="12"/>
      <c r="D245" s="17"/>
      <c r="E245" s="12"/>
      <c r="F245" s="12"/>
      <c r="G245" s="17"/>
      <c r="H245" s="17"/>
      <c r="I245" s="12"/>
      <c r="J245" s="12"/>
      <c r="K245" s="12"/>
      <c r="L245" s="12"/>
      <c r="M245" s="12"/>
      <c r="N245" s="12"/>
      <c r="O245" s="12"/>
      <c r="P245" s="12"/>
      <c r="Q245" s="12"/>
      <c r="R245" s="12"/>
      <c r="S245" s="12"/>
      <c r="T245" s="12"/>
      <c r="U245" s="12"/>
      <c r="V245" s="12"/>
      <c r="W245" s="12"/>
      <c r="X245" s="12"/>
      <c r="Y245" s="12"/>
      <c r="Z245" s="12"/>
      <c r="AA245" s="12"/>
    </row>
    <row r="246" ht="13.5" customHeight="1">
      <c r="A246" s="17"/>
      <c r="B246" s="12"/>
      <c r="C246" s="12"/>
      <c r="D246" s="17"/>
      <c r="E246" s="12"/>
      <c r="F246" s="12"/>
      <c r="G246" s="17"/>
      <c r="H246" s="17"/>
      <c r="I246" s="12"/>
      <c r="J246" s="12"/>
      <c r="K246" s="12"/>
      <c r="L246" s="12"/>
      <c r="M246" s="12"/>
      <c r="N246" s="12"/>
      <c r="O246" s="12"/>
      <c r="P246" s="12"/>
      <c r="Q246" s="12"/>
      <c r="R246" s="12"/>
      <c r="S246" s="12"/>
      <c r="T246" s="12"/>
      <c r="U246" s="12"/>
      <c r="V246" s="12"/>
      <c r="W246" s="12"/>
      <c r="X246" s="12"/>
      <c r="Y246" s="12"/>
      <c r="Z246" s="12"/>
      <c r="AA246" s="12"/>
    </row>
    <row r="247" ht="13.5" customHeight="1">
      <c r="A247" s="17"/>
      <c r="B247" s="12"/>
      <c r="C247" s="12"/>
      <c r="D247" s="17"/>
      <c r="E247" s="12"/>
      <c r="F247" s="12"/>
      <c r="G247" s="17"/>
      <c r="H247" s="17"/>
      <c r="I247" s="12"/>
      <c r="J247" s="12"/>
      <c r="K247" s="12"/>
      <c r="L247" s="12"/>
      <c r="M247" s="12"/>
      <c r="N247" s="12"/>
      <c r="O247" s="12"/>
      <c r="P247" s="12"/>
      <c r="Q247" s="12"/>
      <c r="R247" s="12"/>
      <c r="S247" s="12"/>
      <c r="T247" s="12"/>
      <c r="U247" s="12"/>
      <c r="V247" s="12"/>
      <c r="W247" s="12"/>
      <c r="X247" s="12"/>
      <c r="Y247" s="12"/>
      <c r="Z247" s="12"/>
      <c r="AA247" s="12"/>
    </row>
    <row r="248" ht="13.5" customHeight="1">
      <c r="A248" s="17"/>
      <c r="B248" s="12"/>
      <c r="C248" s="12"/>
      <c r="D248" s="17"/>
      <c r="E248" s="12"/>
      <c r="F248" s="12"/>
      <c r="G248" s="17"/>
      <c r="H248" s="17"/>
      <c r="I248" s="12"/>
      <c r="J248" s="12"/>
      <c r="K248" s="12"/>
      <c r="L248" s="12"/>
      <c r="M248" s="12"/>
      <c r="N248" s="12"/>
      <c r="O248" s="12"/>
      <c r="P248" s="12"/>
      <c r="Q248" s="12"/>
      <c r="R248" s="12"/>
      <c r="S248" s="12"/>
      <c r="T248" s="12"/>
      <c r="U248" s="12"/>
      <c r="V248" s="12"/>
      <c r="W248" s="12"/>
      <c r="X248" s="12"/>
      <c r="Y248" s="12"/>
      <c r="Z248" s="12"/>
      <c r="AA248" s="12"/>
    </row>
    <row r="249" ht="13.5" customHeight="1">
      <c r="A249" s="17"/>
      <c r="B249" s="12"/>
      <c r="C249" s="12"/>
      <c r="D249" s="17"/>
      <c r="E249" s="12"/>
      <c r="F249" s="12"/>
      <c r="G249" s="17"/>
      <c r="H249" s="17"/>
      <c r="I249" s="12"/>
      <c r="J249" s="12"/>
      <c r="K249" s="12"/>
      <c r="L249" s="12"/>
      <c r="M249" s="12"/>
      <c r="N249" s="12"/>
      <c r="O249" s="12"/>
      <c r="P249" s="12"/>
      <c r="Q249" s="12"/>
      <c r="R249" s="12"/>
      <c r="S249" s="12"/>
      <c r="T249" s="12"/>
      <c r="U249" s="12"/>
      <c r="V249" s="12"/>
      <c r="W249" s="12"/>
      <c r="X249" s="12"/>
      <c r="Y249" s="12"/>
      <c r="Z249" s="12"/>
      <c r="AA249" s="12"/>
    </row>
    <row r="250" ht="13.5" customHeight="1">
      <c r="A250" s="17"/>
      <c r="B250" s="12"/>
      <c r="C250" s="12"/>
      <c r="D250" s="17"/>
      <c r="E250" s="12"/>
      <c r="F250" s="12"/>
      <c r="G250" s="17"/>
      <c r="H250" s="17"/>
      <c r="I250" s="12"/>
      <c r="J250" s="12"/>
      <c r="K250" s="12"/>
      <c r="L250" s="12"/>
      <c r="M250" s="12"/>
      <c r="N250" s="12"/>
      <c r="O250" s="12"/>
      <c r="P250" s="12"/>
      <c r="Q250" s="12"/>
      <c r="R250" s="12"/>
      <c r="S250" s="12"/>
      <c r="T250" s="12"/>
      <c r="U250" s="12"/>
      <c r="V250" s="12"/>
      <c r="W250" s="12"/>
      <c r="X250" s="12"/>
      <c r="Y250" s="12"/>
      <c r="Z250" s="12"/>
      <c r="AA250" s="12"/>
    </row>
    <row r="251" ht="13.5" customHeight="1">
      <c r="A251" s="17"/>
      <c r="B251" s="12"/>
      <c r="C251" s="12"/>
      <c r="D251" s="17"/>
      <c r="E251" s="12"/>
      <c r="F251" s="12"/>
      <c r="G251" s="17"/>
      <c r="H251" s="17"/>
      <c r="I251" s="12"/>
      <c r="J251" s="12"/>
      <c r="K251" s="12"/>
      <c r="L251" s="12"/>
      <c r="M251" s="12"/>
      <c r="N251" s="12"/>
      <c r="O251" s="12"/>
      <c r="P251" s="12"/>
      <c r="Q251" s="12"/>
      <c r="R251" s="12"/>
      <c r="S251" s="12"/>
      <c r="T251" s="12"/>
      <c r="U251" s="12"/>
      <c r="V251" s="12"/>
      <c r="W251" s="12"/>
      <c r="X251" s="12"/>
      <c r="Y251" s="12"/>
      <c r="Z251" s="12"/>
      <c r="AA251" s="12"/>
    </row>
    <row r="252" ht="13.5" customHeight="1">
      <c r="A252" s="17"/>
      <c r="B252" s="12"/>
      <c r="C252" s="12"/>
      <c r="D252" s="17"/>
      <c r="E252" s="12"/>
      <c r="F252" s="12"/>
      <c r="G252" s="17"/>
      <c r="H252" s="17"/>
      <c r="I252" s="12"/>
      <c r="J252" s="12"/>
      <c r="K252" s="12"/>
      <c r="L252" s="12"/>
      <c r="M252" s="12"/>
      <c r="N252" s="12"/>
      <c r="O252" s="12"/>
      <c r="P252" s="12"/>
      <c r="Q252" s="12"/>
      <c r="R252" s="12"/>
      <c r="S252" s="12"/>
      <c r="T252" s="12"/>
      <c r="U252" s="12"/>
      <c r="V252" s="12"/>
      <c r="W252" s="12"/>
      <c r="X252" s="12"/>
      <c r="Y252" s="12"/>
      <c r="Z252" s="12"/>
      <c r="AA252" s="12"/>
    </row>
    <row r="253" ht="13.5" customHeight="1">
      <c r="A253" s="17"/>
      <c r="B253" s="12"/>
      <c r="C253" s="12"/>
      <c r="D253" s="17"/>
      <c r="E253" s="12"/>
      <c r="F253" s="12"/>
      <c r="G253" s="17"/>
      <c r="H253" s="17"/>
      <c r="I253" s="12"/>
      <c r="J253" s="12"/>
      <c r="K253" s="12"/>
      <c r="L253" s="12"/>
      <c r="M253" s="12"/>
      <c r="N253" s="12"/>
      <c r="O253" s="12"/>
      <c r="P253" s="12"/>
      <c r="Q253" s="12"/>
      <c r="R253" s="12"/>
      <c r="S253" s="12"/>
      <c r="T253" s="12"/>
      <c r="U253" s="12"/>
      <c r="V253" s="12"/>
      <c r="W253" s="12"/>
      <c r="X253" s="12"/>
      <c r="Y253" s="12"/>
      <c r="Z253" s="12"/>
      <c r="AA253" s="12"/>
    </row>
    <row r="254" ht="13.5" customHeight="1">
      <c r="A254" s="17"/>
      <c r="B254" s="12"/>
      <c r="C254" s="12"/>
      <c r="D254" s="17"/>
      <c r="E254" s="12"/>
      <c r="F254" s="12"/>
      <c r="G254" s="17"/>
      <c r="H254" s="17"/>
      <c r="I254" s="12"/>
      <c r="J254" s="12"/>
      <c r="K254" s="12"/>
      <c r="L254" s="12"/>
      <c r="M254" s="12"/>
      <c r="N254" s="12"/>
      <c r="O254" s="12"/>
      <c r="P254" s="12"/>
      <c r="Q254" s="12"/>
      <c r="R254" s="12"/>
      <c r="S254" s="12"/>
      <c r="T254" s="12"/>
      <c r="U254" s="12"/>
      <c r="V254" s="12"/>
      <c r="W254" s="12"/>
      <c r="X254" s="12"/>
      <c r="Y254" s="12"/>
      <c r="Z254" s="12"/>
      <c r="AA254" s="12"/>
    </row>
    <row r="255" ht="13.5" customHeight="1">
      <c r="A255" s="17"/>
      <c r="B255" s="12"/>
      <c r="C255" s="12"/>
      <c r="D255" s="17"/>
      <c r="E255" s="12"/>
      <c r="F255" s="12"/>
      <c r="G255" s="17"/>
      <c r="H255" s="17"/>
      <c r="I255" s="12"/>
      <c r="J255" s="12"/>
      <c r="K255" s="12"/>
      <c r="L255" s="12"/>
      <c r="M255" s="12"/>
      <c r="N255" s="12"/>
      <c r="O255" s="12"/>
      <c r="P255" s="12"/>
      <c r="Q255" s="12"/>
      <c r="R255" s="12"/>
      <c r="S255" s="12"/>
      <c r="T255" s="12"/>
      <c r="U255" s="12"/>
      <c r="V255" s="12"/>
      <c r="W255" s="12"/>
      <c r="X255" s="12"/>
      <c r="Y255" s="12"/>
      <c r="Z255" s="12"/>
      <c r="AA255" s="12"/>
    </row>
    <row r="256" ht="13.5" customHeight="1">
      <c r="A256" s="17"/>
      <c r="B256" s="12"/>
      <c r="C256" s="12"/>
      <c r="D256" s="17"/>
      <c r="E256" s="12"/>
      <c r="F256" s="12"/>
      <c r="G256" s="17"/>
      <c r="H256" s="17"/>
      <c r="I256" s="12"/>
      <c r="J256" s="12"/>
      <c r="K256" s="12"/>
      <c r="L256" s="12"/>
      <c r="M256" s="12"/>
      <c r="N256" s="12"/>
      <c r="O256" s="12"/>
      <c r="P256" s="12"/>
      <c r="Q256" s="12"/>
      <c r="R256" s="12"/>
      <c r="S256" s="12"/>
      <c r="T256" s="12"/>
      <c r="U256" s="12"/>
      <c r="V256" s="12"/>
      <c r="W256" s="12"/>
      <c r="X256" s="12"/>
      <c r="Y256" s="12"/>
      <c r="Z256" s="12"/>
      <c r="AA256" s="12"/>
    </row>
    <row r="257" ht="13.5" customHeight="1">
      <c r="A257" s="17"/>
      <c r="B257" s="12"/>
      <c r="C257" s="12"/>
      <c r="D257" s="17"/>
      <c r="E257" s="12"/>
      <c r="F257" s="12"/>
      <c r="G257" s="17"/>
      <c r="H257" s="17"/>
      <c r="I257" s="12"/>
      <c r="J257" s="12"/>
      <c r="K257" s="12"/>
      <c r="L257" s="12"/>
      <c r="M257" s="12"/>
      <c r="N257" s="12"/>
      <c r="O257" s="12"/>
      <c r="P257" s="12"/>
      <c r="Q257" s="12"/>
      <c r="R257" s="12"/>
      <c r="S257" s="12"/>
      <c r="T257" s="12"/>
      <c r="U257" s="12"/>
      <c r="V257" s="12"/>
      <c r="W257" s="12"/>
      <c r="X257" s="12"/>
      <c r="Y257" s="12"/>
      <c r="Z257" s="12"/>
      <c r="AA257" s="12"/>
    </row>
    <row r="258" ht="13.5" customHeight="1">
      <c r="A258" s="17"/>
      <c r="B258" s="12"/>
      <c r="C258" s="12"/>
      <c r="D258" s="17"/>
      <c r="E258" s="12"/>
      <c r="F258" s="12"/>
      <c r="G258" s="17"/>
      <c r="H258" s="17"/>
      <c r="I258" s="12"/>
      <c r="J258" s="12"/>
      <c r="K258" s="12"/>
      <c r="L258" s="12"/>
      <c r="M258" s="12"/>
      <c r="N258" s="12"/>
      <c r="O258" s="12"/>
      <c r="P258" s="12"/>
      <c r="Q258" s="12"/>
      <c r="R258" s="12"/>
      <c r="S258" s="12"/>
      <c r="T258" s="12"/>
      <c r="U258" s="12"/>
      <c r="V258" s="12"/>
      <c r="W258" s="12"/>
      <c r="X258" s="12"/>
      <c r="Y258" s="12"/>
      <c r="Z258" s="12"/>
      <c r="AA258" s="12"/>
    </row>
    <row r="259" ht="13.5" customHeight="1">
      <c r="A259" s="17"/>
      <c r="B259" s="12"/>
      <c r="C259" s="12"/>
      <c r="D259" s="17"/>
      <c r="E259" s="12"/>
      <c r="F259" s="12"/>
      <c r="G259" s="17"/>
      <c r="H259" s="17"/>
      <c r="I259" s="12"/>
      <c r="J259" s="12"/>
      <c r="K259" s="12"/>
      <c r="L259" s="12"/>
      <c r="M259" s="12"/>
      <c r="N259" s="12"/>
      <c r="O259" s="12"/>
      <c r="P259" s="12"/>
      <c r="Q259" s="12"/>
      <c r="R259" s="12"/>
      <c r="S259" s="12"/>
      <c r="T259" s="12"/>
      <c r="U259" s="12"/>
      <c r="V259" s="12"/>
      <c r="W259" s="12"/>
      <c r="X259" s="12"/>
      <c r="Y259" s="12"/>
      <c r="Z259" s="12"/>
      <c r="AA259" s="12"/>
    </row>
    <row r="260" ht="13.5" customHeight="1">
      <c r="A260" s="17"/>
      <c r="B260" s="12"/>
      <c r="C260" s="12"/>
      <c r="D260" s="17"/>
      <c r="E260" s="12"/>
      <c r="F260" s="12"/>
      <c r="G260" s="17"/>
      <c r="H260" s="17"/>
      <c r="I260" s="12"/>
      <c r="J260" s="12"/>
      <c r="K260" s="12"/>
      <c r="L260" s="12"/>
      <c r="M260" s="12"/>
      <c r="N260" s="12"/>
      <c r="O260" s="12"/>
      <c r="P260" s="12"/>
      <c r="Q260" s="12"/>
      <c r="R260" s="12"/>
      <c r="S260" s="12"/>
      <c r="T260" s="12"/>
      <c r="U260" s="12"/>
      <c r="V260" s="12"/>
      <c r="W260" s="12"/>
      <c r="X260" s="12"/>
      <c r="Y260" s="12"/>
      <c r="Z260" s="12"/>
      <c r="AA260" s="12"/>
    </row>
    <row r="261" ht="13.5" customHeight="1">
      <c r="A261" s="17"/>
      <c r="B261" s="12"/>
      <c r="C261" s="12"/>
      <c r="D261" s="17"/>
      <c r="E261" s="12"/>
      <c r="F261" s="12"/>
      <c r="G261" s="17"/>
      <c r="H261" s="17"/>
      <c r="I261" s="12"/>
      <c r="J261" s="12"/>
      <c r="K261" s="12"/>
      <c r="L261" s="12"/>
      <c r="M261" s="12"/>
      <c r="N261" s="12"/>
      <c r="O261" s="12"/>
      <c r="P261" s="12"/>
      <c r="Q261" s="12"/>
      <c r="R261" s="12"/>
      <c r="S261" s="12"/>
      <c r="T261" s="12"/>
      <c r="U261" s="12"/>
      <c r="V261" s="12"/>
      <c r="W261" s="12"/>
      <c r="X261" s="12"/>
      <c r="Y261" s="12"/>
      <c r="Z261" s="12"/>
      <c r="AA261" s="12"/>
    </row>
    <row r="262" ht="13.5" customHeight="1">
      <c r="A262" s="17"/>
      <c r="B262" s="12"/>
      <c r="C262" s="12"/>
      <c r="D262" s="17"/>
      <c r="E262" s="12"/>
      <c r="F262" s="12"/>
      <c r="G262" s="17"/>
      <c r="H262" s="17"/>
      <c r="I262" s="12"/>
      <c r="J262" s="12"/>
      <c r="K262" s="12"/>
      <c r="L262" s="12"/>
      <c r="M262" s="12"/>
      <c r="N262" s="12"/>
      <c r="O262" s="12"/>
      <c r="P262" s="12"/>
      <c r="Q262" s="12"/>
      <c r="R262" s="12"/>
      <c r="S262" s="12"/>
      <c r="T262" s="12"/>
      <c r="U262" s="12"/>
      <c r="V262" s="12"/>
      <c r="W262" s="12"/>
      <c r="X262" s="12"/>
      <c r="Y262" s="12"/>
      <c r="Z262" s="12"/>
      <c r="AA262" s="12"/>
    </row>
    <row r="263" ht="13.5" customHeight="1">
      <c r="A263" s="17"/>
      <c r="B263" s="12"/>
      <c r="C263" s="12"/>
      <c r="D263" s="17"/>
      <c r="E263" s="12"/>
      <c r="F263" s="12"/>
      <c r="G263" s="17"/>
      <c r="H263" s="17"/>
      <c r="I263" s="12"/>
      <c r="J263" s="12"/>
      <c r="K263" s="12"/>
      <c r="L263" s="12"/>
      <c r="M263" s="12"/>
      <c r="N263" s="12"/>
      <c r="O263" s="12"/>
      <c r="P263" s="12"/>
      <c r="Q263" s="12"/>
      <c r="R263" s="12"/>
      <c r="S263" s="12"/>
      <c r="T263" s="12"/>
      <c r="U263" s="12"/>
      <c r="V263" s="12"/>
      <c r="W263" s="12"/>
      <c r="X263" s="12"/>
      <c r="Y263" s="12"/>
      <c r="Z263" s="12"/>
      <c r="AA263" s="12"/>
    </row>
    <row r="264" ht="13.5" customHeight="1">
      <c r="A264" s="17"/>
      <c r="B264" s="12"/>
      <c r="C264" s="12"/>
      <c r="D264" s="17"/>
      <c r="E264" s="12"/>
      <c r="F264" s="12"/>
      <c r="G264" s="17"/>
      <c r="H264" s="17"/>
      <c r="I264" s="12"/>
      <c r="J264" s="12"/>
      <c r="K264" s="12"/>
      <c r="L264" s="12"/>
      <c r="M264" s="12"/>
      <c r="N264" s="12"/>
      <c r="O264" s="12"/>
      <c r="P264" s="12"/>
      <c r="Q264" s="12"/>
      <c r="R264" s="12"/>
      <c r="S264" s="12"/>
      <c r="T264" s="12"/>
      <c r="U264" s="12"/>
      <c r="V264" s="12"/>
      <c r="W264" s="12"/>
      <c r="X264" s="12"/>
      <c r="Y264" s="12"/>
      <c r="Z264" s="12"/>
      <c r="AA264" s="12"/>
    </row>
    <row r="265" ht="13.5" customHeight="1">
      <c r="A265" s="17"/>
      <c r="B265" s="12"/>
      <c r="C265" s="12"/>
      <c r="D265" s="17"/>
      <c r="E265" s="12"/>
      <c r="F265" s="12"/>
      <c r="G265" s="17"/>
      <c r="H265" s="17"/>
      <c r="I265" s="12"/>
      <c r="J265" s="12"/>
      <c r="K265" s="12"/>
      <c r="L265" s="12"/>
      <c r="M265" s="12"/>
      <c r="N265" s="12"/>
      <c r="O265" s="12"/>
      <c r="P265" s="12"/>
      <c r="Q265" s="12"/>
      <c r="R265" s="12"/>
      <c r="S265" s="12"/>
      <c r="T265" s="12"/>
      <c r="U265" s="12"/>
      <c r="V265" s="12"/>
      <c r="W265" s="12"/>
      <c r="X265" s="12"/>
      <c r="Y265" s="12"/>
      <c r="Z265" s="12"/>
      <c r="AA265" s="12"/>
    </row>
    <row r="266" ht="13.5" customHeight="1">
      <c r="A266" s="17"/>
      <c r="B266" s="12"/>
      <c r="C266" s="12"/>
      <c r="D266" s="17"/>
      <c r="E266" s="12"/>
      <c r="F266" s="12"/>
      <c r="G266" s="17"/>
      <c r="H266" s="17"/>
      <c r="I266" s="12"/>
      <c r="J266" s="12"/>
      <c r="K266" s="12"/>
      <c r="L266" s="12"/>
      <c r="M266" s="12"/>
      <c r="N266" s="12"/>
      <c r="O266" s="12"/>
      <c r="P266" s="12"/>
      <c r="Q266" s="12"/>
      <c r="R266" s="12"/>
      <c r="S266" s="12"/>
      <c r="T266" s="12"/>
      <c r="U266" s="12"/>
      <c r="V266" s="12"/>
      <c r="W266" s="12"/>
      <c r="X266" s="12"/>
      <c r="Y266" s="12"/>
      <c r="Z266" s="12"/>
      <c r="AA266" s="12"/>
    </row>
    <row r="267" ht="13.5" customHeight="1">
      <c r="A267" s="17"/>
      <c r="B267" s="12"/>
      <c r="C267" s="12"/>
      <c r="D267" s="17"/>
      <c r="E267" s="12"/>
      <c r="F267" s="12"/>
      <c r="G267" s="17"/>
      <c r="H267" s="17"/>
      <c r="I267" s="12"/>
      <c r="J267" s="12"/>
      <c r="K267" s="12"/>
      <c r="L267" s="12"/>
      <c r="M267" s="12"/>
      <c r="N267" s="12"/>
      <c r="O267" s="12"/>
      <c r="P267" s="12"/>
      <c r="Q267" s="12"/>
      <c r="R267" s="12"/>
      <c r="S267" s="12"/>
      <c r="T267" s="12"/>
      <c r="U267" s="12"/>
      <c r="V267" s="12"/>
      <c r="W267" s="12"/>
      <c r="X267" s="12"/>
      <c r="Y267" s="12"/>
      <c r="Z267" s="12"/>
      <c r="AA267" s="12"/>
    </row>
    <row r="268" ht="13.5" customHeight="1">
      <c r="A268" s="17"/>
      <c r="B268" s="12"/>
      <c r="C268" s="12"/>
      <c r="D268" s="17"/>
      <c r="E268" s="12"/>
      <c r="F268" s="12"/>
      <c r="G268" s="17"/>
      <c r="H268" s="17"/>
      <c r="I268" s="12"/>
      <c r="J268" s="12"/>
      <c r="K268" s="12"/>
      <c r="L268" s="12"/>
      <c r="M268" s="12"/>
      <c r="N268" s="12"/>
      <c r="O268" s="12"/>
      <c r="P268" s="12"/>
      <c r="Q268" s="12"/>
      <c r="R268" s="12"/>
      <c r="S268" s="12"/>
      <c r="T268" s="12"/>
      <c r="U268" s="12"/>
      <c r="V268" s="12"/>
      <c r="W268" s="12"/>
      <c r="X268" s="12"/>
      <c r="Y268" s="12"/>
      <c r="Z268" s="12"/>
      <c r="AA268" s="12"/>
    </row>
    <row r="269" ht="13.5" customHeight="1">
      <c r="A269" s="17"/>
      <c r="B269" s="12"/>
      <c r="C269" s="12"/>
      <c r="D269" s="17"/>
      <c r="E269" s="12"/>
      <c r="F269" s="12"/>
      <c r="G269" s="17"/>
      <c r="H269" s="17"/>
      <c r="I269" s="12"/>
      <c r="J269" s="12"/>
      <c r="K269" s="12"/>
      <c r="L269" s="12"/>
      <c r="M269" s="12"/>
      <c r="N269" s="12"/>
      <c r="O269" s="12"/>
      <c r="P269" s="12"/>
      <c r="Q269" s="12"/>
      <c r="R269" s="12"/>
      <c r="S269" s="12"/>
      <c r="T269" s="12"/>
      <c r="U269" s="12"/>
      <c r="V269" s="12"/>
      <c r="W269" s="12"/>
      <c r="X269" s="12"/>
      <c r="Y269" s="12"/>
      <c r="Z269" s="12"/>
      <c r="AA269" s="12"/>
    </row>
    <row r="270" ht="13.5" customHeight="1">
      <c r="A270" s="17"/>
      <c r="B270" s="12"/>
      <c r="C270" s="12"/>
      <c r="D270" s="17"/>
      <c r="E270" s="12"/>
      <c r="F270" s="12"/>
      <c r="G270" s="17"/>
      <c r="H270" s="17"/>
      <c r="I270" s="12"/>
      <c r="J270" s="12"/>
      <c r="K270" s="12"/>
      <c r="L270" s="12"/>
      <c r="M270" s="12"/>
      <c r="N270" s="12"/>
      <c r="O270" s="12"/>
      <c r="P270" s="12"/>
      <c r="Q270" s="12"/>
      <c r="R270" s="12"/>
      <c r="S270" s="12"/>
      <c r="T270" s="12"/>
      <c r="U270" s="12"/>
      <c r="V270" s="12"/>
      <c r="W270" s="12"/>
      <c r="X270" s="12"/>
      <c r="Y270" s="12"/>
      <c r="Z270" s="12"/>
      <c r="AA270" s="12"/>
    </row>
    <row r="271" ht="13.5" customHeight="1">
      <c r="A271" s="17"/>
      <c r="B271" s="12"/>
      <c r="C271" s="12"/>
      <c r="D271" s="17"/>
      <c r="E271" s="12"/>
      <c r="F271" s="12"/>
      <c r="G271" s="17"/>
      <c r="H271" s="17"/>
      <c r="I271" s="12"/>
      <c r="J271" s="12"/>
      <c r="K271" s="12"/>
      <c r="L271" s="12"/>
      <c r="M271" s="12"/>
      <c r="N271" s="12"/>
      <c r="O271" s="12"/>
      <c r="P271" s="12"/>
      <c r="Q271" s="12"/>
      <c r="R271" s="12"/>
      <c r="S271" s="12"/>
      <c r="T271" s="12"/>
      <c r="U271" s="12"/>
      <c r="V271" s="12"/>
      <c r="W271" s="12"/>
      <c r="X271" s="12"/>
      <c r="Y271" s="12"/>
      <c r="Z271" s="12"/>
      <c r="AA271" s="12"/>
    </row>
    <row r="272" ht="13.5" customHeight="1">
      <c r="A272" s="17"/>
      <c r="B272" s="12"/>
      <c r="C272" s="12"/>
      <c r="D272" s="17"/>
      <c r="E272" s="12"/>
      <c r="F272" s="12"/>
      <c r="G272" s="17"/>
      <c r="H272" s="17"/>
      <c r="I272" s="12"/>
      <c r="J272" s="12"/>
      <c r="K272" s="12"/>
      <c r="L272" s="12"/>
      <c r="M272" s="12"/>
      <c r="N272" s="12"/>
      <c r="O272" s="12"/>
      <c r="P272" s="12"/>
      <c r="Q272" s="12"/>
      <c r="R272" s="12"/>
      <c r="S272" s="12"/>
      <c r="T272" s="12"/>
      <c r="U272" s="12"/>
      <c r="V272" s="12"/>
      <c r="W272" s="12"/>
      <c r="X272" s="12"/>
      <c r="Y272" s="12"/>
      <c r="Z272" s="12"/>
      <c r="AA272" s="12"/>
    </row>
    <row r="273" ht="13.5" customHeight="1">
      <c r="A273" s="17"/>
      <c r="B273" s="12"/>
      <c r="C273" s="12"/>
      <c r="D273" s="17"/>
      <c r="E273" s="12"/>
      <c r="F273" s="12"/>
      <c r="G273" s="17"/>
      <c r="H273" s="17"/>
      <c r="I273" s="12"/>
      <c r="J273" s="12"/>
      <c r="K273" s="12"/>
      <c r="L273" s="12"/>
      <c r="M273" s="12"/>
      <c r="N273" s="12"/>
      <c r="O273" s="12"/>
      <c r="P273" s="12"/>
      <c r="Q273" s="12"/>
      <c r="R273" s="12"/>
      <c r="S273" s="12"/>
      <c r="T273" s="12"/>
      <c r="U273" s="12"/>
      <c r="V273" s="12"/>
      <c r="W273" s="12"/>
      <c r="X273" s="12"/>
      <c r="Y273" s="12"/>
      <c r="Z273" s="12"/>
      <c r="AA273" s="12"/>
    </row>
    <row r="274" ht="13.5" customHeight="1">
      <c r="A274" s="17"/>
      <c r="B274" s="12"/>
      <c r="C274" s="12"/>
      <c r="D274" s="17"/>
      <c r="E274" s="12"/>
      <c r="F274" s="12"/>
      <c r="G274" s="17"/>
      <c r="H274" s="17"/>
      <c r="I274" s="12"/>
      <c r="J274" s="12"/>
      <c r="K274" s="12"/>
      <c r="L274" s="12"/>
      <c r="M274" s="12"/>
      <c r="N274" s="12"/>
      <c r="O274" s="12"/>
      <c r="P274" s="12"/>
      <c r="Q274" s="12"/>
      <c r="R274" s="12"/>
      <c r="S274" s="12"/>
      <c r="T274" s="12"/>
      <c r="U274" s="12"/>
      <c r="V274" s="12"/>
      <c r="W274" s="12"/>
      <c r="X274" s="12"/>
      <c r="Y274" s="12"/>
      <c r="Z274" s="12"/>
      <c r="AA274" s="12"/>
    </row>
    <row r="275" ht="13.5" customHeight="1">
      <c r="A275" s="17"/>
      <c r="B275" s="12"/>
      <c r="C275" s="12"/>
      <c r="D275" s="17"/>
      <c r="E275" s="12"/>
      <c r="F275" s="12"/>
      <c r="G275" s="17"/>
      <c r="H275" s="17"/>
      <c r="I275" s="12"/>
      <c r="J275" s="12"/>
      <c r="K275" s="12"/>
      <c r="L275" s="12"/>
      <c r="M275" s="12"/>
      <c r="N275" s="12"/>
      <c r="O275" s="12"/>
      <c r="P275" s="12"/>
      <c r="Q275" s="12"/>
      <c r="R275" s="12"/>
      <c r="S275" s="12"/>
      <c r="T275" s="12"/>
      <c r="U275" s="12"/>
      <c r="V275" s="12"/>
      <c r="W275" s="12"/>
      <c r="X275" s="12"/>
      <c r="Y275" s="12"/>
      <c r="Z275" s="12"/>
      <c r="AA275" s="12"/>
    </row>
    <row r="276" ht="13.5" customHeight="1">
      <c r="A276" s="17"/>
      <c r="B276" s="12"/>
      <c r="C276" s="12"/>
      <c r="D276" s="17"/>
      <c r="E276" s="12"/>
      <c r="F276" s="12"/>
      <c r="G276" s="17"/>
      <c r="H276" s="17"/>
      <c r="I276" s="12"/>
      <c r="J276" s="12"/>
      <c r="K276" s="12"/>
      <c r="L276" s="12"/>
      <c r="M276" s="12"/>
      <c r="N276" s="12"/>
      <c r="O276" s="12"/>
      <c r="P276" s="12"/>
      <c r="Q276" s="12"/>
      <c r="R276" s="12"/>
      <c r="S276" s="12"/>
      <c r="T276" s="12"/>
      <c r="U276" s="12"/>
      <c r="V276" s="12"/>
      <c r="W276" s="12"/>
      <c r="X276" s="12"/>
      <c r="Y276" s="12"/>
      <c r="Z276" s="12"/>
      <c r="AA276" s="12"/>
    </row>
    <row r="277" ht="13.5" customHeight="1">
      <c r="A277" s="17"/>
      <c r="B277" s="12"/>
      <c r="C277" s="12"/>
      <c r="D277" s="17"/>
      <c r="E277" s="12"/>
      <c r="F277" s="12"/>
      <c r="G277" s="17"/>
      <c r="H277" s="17"/>
      <c r="I277" s="12"/>
      <c r="J277" s="12"/>
      <c r="K277" s="12"/>
      <c r="L277" s="12"/>
      <c r="M277" s="12"/>
      <c r="N277" s="12"/>
      <c r="O277" s="12"/>
      <c r="P277" s="12"/>
      <c r="Q277" s="12"/>
      <c r="R277" s="12"/>
      <c r="S277" s="12"/>
      <c r="T277" s="12"/>
      <c r="U277" s="12"/>
      <c r="V277" s="12"/>
      <c r="W277" s="12"/>
      <c r="X277" s="12"/>
      <c r="Y277" s="12"/>
      <c r="Z277" s="12"/>
      <c r="AA277" s="12"/>
    </row>
    <row r="278" ht="13.5" customHeight="1">
      <c r="A278" s="17"/>
      <c r="B278" s="12"/>
      <c r="C278" s="12"/>
      <c r="D278" s="17"/>
      <c r="E278" s="12"/>
      <c r="F278" s="12"/>
      <c r="G278" s="17"/>
      <c r="H278" s="17"/>
      <c r="I278" s="12"/>
      <c r="J278" s="12"/>
      <c r="K278" s="12"/>
      <c r="L278" s="12"/>
      <c r="M278" s="12"/>
      <c r="N278" s="12"/>
      <c r="O278" s="12"/>
      <c r="P278" s="12"/>
      <c r="Q278" s="12"/>
      <c r="R278" s="12"/>
      <c r="S278" s="12"/>
      <c r="T278" s="12"/>
      <c r="U278" s="12"/>
      <c r="V278" s="12"/>
      <c r="W278" s="12"/>
      <c r="X278" s="12"/>
      <c r="Y278" s="12"/>
      <c r="Z278" s="12"/>
      <c r="AA278" s="12"/>
    </row>
    <row r="279" ht="13.5" customHeight="1">
      <c r="A279" s="17"/>
      <c r="B279" s="12"/>
      <c r="C279" s="12"/>
      <c r="D279" s="17"/>
      <c r="E279" s="12"/>
      <c r="F279" s="12"/>
      <c r="G279" s="17"/>
      <c r="H279" s="17"/>
      <c r="I279" s="12"/>
      <c r="J279" s="12"/>
      <c r="K279" s="12"/>
      <c r="L279" s="12"/>
      <c r="M279" s="12"/>
      <c r="N279" s="12"/>
      <c r="O279" s="12"/>
      <c r="P279" s="12"/>
      <c r="Q279" s="12"/>
      <c r="R279" s="12"/>
      <c r="S279" s="12"/>
      <c r="T279" s="12"/>
      <c r="U279" s="12"/>
      <c r="V279" s="12"/>
      <c r="W279" s="12"/>
      <c r="X279" s="12"/>
      <c r="Y279" s="12"/>
      <c r="Z279" s="12"/>
      <c r="AA279" s="12"/>
    </row>
    <row r="280" ht="13.5" customHeight="1">
      <c r="A280" s="17"/>
      <c r="B280" s="12"/>
      <c r="C280" s="12"/>
      <c r="D280" s="17"/>
      <c r="E280" s="12"/>
      <c r="F280" s="12"/>
      <c r="G280" s="17"/>
      <c r="H280" s="17"/>
      <c r="I280" s="12"/>
      <c r="J280" s="12"/>
      <c r="K280" s="12"/>
      <c r="L280" s="12"/>
      <c r="M280" s="12"/>
      <c r="N280" s="12"/>
      <c r="O280" s="12"/>
      <c r="P280" s="12"/>
      <c r="Q280" s="12"/>
      <c r="R280" s="12"/>
      <c r="S280" s="12"/>
      <c r="T280" s="12"/>
      <c r="U280" s="12"/>
      <c r="V280" s="12"/>
      <c r="W280" s="12"/>
      <c r="X280" s="12"/>
      <c r="Y280" s="12"/>
      <c r="Z280" s="12"/>
      <c r="AA280" s="12"/>
    </row>
    <row r="281" ht="13.5" customHeight="1">
      <c r="A281" s="17"/>
      <c r="B281" s="12"/>
      <c r="C281" s="12"/>
      <c r="D281" s="17"/>
      <c r="E281" s="12"/>
      <c r="F281" s="12"/>
      <c r="G281" s="17"/>
      <c r="H281" s="17"/>
      <c r="I281" s="12"/>
      <c r="J281" s="12"/>
      <c r="K281" s="12"/>
      <c r="L281" s="12"/>
      <c r="M281" s="12"/>
      <c r="N281" s="12"/>
      <c r="O281" s="12"/>
      <c r="P281" s="12"/>
      <c r="Q281" s="12"/>
      <c r="R281" s="12"/>
      <c r="S281" s="12"/>
      <c r="T281" s="12"/>
      <c r="U281" s="12"/>
      <c r="V281" s="12"/>
      <c r="W281" s="12"/>
      <c r="X281" s="12"/>
      <c r="Y281" s="12"/>
      <c r="Z281" s="12"/>
      <c r="AA281" s="12"/>
    </row>
    <row r="282" ht="13.5" customHeight="1">
      <c r="A282" s="17"/>
      <c r="B282" s="12"/>
      <c r="C282" s="12"/>
      <c r="D282" s="17"/>
      <c r="E282" s="12"/>
      <c r="F282" s="12"/>
      <c r="G282" s="17"/>
      <c r="H282" s="17"/>
      <c r="I282" s="12"/>
      <c r="J282" s="12"/>
      <c r="K282" s="12"/>
      <c r="L282" s="12"/>
      <c r="M282" s="12"/>
      <c r="N282" s="12"/>
      <c r="O282" s="12"/>
      <c r="P282" s="12"/>
      <c r="Q282" s="12"/>
      <c r="R282" s="12"/>
      <c r="S282" s="12"/>
      <c r="T282" s="12"/>
      <c r="U282" s="12"/>
      <c r="V282" s="12"/>
      <c r="W282" s="12"/>
      <c r="X282" s="12"/>
      <c r="Y282" s="12"/>
      <c r="Z282" s="12"/>
      <c r="AA282" s="12"/>
    </row>
    <row r="283" ht="13.5" customHeight="1">
      <c r="A283" s="17"/>
      <c r="B283" s="12"/>
      <c r="C283" s="12"/>
      <c r="D283" s="17"/>
      <c r="E283" s="12"/>
      <c r="F283" s="12"/>
      <c r="G283" s="17"/>
      <c r="H283" s="17"/>
      <c r="I283" s="12"/>
      <c r="J283" s="12"/>
      <c r="K283" s="12"/>
      <c r="L283" s="12"/>
      <c r="M283" s="12"/>
      <c r="N283" s="12"/>
      <c r="O283" s="12"/>
      <c r="P283" s="12"/>
      <c r="Q283" s="12"/>
      <c r="R283" s="12"/>
      <c r="S283" s="12"/>
      <c r="T283" s="12"/>
      <c r="U283" s="12"/>
      <c r="V283" s="12"/>
      <c r="W283" s="12"/>
      <c r="X283" s="12"/>
      <c r="Y283" s="12"/>
      <c r="Z283" s="12"/>
      <c r="AA283" s="12"/>
    </row>
    <row r="284" ht="13.5" customHeight="1">
      <c r="A284" s="17"/>
      <c r="B284" s="12"/>
      <c r="C284" s="12"/>
      <c r="D284" s="17"/>
      <c r="E284" s="12"/>
      <c r="F284" s="12"/>
      <c r="G284" s="17"/>
      <c r="H284" s="17"/>
      <c r="I284" s="12"/>
      <c r="J284" s="12"/>
      <c r="K284" s="12"/>
      <c r="L284" s="12"/>
      <c r="M284" s="12"/>
      <c r="N284" s="12"/>
      <c r="O284" s="12"/>
      <c r="P284" s="12"/>
      <c r="Q284" s="12"/>
      <c r="R284" s="12"/>
      <c r="S284" s="12"/>
      <c r="T284" s="12"/>
      <c r="U284" s="12"/>
      <c r="V284" s="12"/>
      <c r="W284" s="12"/>
      <c r="X284" s="12"/>
      <c r="Y284" s="12"/>
      <c r="Z284" s="12"/>
      <c r="AA284" s="12"/>
    </row>
    <row r="285" ht="13.5" customHeight="1">
      <c r="A285" s="17"/>
      <c r="B285" s="12"/>
      <c r="C285" s="12"/>
      <c r="D285" s="17"/>
      <c r="E285" s="12"/>
      <c r="F285" s="12"/>
      <c r="G285" s="17"/>
      <c r="H285" s="17"/>
      <c r="I285" s="12"/>
      <c r="J285" s="12"/>
      <c r="K285" s="12"/>
      <c r="L285" s="12"/>
      <c r="M285" s="12"/>
      <c r="N285" s="12"/>
      <c r="O285" s="12"/>
      <c r="P285" s="12"/>
      <c r="Q285" s="12"/>
      <c r="R285" s="12"/>
      <c r="S285" s="12"/>
      <c r="T285" s="12"/>
      <c r="U285" s="12"/>
      <c r="V285" s="12"/>
      <c r="W285" s="12"/>
      <c r="X285" s="12"/>
      <c r="Y285" s="12"/>
      <c r="Z285" s="12"/>
      <c r="AA285" s="12"/>
    </row>
    <row r="286" ht="13.5" customHeight="1">
      <c r="A286" s="17"/>
      <c r="B286" s="12"/>
      <c r="C286" s="12"/>
      <c r="D286" s="17"/>
      <c r="E286" s="12"/>
      <c r="F286" s="12"/>
      <c r="G286" s="17"/>
      <c r="H286" s="17"/>
      <c r="I286" s="12"/>
      <c r="J286" s="12"/>
      <c r="K286" s="12"/>
      <c r="L286" s="12"/>
      <c r="M286" s="12"/>
      <c r="N286" s="12"/>
      <c r="O286" s="12"/>
      <c r="P286" s="12"/>
      <c r="Q286" s="12"/>
      <c r="R286" s="12"/>
      <c r="S286" s="12"/>
      <c r="T286" s="12"/>
      <c r="U286" s="12"/>
      <c r="V286" s="12"/>
      <c r="W286" s="12"/>
      <c r="X286" s="12"/>
      <c r="Y286" s="12"/>
      <c r="Z286" s="12"/>
      <c r="AA286" s="12"/>
    </row>
    <row r="287" ht="13.5" customHeight="1">
      <c r="A287" s="17"/>
      <c r="B287" s="12"/>
      <c r="C287" s="12"/>
      <c r="D287" s="17"/>
      <c r="E287" s="12"/>
      <c r="F287" s="12"/>
      <c r="G287" s="17"/>
      <c r="H287" s="17"/>
      <c r="I287" s="12"/>
      <c r="J287" s="12"/>
      <c r="K287" s="12"/>
      <c r="L287" s="12"/>
      <c r="M287" s="12"/>
      <c r="N287" s="12"/>
      <c r="O287" s="12"/>
      <c r="P287" s="12"/>
      <c r="Q287" s="12"/>
      <c r="R287" s="12"/>
      <c r="S287" s="12"/>
      <c r="T287" s="12"/>
      <c r="U287" s="12"/>
      <c r="V287" s="12"/>
      <c r="W287" s="12"/>
      <c r="X287" s="12"/>
      <c r="Y287" s="12"/>
      <c r="Z287" s="12"/>
      <c r="AA287" s="12"/>
    </row>
    <row r="288" ht="13.5" customHeight="1">
      <c r="A288" s="17"/>
      <c r="B288" s="12"/>
      <c r="C288" s="12"/>
      <c r="D288" s="17"/>
      <c r="E288" s="12"/>
      <c r="F288" s="12"/>
      <c r="G288" s="17"/>
      <c r="H288" s="17"/>
      <c r="I288" s="12"/>
      <c r="J288" s="12"/>
      <c r="K288" s="12"/>
      <c r="L288" s="12"/>
      <c r="M288" s="12"/>
      <c r="N288" s="12"/>
      <c r="O288" s="12"/>
      <c r="P288" s="12"/>
      <c r="Q288" s="12"/>
      <c r="R288" s="12"/>
      <c r="S288" s="12"/>
      <c r="T288" s="12"/>
      <c r="U288" s="12"/>
      <c r="V288" s="12"/>
      <c r="W288" s="12"/>
      <c r="X288" s="12"/>
      <c r="Y288" s="12"/>
      <c r="Z288" s="12"/>
      <c r="AA288" s="12"/>
    </row>
    <row r="289" ht="13.5" customHeight="1">
      <c r="A289" s="17"/>
      <c r="B289" s="12"/>
      <c r="C289" s="12"/>
      <c r="D289" s="17"/>
      <c r="E289" s="12"/>
      <c r="F289" s="12"/>
      <c r="G289" s="17"/>
      <c r="H289" s="17"/>
      <c r="I289" s="12"/>
      <c r="J289" s="12"/>
      <c r="K289" s="12"/>
      <c r="L289" s="12"/>
      <c r="M289" s="12"/>
      <c r="N289" s="12"/>
      <c r="O289" s="12"/>
      <c r="P289" s="12"/>
      <c r="Q289" s="12"/>
      <c r="R289" s="12"/>
      <c r="S289" s="12"/>
      <c r="T289" s="12"/>
      <c r="U289" s="12"/>
      <c r="V289" s="12"/>
      <c r="W289" s="12"/>
      <c r="X289" s="12"/>
      <c r="Y289" s="12"/>
      <c r="Z289" s="12"/>
      <c r="AA289" s="12"/>
    </row>
    <row r="290" ht="13.5" customHeight="1">
      <c r="A290" s="17"/>
      <c r="B290" s="12"/>
      <c r="C290" s="12"/>
      <c r="D290" s="17"/>
      <c r="E290" s="12"/>
      <c r="F290" s="12"/>
      <c r="G290" s="17"/>
      <c r="H290" s="17"/>
      <c r="I290" s="12"/>
      <c r="J290" s="12"/>
      <c r="K290" s="12"/>
      <c r="L290" s="12"/>
      <c r="M290" s="12"/>
      <c r="N290" s="12"/>
      <c r="O290" s="12"/>
      <c r="P290" s="12"/>
      <c r="Q290" s="12"/>
      <c r="R290" s="12"/>
      <c r="S290" s="12"/>
      <c r="T290" s="12"/>
      <c r="U290" s="12"/>
      <c r="V290" s="12"/>
      <c r="W290" s="12"/>
      <c r="X290" s="12"/>
      <c r="Y290" s="12"/>
      <c r="Z290" s="12"/>
      <c r="AA290" s="12"/>
    </row>
    <row r="291" ht="13.5" customHeight="1">
      <c r="A291" s="17"/>
      <c r="B291" s="12"/>
      <c r="C291" s="12"/>
      <c r="D291" s="17"/>
      <c r="E291" s="12"/>
      <c r="F291" s="12"/>
      <c r="G291" s="17"/>
      <c r="H291" s="17"/>
      <c r="I291" s="12"/>
      <c r="J291" s="12"/>
      <c r="K291" s="12"/>
      <c r="L291" s="12"/>
      <c r="M291" s="12"/>
      <c r="N291" s="12"/>
      <c r="O291" s="12"/>
      <c r="P291" s="12"/>
      <c r="Q291" s="12"/>
      <c r="R291" s="12"/>
      <c r="S291" s="12"/>
      <c r="T291" s="12"/>
      <c r="U291" s="12"/>
      <c r="V291" s="12"/>
      <c r="W291" s="12"/>
      <c r="X291" s="12"/>
      <c r="Y291" s="12"/>
      <c r="Z291" s="12"/>
      <c r="AA291" s="12"/>
    </row>
    <row r="292" ht="13.5" customHeight="1">
      <c r="A292" s="17"/>
      <c r="B292" s="12"/>
      <c r="C292" s="12"/>
      <c r="D292" s="17"/>
      <c r="E292" s="12"/>
      <c r="F292" s="12"/>
      <c r="G292" s="17"/>
      <c r="H292" s="17"/>
      <c r="I292" s="12"/>
      <c r="J292" s="12"/>
      <c r="K292" s="12"/>
      <c r="L292" s="12"/>
      <c r="M292" s="12"/>
      <c r="N292" s="12"/>
      <c r="O292" s="12"/>
      <c r="P292" s="12"/>
      <c r="Q292" s="12"/>
      <c r="R292" s="12"/>
      <c r="S292" s="12"/>
      <c r="T292" s="12"/>
      <c r="U292" s="12"/>
      <c r="V292" s="12"/>
      <c r="W292" s="12"/>
      <c r="X292" s="12"/>
      <c r="Y292" s="12"/>
      <c r="Z292" s="12"/>
      <c r="AA292" s="12"/>
    </row>
    <row r="293" ht="13.5" customHeight="1">
      <c r="A293" s="17"/>
      <c r="B293" s="12"/>
      <c r="C293" s="12"/>
      <c r="D293" s="17"/>
      <c r="E293" s="12"/>
      <c r="F293" s="12"/>
      <c r="G293" s="17"/>
      <c r="H293" s="17"/>
      <c r="I293" s="12"/>
      <c r="J293" s="12"/>
      <c r="K293" s="12"/>
      <c r="L293" s="12"/>
      <c r="M293" s="12"/>
      <c r="N293" s="12"/>
      <c r="O293" s="12"/>
      <c r="P293" s="12"/>
      <c r="Q293" s="12"/>
      <c r="R293" s="12"/>
      <c r="S293" s="12"/>
      <c r="T293" s="12"/>
      <c r="U293" s="12"/>
      <c r="V293" s="12"/>
      <c r="W293" s="12"/>
      <c r="X293" s="12"/>
      <c r="Y293" s="12"/>
      <c r="Z293" s="12"/>
      <c r="AA293" s="12"/>
    </row>
    <row r="294" ht="13.5" customHeight="1">
      <c r="A294" s="17"/>
      <c r="B294" s="12"/>
      <c r="C294" s="12"/>
      <c r="D294" s="17"/>
      <c r="E294" s="12"/>
      <c r="F294" s="12"/>
      <c r="G294" s="17"/>
      <c r="H294" s="17"/>
      <c r="I294" s="12"/>
      <c r="J294" s="12"/>
      <c r="K294" s="12"/>
      <c r="L294" s="12"/>
      <c r="M294" s="12"/>
      <c r="N294" s="12"/>
      <c r="O294" s="12"/>
      <c r="P294" s="12"/>
      <c r="Q294" s="12"/>
      <c r="R294" s="12"/>
      <c r="S294" s="12"/>
      <c r="T294" s="12"/>
      <c r="U294" s="12"/>
      <c r="V294" s="12"/>
      <c r="W294" s="12"/>
      <c r="X294" s="12"/>
      <c r="Y294" s="12"/>
      <c r="Z294" s="12"/>
      <c r="AA294" s="12"/>
    </row>
    <row r="295" ht="13.5" customHeight="1">
      <c r="A295" s="17"/>
      <c r="B295" s="12"/>
      <c r="C295" s="12"/>
      <c r="D295" s="17"/>
      <c r="E295" s="12"/>
      <c r="F295" s="12"/>
      <c r="G295" s="17"/>
      <c r="H295" s="17"/>
      <c r="I295" s="12"/>
      <c r="J295" s="12"/>
      <c r="K295" s="12"/>
      <c r="L295" s="12"/>
      <c r="M295" s="12"/>
      <c r="N295" s="12"/>
      <c r="O295" s="12"/>
      <c r="P295" s="12"/>
      <c r="Q295" s="12"/>
      <c r="R295" s="12"/>
      <c r="S295" s="12"/>
      <c r="T295" s="12"/>
      <c r="U295" s="12"/>
      <c r="V295" s="12"/>
      <c r="W295" s="12"/>
      <c r="X295" s="12"/>
      <c r="Y295" s="12"/>
      <c r="Z295" s="12"/>
      <c r="AA295" s="12"/>
    </row>
    <row r="296" ht="13.5" customHeight="1">
      <c r="A296" s="17"/>
      <c r="B296" s="12"/>
      <c r="C296" s="12"/>
      <c r="D296" s="17"/>
      <c r="E296" s="12"/>
      <c r="F296" s="12"/>
      <c r="G296" s="17"/>
      <c r="H296" s="17"/>
      <c r="I296" s="12"/>
      <c r="J296" s="12"/>
      <c r="K296" s="12"/>
      <c r="L296" s="12"/>
      <c r="M296" s="12"/>
      <c r="N296" s="12"/>
      <c r="O296" s="12"/>
      <c r="P296" s="12"/>
      <c r="Q296" s="12"/>
      <c r="R296" s="12"/>
      <c r="S296" s="12"/>
      <c r="T296" s="12"/>
      <c r="U296" s="12"/>
      <c r="V296" s="12"/>
      <c r="W296" s="12"/>
      <c r="X296" s="12"/>
      <c r="Y296" s="12"/>
      <c r="Z296" s="12"/>
      <c r="AA296" s="12"/>
    </row>
    <row r="297" ht="13.5" customHeight="1">
      <c r="A297" s="17"/>
      <c r="B297" s="12"/>
      <c r="C297" s="12"/>
      <c r="D297" s="17"/>
      <c r="E297" s="12"/>
      <c r="F297" s="12"/>
      <c r="G297" s="17"/>
      <c r="H297" s="17"/>
      <c r="I297" s="12"/>
      <c r="J297" s="12"/>
      <c r="K297" s="12"/>
      <c r="L297" s="12"/>
      <c r="M297" s="12"/>
      <c r="N297" s="12"/>
      <c r="O297" s="12"/>
      <c r="P297" s="12"/>
      <c r="Q297" s="12"/>
      <c r="R297" s="12"/>
      <c r="S297" s="12"/>
      <c r="T297" s="12"/>
      <c r="U297" s="12"/>
      <c r="V297" s="12"/>
      <c r="W297" s="12"/>
      <c r="X297" s="12"/>
      <c r="Y297" s="12"/>
      <c r="Z297" s="12"/>
      <c r="AA297" s="12"/>
    </row>
    <row r="298" ht="13.5" customHeight="1">
      <c r="A298" s="17"/>
      <c r="B298" s="12"/>
      <c r="C298" s="12"/>
      <c r="D298" s="17"/>
      <c r="E298" s="12"/>
      <c r="F298" s="12"/>
      <c r="G298" s="17"/>
      <c r="H298" s="17"/>
      <c r="I298" s="12"/>
      <c r="J298" s="12"/>
      <c r="K298" s="12"/>
      <c r="L298" s="12"/>
      <c r="M298" s="12"/>
      <c r="N298" s="12"/>
      <c r="O298" s="12"/>
      <c r="P298" s="12"/>
      <c r="Q298" s="12"/>
      <c r="R298" s="12"/>
      <c r="S298" s="12"/>
      <c r="T298" s="12"/>
      <c r="U298" s="12"/>
      <c r="V298" s="12"/>
      <c r="W298" s="12"/>
      <c r="X298" s="12"/>
      <c r="Y298" s="12"/>
      <c r="Z298" s="12"/>
      <c r="AA298" s="12"/>
    </row>
    <row r="299" ht="13.5" customHeight="1">
      <c r="A299" s="17"/>
      <c r="B299" s="12"/>
      <c r="C299" s="12"/>
      <c r="D299" s="17"/>
      <c r="E299" s="12"/>
      <c r="F299" s="12"/>
      <c r="G299" s="17"/>
      <c r="H299" s="17"/>
      <c r="I299" s="12"/>
      <c r="J299" s="12"/>
      <c r="K299" s="12"/>
      <c r="L299" s="12"/>
      <c r="M299" s="12"/>
      <c r="N299" s="12"/>
      <c r="O299" s="12"/>
      <c r="P299" s="12"/>
      <c r="Q299" s="12"/>
      <c r="R299" s="12"/>
      <c r="S299" s="12"/>
      <c r="T299" s="12"/>
      <c r="U299" s="12"/>
      <c r="V299" s="12"/>
      <c r="W299" s="12"/>
      <c r="X299" s="12"/>
      <c r="Y299" s="12"/>
      <c r="Z299" s="12"/>
      <c r="AA299" s="12"/>
    </row>
    <row r="300" ht="13.5" customHeight="1">
      <c r="A300" s="17"/>
      <c r="B300" s="12"/>
      <c r="C300" s="12"/>
      <c r="D300" s="17"/>
      <c r="E300" s="12"/>
      <c r="F300" s="12"/>
      <c r="G300" s="17"/>
      <c r="H300" s="17"/>
      <c r="I300" s="12"/>
      <c r="J300" s="12"/>
      <c r="K300" s="12"/>
      <c r="L300" s="12"/>
      <c r="M300" s="12"/>
      <c r="N300" s="12"/>
      <c r="O300" s="12"/>
      <c r="P300" s="12"/>
      <c r="Q300" s="12"/>
      <c r="R300" s="12"/>
      <c r="S300" s="12"/>
      <c r="T300" s="12"/>
      <c r="U300" s="12"/>
      <c r="V300" s="12"/>
      <c r="W300" s="12"/>
      <c r="X300" s="12"/>
      <c r="Y300" s="12"/>
      <c r="Z300" s="12"/>
      <c r="AA300" s="12"/>
    </row>
    <row r="301" ht="13.5" customHeight="1">
      <c r="A301" s="17"/>
      <c r="B301" s="12"/>
      <c r="C301" s="12"/>
      <c r="D301" s="17"/>
      <c r="E301" s="12"/>
      <c r="F301" s="12"/>
      <c r="G301" s="17"/>
      <c r="H301" s="17"/>
      <c r="I301" s="12"/>
      <c r="J301" s="12"/>
      <c r="K301" s="12"/>
      <c r="L301" s="12"/>
      <c r="M301" s="12"/>
      <c r="N301" s="12"/>
      <c r="O301" s="12"/>
      <c r="P301" s="12"/>
      <c r="Q301" s="12"/>
      <c r="R301" s="12"/>
      <c r="S301" s="12"/>
      <c r="T301" s="12"/>
      <c r="U301" s="12"/>
      <c r="V301" s="12"/>
      <c r="W301" s="12"/>
      <c r="X301" s="12"/>
      <c r="Y301" s="12"/>
      <c r="Z301" s="12"/>
      <c r="AA301" s="12"/>
    </row>
    <row r="302" ht="13.5" customHeight="1">
      <c r="A302" s="17"/>
      <c r="B302" s="12"/>
      <c r="C302" s="12"/>
      <c r="D302" s="17"/>
      <c r="E302" s="12"/>
      <c r="F302" s="12"/>
      <c r="G302" s="17"/>
      <c r="H302" s="17"/>
      <c r="I302" s="12"/>
      <c r="J302" s="12"/>
      <c r="K302" s="12"/>
      <c r="L302" s="12"/>
      <c r="M302" s="12"/>
      <c r="N302" s="12"/>
      <c r="O302" s="12"/>
      <c r="P302" s="12"/>
      <c r="Q302" s="12"/>
      <c r="R302" s="12"/>
      <c r="S302" s="12"/>
      <c r="T302" s="12"/>
      <c r="U302" s="12"/>
      <c r="V302" s="12"/>
      <c r="W302" s="12"/>
      <c r="X302" s="12"/>
      <c r="Y302" s="12"/>
      <c r="Z302" s="12"/>
      <c r="AA302" s="12"/>
    </row>
    <row r="303" ht="13.5" customHeight="1">
      <c r="A303" s="17"/>
      <c r="B303" s="12"/>
      <c r="C303" s="12"/>
      <c r="D303" s="17"/>
      <c r="E303" s="12"/>
      <c r="F303" s="12"/>
      <c r="G303" s="17"/>
      <c r="H303" s="17"/>
      <c r="I303" s="12"/>
      <c r="J303" s="12"/>
      <c r="K303" s="12"/>
      <c r="L303" s="12"/>
      <c r="M303" s="12"/>
      <c r="N303" s="12"/>
      <c r="O303" s="12"/>
      <c r="P303" s="12"/>
      <c r="Q303" s="12"/>
      <c r="R303" s="12"/>
      <c r="S303" s="12"/>
      <c r="T303" s="12"/>
      <c r="U303" s="12"/>
      <c r="V303" s="12"/>
      <c r="W303" s="12"/>
      <c r="X303" s="12"/>
      <c r="Y303" s="12"/>
      <c r="Z303" s="12"/>
      <c r="AA303" s="12"/>
    </row>
    <row r="304" ht="13.5" customHeight="1">
      <c r="A304" s="17"/>
      <c r="B304" s="12"/>
      <c r="C304" s="12"/>
      <c r="D304" s="17"/>
      <c r="E304" s="12"/>
      <c r="F304" s="12"/>
      <c r="G304" s="17"/>
      <c r="H304" s="17"/>
      <c r="I304" s="12"/>
      <c r="J304" s="12"/>
      <c r="K304" s="12"/>
      <c r="L304" s="12"/>
      <c r="M304" s="12"/>
      <c r="N304" s="12"/>
      <c r="O304" s="12"/>
      <c r="P304" s="12"/>
      <c r="Q304" s="12"/>
      <c r="R304" s="12"/>
      <c r="S304" s="12"/>
      <c r="T304" s="12"/>
      <c r="U304" s="12"/>
      <c r="V304" s="12"/>
      <c r="W304" s="12"/>
      <c r="X304" s="12"/>
      <c r="Y304" s="12"/>
      <c r="Z304" s="12"/>
      <c r="AA304" s="12"/>
    </row>
    <row r="305" ht="13.5" customHeight="1">
      <c r="A305" s="17"/>
      <c r="B305" s="12"/>
      <c r="C305" s="12"/>
      <c r="D305" s="17"/>
      <c r="E305" s="12"/>
      <c r="F305" s="12"/>
      <c r="G305" s="17"/>
      <c r="H305" s="17"/>
      <c r="I305" s="12"/>
      <c r="J305" s="12"/>
      <c r="K305" s="12"/>
      <c r="L305" s="12"/>
      <c r="M305" s="12"/>
      <c r="N305" s="12"/>
      <c r="O305" s="12"/>
      <c r="P305" s="12"/>
      <c r="Q305" s="12"/>
      <c r="R305" s="12"/>
      <c r="S305" s="12"/>
      <c r="T305" s="12"/>
      <c r="U305" s="12"/>
      <c r="V305" s="12"/>
      <c r="W305" s="12"/>
      <c r="X305" s="12"/>
      <c r="Y305" s="12"/>
      <c r="Z305" s="12"/>
      <c r="AA305" s="12"/>
    </row>
    <row r="306" ht="13.5" customHeight="1">
      <c r="A306" s="17"/>
      <c r="B306" s="12"/>
      <c r="C306" s="12"/>
      <c r="D306" s="17"/>
      <c r="E306" s="12"/>
      <c r="F306" s="12"/>
      <c r="G306" s="17"/>
      <c r="H306" s="17"/>
      <c r="I306" s="12"/>
      <c r="J306" s="12"/>
      <c r="K306" s="12"/>
      <c r="L306" s="12"/>
      <c r="M306" s="12"/>
      <c r="N306" s="12"/>
      <c r="O306" s="12"/>
      <c r="P306" s="12"/>
      <c r="Q306" s="12"/>
      <c r="R306" s="12"/>
      <c r="S306" s="12"/>
      <c r="T306" s="12"/>
      <c r="U306" s="12"/>
      <c r="V306" s="12"/>
      <c r="W306" s="12"/>
      <c r="X306" s="12"/>
      <c r="Y306" s="12"/>
      <c r="Z306" s="12"/>
      <c r="AA306" s="12"/>
    </row>
    <row r="307" ht="13.5" customHeight="1">
      <c r="A307" s="17"/>
      <c r="B307" s="12"/>
      <c r="C307" s="12"/>
      <c r="D307" s="17"/>
      <c r="E307" s="12"/>
      <c r="F307" s="12"/>
      <c r="G307" s="17"/>
      <c r="H307" s="17"/>
      <c r="I307" s="12"/>
      <c r="J307" s="12"/>
      <c r="K307" s="12"/>
      <c r="L307" s="12"/>
      <c r="M307" s="12"/>
      <c r="N307" s="12"/>
      <c r="O307" s="12"/>
      <c r="P307" s="12"/>
      <c r="Q307" s="12"/>
      <c r="R307" s="12"/>
      <c r="S307" s="12"/>
      <c r="T307" s="12"/>
      <c r="U307" s="12"/>
      <c r="V307" s="12"/>
      <c r="W307" s="12"/>
      <c r="X307" s="12"/>
      <c r="Y307" s="12"/>
      <c r="Z307" s="12"/>
      <c r="AA307" s="12"/>
    </row>
    <row r="308" ht="13.5" customHeight="1">
      <c r="A308" s="17"/>
      <c r="B308" s="12"/>
      <c r="C308" s="12"/>
      <c r="D308" s="17"/>
      <c r="E308" s="12"/>
      <c r="F308" s="12"/>
      <c r="G308" s="17"/>
      <c r="H308" s="17"/>
      <c r="I308" s="12"/>
      <c r="J308" s="12"/>
      <c r="K308" s="12"/>
      <c r="L308" s="12"/>
      <c r="M308" s="12"/>
      <c r="N308" s="12"/>
      <c r="O308" s="12"/>
      <c r="P308" s="12"/>
      <c r="Q308" s="12"/>
      <c r="R308" s="12"/>
      <c r="S308" s="12"/>
      <c r="T308" s="12"/>
      <c r="U308" s="12"/>
      <c r="V308" s="12"/>
      <c r="W308" s="12"/>
      <c r="X308" s="12"/>
      <c r="Y308" s="12"/>
      <c r="Z308" s="12"/>
      <c r="AA308" s="12"/>
    </row>
    <row r="309" ht="13.5" customHeight="1">
      <c r="A309" s="17"/>
      <c r="B309" s="12"/>
      <c r="C309" s="12"/>
      <c r="D309" s="17"/>
      <c r="E309" s="12"/>
      <c r="F309" s="12"/>
      <c r="G309" s="17"/>
      <c r="H309" s="17"/>
      <c r="I309" s="12"/>
      <c r="J309" s="12"/>
      <c r="K309" s="12"/>
      <c r="L309" s="12"/>
      <c r="M309" s="12"/>
      <c r="N309" s="12"/>
      <c r="O309" s="12"/>
      <c r="P309" s="12"/>
      <c r="Q309" s="12"/>
      <c r="R309" s="12"/>
      <c r="S309" s="12"/>
      <c r="T309" s="12"/>
      <c r="U309" s="12"/>
      <c r="V309" s="12"/>
      <c r="W309" s="12"/>
      <c r="X309" s="12"/>
      <c r="Y309" s="12"/>
      <c r="Z309" s="12"/>
      <c r="AA309" s="12"/>
    </row>
    <row r="310" ht="13.5" customHeight="1">
      <c r="A310" s="17"/>
      <c r="B310" s="12"/>
      <c r="C310" s="12"/>
      <c r="D310" s="17"/>
      <c r="E310" s="12"/>
      <c r="F310" s="12"/>
      <c r="G310" s="17"/>
      <c r="H310" s="17"/>
      <c r="I310" s="12"/>
      <c r="J310" s="12"/>
      <c r="K310" s="12"/>
      <c r="L310" s="12"/>
      <c r="M310" s="12"/>
      <c r="N310" s="12"/>
      <c r="O310" s="12"/>
      <c r="P310" s="12"/>
      <c r="Q310" s="12"/>
      <c r="R310" s="12"/>
      <c r="S310" s="12"/>
      <c r="T310" s="12"/>
      <c r="U310" s="12"/>
      <c r="V310" s="12"/>
      <c r="W310" s="12"/>
      <c r="X310" s="12"/>
      <c r="Y310" s="12"/>
      <c r="Z310" s="12"/>
      <c r="AA310" s="12"/>
    </row>
    <row r="311" ht="13.5" customHeight="1">
      <c r="A311" s="17"/>
      <c r="B311" s="12"/>
      <c r="C311" s="12"/>
      <c r="D311" s="17"/>
      <c r="E311" s="12"/>
      <c r="F311" s="12"/>
      <c r="G311" s="17"/>
      <c r="H311" s="17"/>
      <c r="I311" s="12"/>
      <c r="J311" s="12"/>
      <c r="K311" s="12"/>
      <c r="L311" s="12"/>
      <c r="M311" s="12"/>
      <c r="N311" s="12"/>
      <c r="O311" s="12"/>
      <c r="P311" s="12"/>
      <c r="Q311" s="12"/>
      <c r="R311" s="12"/>
      <c r="S311" s="12"/>
      <c r="T311" s="12"/>
      <c r="U311" s="12"/>
      <c r="V311" s="12"/>
      <c r="W311" s="12"/>
      <c r="X311" s="12"/>
      <c r="Y311" s="12"/>
      <c r="Z311" s="12"/>
      <c r="AA311" s="12"/>
    </row>
    <row r="312" ht="13.5" customHeight="1">
      <c r="A312" s="17"/>
      <c r="B312" s="12"/>
      <c r="C312" s="12"/>
      <c r="D312" s="17"/>
      <c r="E312" s="12"/>
      <c r="F312" s="12"/>
      <c r="G312" s="17"/>
      <c r="H312" s="17"/>
      <c r="I312" s="12"/>
      <c r="J312" s="12"/>
      <c r="K312" s="12"/>
      <c r="L312" s="12"/>
      <c r="M312" s="12"/>
      <c r="N312" s="12"/>
      <c r="O312" s="12"/>
      <c r="P312" s="12"/>
      <c r="Q312" s="12"/>
      <c r="R312" s="12"/>
      <c r="S312" s="12"/>
      <c r="T312" s="12"/>
      <c r="U312" s="12"/>
      <c r="V312" s="12"/>
      <c r="W312" s="12"/>
      <c r="X312" s="12"/>
      <c r="Y312" s="12"/>
      <c r="Z312" s="12"/>
      <c r="AA312" s="12"/>
    </row>
    <row r="313" ht="13.5" customHeight="1">
      <c r="A313" s="17"/>
      <c r="B313" s="12"/>
      <c r="C313" s="12"/>
      <c r="D313" s="17"/>
      <c r="E313" s="12"/>
      <c r="F313" s="12"/>
      <c r="G313" s="17"/>
      <c r="H313" s="17"/>
      <c r="I313" s="12"/>
      <c r="J313" s="12"/>
      <c r="K313" s="12"/>
      <c r="L313" s="12"/>
      <c r="M313" s="12"/>
      <c r="N313" s="12"/>
      <c r="O313" s="12"/>
      <c r="P313" s="12"/>
      <c r="Q313" s="12"/>
      <c r="R313" s="12"/>
      <c r="S313" s="12"/>
      <c r="T313" s="12"/>
      <c r="U313" s="12"/>
      <c r="V313" s="12"/>
      <c r="W313" s="12"/>
      <c r="X313" s="12"/>
      <c r="Y313" s="12"/>
      <c r="Z313" s="12"/>
      <c r="AA313" s="12"/>
    </row>
    <row r="314" ht="13.5" customHeight="1">
      <c r="A314" s="17"/>
      <c r="B314" s="12"/>
      <c r="C314" s="12"/>
      <c r="D314" s="17"/>
      <c r="E314" s="12"/>
      <c r="F314" s="12"/>
      <c r="G314" s="17"/>
      <c r="H314" s="17"/>
      <c r="I314" s="12"/>
      <c r="J314" s="12"/>
      <c r="K314" s="12"/>
      <c r="L314" s="12"/>
      <c r="M314" s="12"/>
      <c r="N314" s="12"/>
      <c r="O314" s="12"/>
      <c r="P314" s="12"/>
      <c r="Q314" s="12"/>
      <c r="R314" s="12"/>
      <c r="S314" s="12"/>
      <c r="T314" s="12"/>
      <c r="U314" s="12"/>
      <c r="V314" s="12"/>
      <c r="W314" s="12"/>
      <c r="X314" s="12"/>
      <c r="Y314" s="12"/>
      <c r="Z314" s="12"/>
      <c r="AA314" s="12"/>
    </row>
    <row r="315" ht="13.5" customHeight="1">
      <c r="A315" s="17"/>
      <c r="B315" s="12"/>
      <c r="C315" s="12"/>
      <c r="D315" s="17"/>
      <c r="E315" s="12"/>
      <c r="F315" s="12"/>
      <c r="G315" s="17"/>
      <c r="H315" s="17"/>
      <c r="I315" s="12"/>
      <c r="J315" s="12"/>
      <c r="K315" s="12"/>
      <c r="L315" s="12"/>
      <c r="M315" s="12"/>
      <c r="N315" s="12"/>
      <c r="O315" s="12"/>
      <c r="P315" s="12"/>
      <c r="Q315" s="12"/>
      <c r="R315" s="12"/>
      <c r="S315" s="12"/>
      <c r="T315" s="12"/>
      <c r="U315" s="12"/>
      <c r="V315" s="12"/>
      <c r="W315" s="12"/>
      <c r="X315" s="12"/>
      <c r="Y315" s="12"/>
      <c r="Z315" s="12"/>
      <c r="AA315" s="12"/>
    </row>
    <row r="316" ht="13.5" customHeight="1">
      <c r="A316" s="17"/>
      <c r="B316" s="12"/>
      <c r="C316" s="12"/>
      <c r="D316" s="17"/>
      <c r="E316" s="12"/>
      <c r="F316" s="12"/>
      <c r="G316" s="17"/>
      <c r="H316" s="17"/>
      <c r="I316" s="12"/>
      <c r="J316" s="12"/>
      <c r="K316" s="12"/>
      <c r="L316" s="12"/>
      <c r="M316" s="12"/>
      <c r="N316" s="12"/>
      <c r="O316" s="12"/>
      <c r="P316" s="12"/>
      <c r="Q316" s="12"/>
      <c r="R316" s="12"/>
      <c r="S316" s="12"/>
      <c r="T316" s="12"/>
      <c r="U316" s="12"/>
      <c r="V316" s="12"/>
      <c r="W316" s="12"/>
      <c r="X316" s="12"/>
      <c r="Y316" s="12"/>
      <c r="Z316" s="12"/>
      <c r="AA316" s="12"/>
    </row>
    <row r="317" ht="13.5" customHeight="1">
      <c r="A317" s="17"/>
      <c r="B317" s="12"/>
      <c r="C317" s="12"/>
      <c r="D317" s="17"/>
      <c r="E317" s="12"/>
      <c r="F317" s="12"/>
      <c r="G317" s="17"/>
      <c r="H317" s="17"/>
      <c r="I317" s="12"/>
      <c r="J317" s="12"/>
      <c r="K317" s="12"/>
      <c r="L317" s="12"/>
      <c r="M317" s="12"/>
      <c r="N317" s="12"/>
      <c r="O317" s="12"/>
      <c r="P317" s="12"/>
      <c r="Q317" s="12"/>
      <c r="R317" s="12"/>
      <c r="S317" s="12"/>
      <c r="T317" s="12"/>
      <c r="U317" s="12"/>
      <c r="V317" s="12"/>
      <c r="W317" s="12"/>
      <c r="X317" s="12"/>
      <c r="Y317" s="12"/>
      <c r="Z317" s="12"/>
      <c r="AA317" s="12"/>
    </row>
    <row r="318" ht="13.5" customHeight="1">
      <c r="A318" s="17"/>
      <c r="B318" s="12"/>
      <c r="C318" s="12"/>
      <c r="D318" s="17"/>
      <c r="E318" s="12"/>
      <c r="F318" s="12"/>
      <c r="G318" s="17"/>
      <c r="H318" s="17"/>
      <c r="I318" s="12"/>
      <c r="J318" s="12"/>
      <c r="K318" s="12"/>
      <c r="L318" s="12"/>
      <c r="M318" s="12"/>
      <c r="N318" s="12"/>
      <c r="O318" s="12"/>
      <c r="P318" s="12"/>
      <c r="Q318" s="12"/>
      <c r="R318" s="12"/>
      <c r="S318" s="12"/>
      <c r="T318" s="12"/>
      <c r="U318" s="12"/>
      <c r="V318" s="12"/>
      <c r="W318" s="12"/>
      <c r="X318" s="12"/>
      <c r="Y318" s="12"/>
      <c r="Z318" s="12"/>
      <c r="AA318" s="12"/>
    </row>
    <row r="319" ht="13.5" customHeight="1">
      <c r="A319" s="17"/>
      <c r="B319" s="12"/>
      <c r="C319" s="12"/>
      <c r="D319" s="17"/>
      <c r="E319" s="12"/>
      <c r="F319" s="12"/>
      <c r="G319" s="17"/>
      <c r="H319" s="17"/>
      <c r="I319" s="12"/>
      <c r="J319" s="12"/>
      <c r="K319" s="12"/>
      <c r="L319" s="12"/>
      <c r="M319" s="12"/>
      <c r="N319" s="12"/>
      <c r="O319" s="12"/>
      <c r="P319" s="12"/>
      <c r="Q319" s="12"/>
      <c r="R319" s="12"/>
      <c r="S319" s="12"/>
      <c r="T319" s="12"/>
      <c r="U319" s="12"/>
      <c r="V319" s="12"/>
      <c r="W319" s="12"/>
      <c r="X319" s="12"/>
      <c r="Y319" s="12"/>
      <c r="Z319" s="12"/>
      <c r="AA319" s="12"/>
    </row>
    <row r="320" ht="13.5" customHeight="1">
      <c r="A320" s="17"/>
      <c r="B320" s="12"/>
      <c r="C320" s="12"/>
      <c r="D320" s="17"/>
      <c r="E320" s="12"/>
      <c r="F320" s="12"/>
      <c r="G320" s="17"/>
      <c r="H320" s="17"/>
      <c r="I320" s="12"/>
      <c r="J320" s="12"/>
      <c r="K320" s="12"/>
      <c r="L320" s="12"/>
      <c r="M320" s="12"/>
      <c r="N320" s="12"/>
      <c r="O320" s="12"/>
      <c r="P320" s="12"/>
      <c r="Q320" s="12"/>
      <c r="R320" s="12"/>
      <c r="S320" s="12"/>
      <c r="T320" s="12"/>
      <c r="U320" s="12"/>
      <c r="V320" s="12"/>
      <c r="W320" s="12"/>
      <c r="X320" s="12"/>
      <c r="Y320" s="12"/>
      <c r="Z320" s="12"/>
      <c r="AA320" s="12"/>
    </row>
    <row r="321" ht="13.5" customHeight="1">
      <c r="A321" s="17"/>
      <c r="B321" s="12"/>
      <c r="C321" s="12"/>
      <c r="D321" s="17"/>
      <c r="E321" s="12"/>
      <c r="F321" s="12"/>
      <c r="G321" s="17"/>
      <c r="H321" s="17"/>
      <c r="I321" s="12"/>
      <c r="J321" s="12"/>
      <c r="K321" s="12"/>
      <c r="L321" s="12"/>
      <c r="M321" s="12"/>
      <c r="N321" s="12"/>
      <c r="O321" s="12"/>
      <c r="P321" s="12"/>
      <c r="Q321" s="12"/>
      <c r="R321" s="12"/>
      <c r="S321" s="12"/>
      <c r="T321" s="12"/>
      <c r="U321" s="12"/>
      <c r="V321" s="12"/>
      <c r="W321" s="12"/>
      <c r="X321" s="12"/>
      <c r="Y321" s="12"/>
      <c r="Z321" s="12"/>
      <c r="AA321" s="12"/>
    </row>
    <row r="322" ht="13.5" customHeight="1">
      <c r="A322" s="17"/>
      <c r="B322" s="12"/>
      <c r="C322" s="12"/>
      <c r="D322" s="17"/>
      <c r="E322" s="12"/>
      <c r="F322" s="12"/>
      <c r="G322" s="17"/>
      <c r="H322" s="17"/>
      <c r="I322" s="12"/>
      <c r="J322" s="12"/>
      <c r="K322" s="12"/>
      <c r="L322" s="12"/>
      <c r="M322" s="12"/>
      <c r="N322" s="12"/>
      <c r="O322" s="12"/>
      <c r="P322" s="12"/>
      <c r="Q322" s="12"/>
      <c r="R322" s="12"/>
      <c r="S322" s="12"/>
      <c r="T322" s="12"/>
      <c r="U322" s="12"/>
      <c r="V322" s="12"/>
      <c r="W322" s="12"/>
      <c r="X322" s="12"/>
      <c r="Y322" s="12"/>
      <c r="Z322" s="12"/>
      <c r="AA322" s="12"/>
    </row>
    <row r="323" ht="13.5" customHeight="1">
      <c r="A323" s="17"/>
      <c r="B323" s="12"/>
      <c r="C323" s="12"/>
      <c r="D323" s="17"/>
      <c r="E323" s="12"/>
      <c r="F323" s="12"/>
      <c r="G323" s="17"/>
      <c r="H323" s="17"/>
      <c r="I323" s="12"/>
      <c r="J323" s="12"/>
      <c r="K323" s="12"/>
      <c r="L323" s="12"/>
      <c r="M323" s="12"/>
      <c r="N323" s="12"/>
      <c r="O323" s="12"/>
      <c r="P323" s="12"/>
      <c r="Q323" s="12"/>
      <c r="R323" s="12"/>
      <c r="S323" s="12"/>
      <c r="T323" s="12"/>
      <c r="U323" s="12"/>
      <c r="V323" s="12"/>
      <c r="W323" s="12"/>
      <c r="X323" s="12"/>
      <c r="Y323" s="12"/>
      <c r="Z323" s="12"/>
      <c r="AA323" s="12"/>
    </row>
    <row r="324" ht="13.5" customHeight="1">
      <c r="A324" s="17"/>
      <c r="B324" s="12"/>
      <c r="C324" s="12"/>
      <c r="D324" s="17"/>
      <c r="E324" s="12"/>
      <c r="F324" s="12"/>
      <c r="G324" s="17"/>
      <c r="H324" s="17"/>
      <c r="I324" s="12"/>
      <c r="J324" s="12"/>
      <c r="K324" s="12"/>
      <c r="L324" s="12"/>
      <c r="M324" s="12"/>
      <c r="N324" s="12"/>
      <c r="O324" s="12"/>
      <c r="P324" s="12"/>
      <c r="Q324" s="12"/>
      <c r="R324" s="12"/>
      <c r="S324" s="12"/>
      <c r="T324" s="12"/>
      <c r="U324" s="12"/>
      <c r="V324" s="12"/>
      <c r="W324" s="12"/>
      <c r="X324" s="12"/>
      <c r="Y324" s="12"/>
      <c r="Z324" s="12"/>
      <c r="AA324" s="12"/>
    </row>
    <row r="325" ht="13.5" customHeight="1">
      <c r="A325" s="17"/>
      <c r="B325" s="12"/>
      <c r="C325" s="12"/>
      <c r="D325" s="17"/>
      <c r="E325" s="12"/>
      <c r="F325" s="12"/>
      <c r="G325" s="17"/>
      <c r="H325" s="17"/>
      <c r="I325" s="12"/>
      <c r="J325" s="12"/>
      <c r="K325" s="12"/>
      <c r="L325" s="12"/>
      <c r="M325" s="12"/>
      <c r="N325" s="12"/>
      <c r="O325" s="12"/>
      <c r="P325" s="12"/>
      <c r="Q325" s="12"/>
      <c r="R325" s="12"/>
      <c r="S325" s="12"/>
      <c r="T325" s="12"/>
      <c r="U325" s="12"/>
      <c r="V325" s="12"/>
      <c r="W325" s="12"/>
      <c r="X325" s="12"/>
      <c r="Y325" s="12"/>
      <c r="Z325" s="12"/>
      <c r="AA325" s="12"/>
    </row>
    <row r="326" ht="13.5" customHeight="1">
      <c r="A326" s="17"/>
      <c r="B326" s="12"/>
      <c r="C326" s="12"/>
      <c r="D326" s="17"/>
      <c r="E326" s="12"/>
      <c r="F326" s="12"/>
      <c r="G326" s="17"/>
      <c r="H326" s="17"/>
      <c r="I326" s="12"/>
      <c r="J326" s="12"/>
      <c r="K326" s="12"/>
      <c r="L326" s="12"/>
      <c r="M326" s="12"/>
      <c r="N326" s="12"/>
      <c r="O326" s="12"/>
      <c r="P326" s="12"/>
      <c r="Q326" s="12"/>
      <c r="R326" s="12"/>
      <c r="S326" s="12"/>
      <c r="T326" s="12"/>
      <c r="U326" s="12"/>
      <c r="V326" s="12"/>
      <c r="W326" s="12"/>
      <c r="X326" s="12"/>
      <c r="Y326" s="12"/>
      <c r="Z326" s="12"/>
      <c r="AA326" s="12"/>
    </row>
    <row r="327" ht="13.5" customHeight="1">
      <c r="A327" s="17"/>
      <c r="B327" s="12"/>
      <c r="C327" s="12"/>
      <c r="D327" s="17"/>
      <c r="E327" s="12"/>
      <c r="F327" s="12"/>
      <c r="G327" s="17"/>
      <c r="H327" s="17"/>
      <c r="I327" s="12"/>
      <c r="J327" s="12"/>
      <c r="K327" s="12"/>
      <c r="L327" s="12"/>
      <c r="M327" s="12"/>
      <c r="N327" s="12"/>
      <c r="O327" s="12"/>
      <c r="P327" s="12"/>
      <c r="Q327" s="12"/>
      <c r="R327" s="12"/>
      <c r="S327" s="12"/>
      <c r="T327" s="12"/>
      <c r="U327" s="12"/>
      <c r="V327" s="12"/>
      <c r="W327" s="12"/>
      <c r="X327" s="12"/>
      <c r="Y327" s="12"/>
      <c r="Z327" s="12"/>
      <c r="AA327" s="12"/>
    </row>
    <row r="328" ht="13.5" customHeight="1">
      <c r="A328" s="17"/>
      <c r="B328" s="12"/>
      <c r="C328" s="12"/>
      <c r="D328" s="17"/>
      <c r="E328" s="12"/>
      <c r="F328" s="12"/>
      <c r="G328" s="17"/>
      <c r="H328" s="17"/>
      <c r="I328" s="12"/>
      <c r="J328" s="12"/>
      <c r="K328" s="12"/>
      <c r="L328" s="12"/>
      <c r="M328" s="12"/>
      <c r="N328" s="12"/>
      <c r="O328" s="12"/>
      <c r="P328" s="12"/>
      <c r="Q328" s="12"/>
      <c r="R328" s="12"/>
      <c r="S328" s="12"/>
      <c r="T328" s="12"/>
      <c r="U328" s="12"/>
      <c r="V328" s="12"/>
      <c r="W328" s="12"/>
      <c r="X328" s="12"/>
      <c r="Y328" s="12"/>
      <c r="Z328" s="12"/>
      <c r="AA328" s="12"/>
    </row>
    <row r="329" ht="13.5" customHeight="1">
      <c r="A329" s="17"/>
      <c r="B329" s="12"/>
      <c r="C329" s="12"/>
      <c r="D329" s="17"/>
      <c r="E329" s="12"/>
      <c r="F329" s="12"/>
      <c r="G329" s="17"/>
      <c r="H329" s="17"/>
      <c r="I329" s="12"/>
      <c r="J329" s="12"/>
      <c r="K329" s="12"/>
      <c r="L329" s="12"/>
      <c r="M329" s="12"/>
      <c r="N329" s="12"/>
      <c r="O329" s="12"/>
      <c r="P329" s="12"/>
      <c r="Q329" s="12"/>
      <c r="R329" s="12"/>
      <c r="S329" s="12"/>
      <c r="T329" s="12"/>
      <c r="U329" s="12"/>
      <c r="V329" s="12"/>
      <c r="W329" s="12"/>
      <c r="X329" s="12"/>
      <c r="Y329" s="12"/>
      <c r="Z329" s="12"/>
      <c r="AA329" s="12"/>
    </row>
    <row r="330" ht="13.5" customHeight="1">
      <c r="A330" s="17"/>
      <c r="B330" s="12"/>
      <c r="C330" s="12"/>
      <c r="D330" s="17"/>
      <c r="E330" s="12"/>
      <c r="F330" s="12"/>
      <c r="G330" s="17"/>
      <c r="H330" s="17"/>
      <c r="I330" s="12"/>
      <c r="J330" s="12"/>
      <c r="K330" s="12"/>
      <c r="L330" s="12"/>
      <c r="M330" s="12"/>
      <c r="N330" s="12"/>
      <c r="O330" s="12"/>
      <c r="P330" s="12"/>
      <c r="Q330" s="12"/>
      <c r="R330" s="12"/>
      <c r="S330" s="12"/>
      <c r="T330" s="12"/>
      <c r="U330" s="12"/>
      <c r="V330" s="12"/>
      <c r="W330" s="12"/>
      <c r="X330" s="12"/>
      <c r="Y330" s="12"/>
      <c r="Z330" s="12"/>
      <c r="AA330" s="12"/>
    </row>
    <row r="331" ht="13.5" customHeight="1">
      <c r="A331" s="17"/>
      <c r="B331" s="12"/>
      <c r="C331" s="12"/>
      <c r="D331" s="17"/>
      <c r="E331" s="12"/>
      <c r="F331" s="12"/>
      <c r="G331" s="17"/>
      <c r="H331" s="17"/>
      <c r="I331" s="12"/>
      <c r="J331" s="12"/>
      <c r="K331" s="12"/>
      <c r="L331" s="12"/>
      <c r="M331" s="12"/>
      <c r="N331" s="12"/>
      <c r="O331" s="12"/>
      <c r="P331" s="12"/>
      <c r="Q331" s="12"/>
      <c r="R331" s="12"/>
      <c r="S331" s="12"/>
      <c r="T331" s="12"/>
      <c r="U331" s="12"/>
      <c r="V331" s="12"/>
      <c r="W331" s="12"/>
      <c r="X331" s="12"/>
      <c r="Y331" s="12"/>
      <c r="Z331" s="12"/>
      <c r="AA331" s="12"/>
    </row>
    <row r="332" ht="13.5" customHeight="1">
      <c r="A332" s="17"/>
      <c r="B332" s="12"/>
      <c r="C332" s="12"/>
      <c r="D332" s="17"/>
      <c r="E332" s="12"/>
      <c r="F332" s="12"/>
      <c r="G332" s="17"/>
      <c r="H332" s="17"/>
      <c r="I332" s="12"/>
      <c r="J332" s="12"/>
      <c r="K332" s="12"/>
      <c r="L332" s="12"/>
      <c r="M332" s="12"/>
      <c r="N332" s="12"/>
      <c r="O332" s="12"/>
      <c r="P332" s="12"/>
      <c r="Q332" s="12"/>
      <c r="R332" s="12"/>
      <c r="S332" s="12"/>
      <c r="T332" s="12"/>
      <c r="U332" s="12"/>
      <c r="V332" s="12"/>
      <c r="W332" s="12"/>
      <c r="X332" s="12"/>
      <c r="Y332" s="12"/>
      <c r="Z332" s="12"/>
      <c r="AA332" s="12"/>
    </row>
    <row r="333" ht="13.5" customHeight="1">
      <c r="A333" s="17"/>
      <c r="B333" s="12"/>
      <c r="C333" s="12"/>
      <c r="D333" s="17"/>
      <c r="E333" s="12"/>
      <c r="F333" s="12"/>
      <c r="G333" s="17"/>
      <c r="H333" s="17"/>
      <c r="I333" s="12"/>
      <c r="J333" s="12"/>
      <c r="K333" s="12"/>
      <c r="L333" s="12"/>
      <c r="M333" s="12"/>
      <c r="N333" s="12"/>
      <c r="O333" s="12"/>
      <c r="P333" s="12"/>
      <c r="Q333" s="12"/>
      <c r="R333" s="12"/>
      <c r="S333" s="12"/>
      <c r="T333" s="12"/>
      <c r="U333" s="12"/>
      <c r="V333" s="12"/>
      <c r="W333" s="12"/>
      <c r="X333" s="12"/>
      <c r="Y333" s="12"/>
      <c r="Z333" s="12"/>
      <c r="AA333" s="12"/>
    </row>
    <row r="334" ht="13.5" customHeight="1">
      <c r="A334" s="17"/>
      <c r="B334" s="12"/>
      <c r="C334" s="12"/>
      <c r="D334" s="17"/>
      <c r="E334" s="12"/>
      <c r="F334" s="12"/>
      <c r="G334" s="17"/>
      <c r="H334" s="17"/>
      <c r="I334" s="12"/>
      <c r="J334" s="12"/>
      <c r="K334" s="12"/>
      <c r="L334" s="12"/>
      <c r="M334" s="12"/>
      <c r="N334" s="12"/>
      <c r="O334" s="12"/>
      <c r="P334" s="12"/>
      <c r="Q334" s="12"/>
      <c r="R334" s="12"/>
      <c r="S334" s="12"/>
      <c r="T334" s="12"/>
      <c r="U334" s="12"/>
      <c r="V334" s="12"/>
      <c r="W334" s="12"/>
      <c r="X334" s="12"/>
      <c r="Y334" s="12"/>
      <c r="Z334" s="12"/>
      <c r="AA334" s="12"/>
    </row>
    <row r="335" ht="13.5" customHeight="1">
      <c r="A335" s="17"/>
      <c r="B335" s="12"/>
      <c r="C335" s="12"/>
      <c r="D335" s="17"/>
      <c r="E335" s="12"/>
      <c r="F335" s="12"/>
      <c r="G335" s="17"/>
      <c r="H335" s="17"/>
      <c r="I335" s="12"/>
      <c r="J335" s="12"/>
      <c r="K335" s="12"/>
      <c r="L335" s="12"/>
      <c r="M335" s="12"/>
      <c r="N335" s="12"/>
      <c r="O335" s="12"/>
      <c r="P335" s="12"/>
      <c r="Q335" s="12"/>
      <c r="R335" s="12"/>
      <c r="S335" s="12"/>
      <c r="T335" s="12"/>
      <c r="U335" s="12"/>
      <c r="V335" s="12"/>
      <c r="W335" s="12"/>
      <c r="X335" s="12"/>
      <c r="Y335" s="12"/>
      <c r="Z335" s="12"/>
      <c r="AA335" s="12"/>
    </row>
    <row r="336" ht="13.5" customHeight="1">
      <c r="A336" s="17"/>
      <c r="B336" s="12"/>
      <c r="C336" s="12"/>
      <c r="D336" s="17"/>
      <c r="E336" s="12"/>
      <c r="F336" s="12"/>
      <c r="G336" s="17"/>
      <c r="H336" s="17"/>
      <c r="I336" s="12"/>
      <c r="J336" s="12"/>
      <c r="K336" s="12"/>
      <c r="L336" s="12"/>
      <c r="M336" s="12"/>
      <c r="N336" s="12"/>
      <c r="O336" s="12"/>
      <c r="P336" s="12"/>
      <c r="Q336" s="12"/>
      <c r="R336" s="12"/>
      <c r="S336" s="12"/>
      <c r="T336" s="12"/>
      <c r="U336" s="12"/>
      <c r="V336" s="12"/>
      <c r="W336" s="12"/>
      <c r="X336" s="12"/>
      <c r="Y336" s="12"/>
      <c r="Z336" s="12"/>
      <c r="AA336" s="12"/>
    </row>
    <row r="337" ht="13.5" customHeight="1">
      <c r="A337" s="17"/>
      <c r="B337" s="12"/>
      <c r="C337" s="12"/>
      <c r="D337" s="17"/>
      <c r="E337" s="12"/>
      <c r="F337" s="12"/>
      <c r="G337" s="17"/>
      <c r="H337" s="17"/>
      <c r="I337" s="12"/>
      <c r="J337" s="12"/>
      <c r="K337" s="12"/>
      <c r="L337" s="12"/>
      <c r="M337" s="12"/>
      <c r="N337" s="12"/>
      <c r="O337" s="12"/>
      <c r="P337" s="12"/>
      <c r="Q337" s="12"/>
      <c r="R337" s="12"/>
      <c r="S337" s="12"/>
      <c r="T337" s="12"/>
      <c r="U337" s="12"/>
      <c r="V337" s="12"/>
      <c r="W337" s="12"/>
      <c r="X337" s="12"/>
      <c r="Y337" s="12"/>
      <c r="Z337" s="12"/>
      <c r="AA337" s="12"/>
    </row>
    <row r="338" ht="13.5" customHeight="1">
      <c r="A338" s="17"/>
      <c r="B338" s="12"/>
      <c r="C338" s="12"/>
      <c r="D338" s="17"/>
      <c r="E338" s="12"/>
      <c r="F338" s="12"/>
      <c r="G338" s="17"/>
      <c r="H338" s="17"/>
      <c r="I338" s="12"/>
      <c r="J338" s="12"/>
      <c r="K338" s="12"/>
      <c r="L338" s="12"/>
      <c r="M338" s="12"/>
      <c r="N338" s="12"/>
      <c r="O338" s="12"/>
      <c r="P338" s="12"/>
      <c r="Q338" s="12"/>
      <c r="R338" s="12"/>
      <c r="S338" s="12"/>
      <c r="T338" s="12"/>
      <c r="U338" s="12"/>
      <c r="V338" s="12"/>
      <c r="W338" s="12"/>
      <c r="X338" s="12"/>
      <c r="Y338" s="12"/>
      <c r="Z338" s="12"/>
      <c r="AA338" s="12"/>
    </row>
    <row r="339" ht="13.5" customHeight="1">
      <c r="A339" s="17"/>
      <c r="B339" s="12"/>
      <c r="C339" s="12"/>
      <c r="D339" s="17"/>
      <c r="E339" s="12"/>
      <c r="F339" s="12"/>
      <c r="G339" s="17"/>
      <c r="H339" s="17"/>
      <c r="I339" s="12"/>
      <c r="J339" s="12"/>
      <c r="K339" s="12"/>
      <c r="L339" s="12"/>
      <c r="M339" s="12"/>
      <c r="N339" s="12"/>
      <c r="O339" s="12"/>
      <c r="P339" s="12"/>
      <c r="Q339" s="12"/>
      <c r="R339" s="12"/>
      <c r="S339" s="12"/>
      <c r="T339" s="12"/>
      <c r="U339" s="12"/>
      <c r="V339" s="12"/>
      <c r="W339" s="12"/>
      <c r="X339" s="12"/>
      <c r="Y339" s="12"/>
      <c r="Z339" s="12"/>
      <c r="AA339" s="12"/>
    </row>
    <row r="340" ht="13.5" customHeight="1">
      <c r="A340" s="17"/>
      <c r="B340" s="12"/>
      <c r="C340" s="12"/>
      <c r="D340" s="17"/>
      <c r="E340" s="12"/>
      <c r="F340" s="12"/>
      <c r="G340" s="17"/>
      <c r="H340" s="17"/>
      <c r="I340" s="12"/>
      <c r="J340" s="12"/>
      <c r="K340" s="12"/>
      <c r="L340" s="12"/>
      <c r="M340" s="12"/>
      <c r="N340" s="12"/>
      <c r="O340" s="12"/>
      <c r="P340" s="12"/>
      <c r="Q340" s="12"/>
      <c r="R340" s="12"/>
      <c r="S340" s="12"/>
      <c r="T340" s="12"/>
      <c r="U340" s="12"/>
      <c r="V340" s="12"/>
      <c r="W340" s="12"/>
      <c r="X340" s="12"/>
      <c r="Y340" s="12"/>
      <c r="Z340" s="12"/>
      <c r="AA340" s="12"/>
    </row>
    <row r="341" ht="13.5" customHeight="1">
      <c r="A341" s="17"/>
      <c r="B341" s="12"/>
      <c r="C341" s="12"/>
      <c r="D341" s="17"/>
      <c r="E341" s="12"/>
      <c r="F341" s="12"/>
      <c r="G341" s="17"/>
      <c r="H341" s="17"/>
      <c r="I341" s="12"/>
      <c r="J341" s="12"/>
      <c r="K341" s="12"/>
      <c r="L341" s="12"/>
      <c r="M341" s="12"/>
      <c r="N341" s="12"/>
      <c r="O341" s="12"/>
      <c r="P341" s="12"/>
      <c r="Q341" s="12"/>
      <c r="R341" s="12"/>
      <c r="S341" s="12"/>
      <c r="T341" s="12"/>
      <c r="U341" s="12"/>
      <c r="V341" s="12"/>
      <c r="W341" s="12"/>
      <c r="X341" s="12"/>
      <c r="Y341" s="12"/>
      <c r="Z341" s="12"/>
      <c r="AA341" s="12"/>
    </row>
    <row r="342" ht="13.5" customHeight="1">
      <c r="A342" s="17"/>
      <c r="B342" s="12"/>
      <c r="C342" s="12"/>
      <c r="D342" s="17"/>
      <c r="E342" s="12"/>
      <c r="F342" s="12"/>
      <c r="G342" s="17"/>
      <c r="H342" s="17"/>
      <c r="I342" s="12"/>
      <c r="J342" s="12"/>
      <c r="K342" s="12"/>
      <c r="L342" s="12"/>
      <c r="M342" s="12"/>
      <c r="N342" s="12"/>
      <c r="O342" s="12"/>
      <c r="P342" s="12"/>
      <c r="Q342" s="12"/>
      <c r="R342" s="12"/>
      <c r="S342" s="12"/>
      <c r="T342" s="12"/>
      <c r="U342" s="12"/>
      <c r="V342" s="12"/>
      <c r="W342" s="12"/>
      <c r="X342" s="12"/>
      <c r="Y342" s="12"/>
      <c r="Z342" s="12"/>
      <c r="AA342" s="12"/>
    </row>
    <row r="343" ht="13.5" customHeight="1">
      <c r="A343" s="17"/>
      <c r="B343" s="12"/>
      <c r="C343" s="12"/>
      <c r="D343" s="17"/>
      <c r="E343" s="12"/>
      <c r="F343" s="12"/>
      <c r="G343" s="17"/>
      <c r="H343" s="17"/>
      <c r="I343" s="12"/>
      <c r="J343" s="12"/>
      <c r="K343" s="12"/>
      <c r="L343" s="12"/>
      <c r="M343" s="12"/>
      <c r="N343" s="12"/>
      <c r="O343" s="12"/>
      <c r="P343" s="12"/>
      <c r="Q343" s="12"/>
      <c r="R343" s="12"/>
      <c r="S343" s="12"/>
      <c r="T343" s="12"/>
      <c r="U343" s="12"/>
      <c r="V343" s="12"/>
      <c r="W343" s="12"/>
      <c r="X343" s="12"/>
      <c r="Y343" s="12"/>
      <c r="Z343" s="12"/>
      <c r="AA343" s="12"/>
    </row>
    <row r="344" ht="13.5" customHeight="1">
      <c r="A344" s="17"/>
      <c r="B344" s="12"/>
      <c r="C344" s="12"/>
      <c r="D344" s="17"/>
      <c r="E344" s="12"/>
      <c r="F344" s="12"/>
      <c r="G344" s="17"/>
      <c r="H344" s="17"/>
      <c r="I344" s="12"/>
      <c r="J344" s="12"/>
      <c r="K344" s="12"/>
      <c r="L344" s="12"/>
      <c r="M344" s="12"/>
      <c r="N344" s="12"/>
      <c r="O344" s="12"/>
      <c r="P344" s="12"/>
      <c r="Q344" s="12"/>
      <c r="R344" s="12"/>
      <c r="S344" s="12"/>
      <c r="T344" s="12"/>
      <c r="U344" s="12"/>
      <c r="V344" s="12"/>
      <c r="W344" s="12"/>
      <c r="X344" s="12"/>
      <c r="Y344" s="12"/>
      <c r="Z344" s="12"/>
      <c r="AA344" s="12"/>
    </row>
    <row r="345" ht="13.5" customHeight="1">
      <c r="A345" s="17"/>
      <c r="B345" s="12"/>
      <c r="C345" s="12"/>
      <c r="D345" s="17"/>
      <c r="E345" s="12"/>
      <c r="F345" s="12"/>
      <c r="G345" s="17"/>
      <c r="H345" s="17"/>
      <c r="I345" s="12"/>
      <c r="J345" s="12"/>
      <c r="K345" s="12"/>
      <c r="L345" s="12"/>
      <c r="M345" s="12"/>
      <c r="N345" s="12"/>
      <c r="O345" s="12"/>
      <c r="P345" s="12"/>
      <c r="Q345" s="12"/>
      <c r="R345" s="12"/>
      <c r="S345" s="12"/>
      <c r="T345" s="12"/>
      <c r="U345" s="12"/>
      <c r="V345" s="12"/>
      <c r="W345" s="12"/>
      <c r="X345" s="12"/>
      <c r="Y345" s="12"/>
      <c r="Z345" s="12"/>
      <c r="AA345" s="12"/>
    </row>
    <row r="346" ht="13.5" customHeight="1">
      <c r="A346" s="17"/>
      <c r="B346" s="12"/>
      <c r="C346" s="12"/>
      <c r="D346" s="17"/>
      <c r="E346" s="12"/>
      <c r="F346" s="12"/>
      <c r="G346" s="17"/>
      <c r="H346" s="17"/>
      <c r="I346" s="12"/>
      <c r="J346" s="12"/>
      <c r="K346" s="12"/>
      <c r="L346" s="12"/>
      <c r="M346" s="12"/>
      <c r="N346" s="12"/>
      <c r="O346" s="12"/>
      <c r="P346" s="12"/>
      <c r="Q346" s="12"/>
      <c r="R346" s="12"/>
      <c r="S346" s="12"/>
      <c r="T346" s="12"/>
      <c r="U346" s="12"/>
      <c r="V346" s="12"/>
      <c r="W346" s="12"/>
      <c r="X346" s="12"/>
      <c r="Y346" s="12"/>
      <c r="Z346" s="12"/>
      <c r="AA346" s="12"/>
    </row>
    <row r="347" ht="13.5" customHeight="1">
      <c r="A347" s="17"/>
      <c r="B347" s="12"/>
      <c r="C347" s="12"/>
      <c r="D347" s="17"/>
      <c r="E347" s="12"/>
      <c r="F347" s="12"/>
      <c r="G347" s="17"/>
      <c r="H347" s="17"/>
      <c r="I347" s="12"/>
      <c r="J347" s="12"/>
      <c r="K347" s="12"/>
      <c r="L347" s="12"/>
      <c r="M347" s="12"/>
      <c r="N347" s="12"/>
      <c r="O347" s="12"/>
      <c r="P347" s="12"/>
      <c r="Q347" s="12"/>
      <c r="R347" s="12"/>
      <c r="S347" s="12"/>
      <c r="T347" s="12"/>
      <c r="U347" s="12"/>
      <c r="V347" s="12"/>
      <c r="W347" s="12"/>
      <c r="X347" s="12"/>
      <c r="Y347" s="12"/>
      <c r="Z347" s="12"/>
      <c r="AA347" s="12"/>
    </row>
    <row r="348" ht="13.5" customHeight="1">
      <c r="A348" s="17"/>
      <c r="B348" s="12"/>
      <c r="C348" s="12"/>
      <c r="D348" s="17"/>
      <c r="E348" s="12"/>
      <c r="F348" s="12"/>
      <c r="G348" s="17"/>
      <c r="H348" s="17"/>
      <c r="I348" s="12"/>
      <c r="J348" s="12"/>
      <c r="K348" s="12"/>
      <c r="L348" s="12"/>
      <c r="M348" s="12"/>
      <c r="N348" s="12"/>
      <c r="O348" s="12"/>
      <c r="P348" s="12"/>
      <c r="Q348" s="12"/>
      <c r="R348" s="12"/>
      <c r="S348" s="12"/>
      <c r="T348" s="12"/>
      <c r="U348" s="12"/>
      <c r="V348" s="12"/>
      <c r="W348" s="12"/>
      <c r="X348" s="12"/>
      <c r="Y348" s="12"/>
      <c r="Z348" s="12"/>
      <c r="AA348" s="12"/>
    </row>
    <row r="349" ht="13.5" customHeight="1">
      <c r="A349" s="17"/>
      <c r="B349" s="12"/>
      <c r="C349" s="12"/>
      <c r="D349" s="17"/>
      <c r="E349" s="12"/>
      <c r="F349" s="12"/>
      <c r="G349" s="17"/>
      <c r="H349" s="17"/>
      <c r="I349" s="12"/>
      <c r="J349" s="12"/>
      <c r="K349" s="12"/>
      <c r="L349" s="12"/>
      <c r="M349" s="12"/>
      <c r="N349" s="12"/>
      <c r="O349" s="12"/>
      <c r="P349" s="12"/>
      <c r="Q349" s="12"/>
      <c r="R349" s="12"/>
      <c r="S349" s="12"/>
      <c r="T349" s="12"/>
      <c r="U349" s="12"/>
      <c r="V349" s="12"/>
      <c r="W349" s="12"/>
      <c r="X349" s="12"/>
      <c r="Y349" s="12"/>
      <c r="Z349" s="12"/>
      <c r="AA349" s="12"/>
    </row>
    <row r="350" ht="13.5" customHeight="1">
      <c r="A350" s="17"/>
      <c r="B350" s="12"/>
      <c r="C350" s="12"/>
      <c r="D350" s="17"/>
      <c r="E350" s="12"/>
      <c r="F350" s="12"/>
      <c r="G350" s="17"/>
      <c r="H350" s="17"/>
      <c r="I350" s="12"/>
      <c r="J350" s="12"/>
      <c r="K350" s="12"/>
      <c r="L350" s="12"/>
      <c r="M350" s="12"/>
      <c r="N350" s="12"/>
      <c r="O350" s="12"/>
      <c r="P350" s="12"/>
      <c r="Q350" s="12"/>
      <c r="R350" s="12"/>
      <c r="S350" s="12"/>
      <c r="T350" s="12"/>
      <c r="U350" s="12"/>
      <c r="V350" s="12"/>
      <c r="W350" s="12"/>
      <c r="X350" s="12"/>
      <c r="Y350" s="12"/>
      <c r="Z350" s="12"/>
      <c r="AA350" s="12"/>
    </row>
    <row r="351" ht="13.5" customHeight="1">
      <c r="A351" s="17"/>
      <c r="B351" s="12"/>
      <c r="C351" s="12"/>
      <c r="D351" s="17"/>
      <c r="E351" s="12"/>
      <c r="F351" s="12"/>
      <c r="G351" s="17"/>
      <c r="H351" s="17"/>
      <c r="I351" s="12"/>
      <c r="J351" s="12"/>
      <c r="K351" s="12"/>
      <c r="L351" s="12"/>
      <c r="M351" s="12"/>
      <c r="N351" s="12"/>
      <c r="O351" s="12"/>
      <c r="P351" s="12"/>
      <c r="Q351" s="12"/>
      <c r="R351" s="12"/>
      <c r="S351" s="12"/>
      <c r="T351" s="12"/>
      <c r="U351" s="12"/>
      <c r="V351" s="12"/>
      <c r="W351" s="12"/>
      <c r="X351" s="12"/>
      <c r="Y351" s="12"/>
      <c r="Z351" s="12"/>
      <c r="AA351" s="12"/>
    </row>
    <row r="352" ht="13.5" customHeight="1">
      <c r="A352" s="17"/>
      <c r="B352" s="12"/>
      <c r="C352" s="12"/>
      <c r="D352" s="17"/>
      <c r="E352" s="12"/>
      <c r="F352" s="12"/>
      <c r="G352" s="17"/>
      <c r="H352" s="17"/>
      <c r="I352" s="12"/>
      <c r="J352" s="12"/>
      <c r="K352" s="12"/>
      <c r="L352" s="12"/>
      <c r="M352" s="12"/>
      <c r="N352" s="12"/>
      <c r="O352" s="12"/>
      <c r="P352" s="12"/>
      <c r="Q352" s="12"/>
      <c r="R352" s="12"/>
      <c r="S352" s="12"/>
      <c r="T352" s="12"/>
      <c r="U352" s="12"/>
      <c r="V352" s="12"/>
      <c r="W352" s="12"/>
      <c r="X352" s="12"/>
      <c r="Y352" s="12"/>
      <c r="Z352" s="12"/>
      <c r="AA352" s="12"/>
    </row>
    <row r="353" ht="13.5" customHeight="1">
      <c r="A353" s="17"/>
      <c r="B353" s="12"/>
      <c r="C353" s="12"/>
      <c r="D353" s="17"/>
      <c r="E353" s="12"/>
      <c r="F353" s="12"/>
      <c r="G353" s="17"/>
      <c r="H353" s="17"/>
      <c r="I353" s="12"/>
      <c r="J353" s="12"/>
      <c r="K353" s="12"/>
      <c r="L353" s="12"/>
      <c r="M353" s="12"/>
      <c r="N353" s="12"/>
      <c r="O353" s="12"/>
      <c r="P353" s="12"/>
      <c r="Q353" s="12"/>
      <c r="R353" s="12"/>
      <c r="S353" s="12"/>
      <c r="T353" s="12"/>
      <c r="U353" s="12"/>
      <c r="V353" s="12"/>
      <c r="W353" s="12"/>
      <c r="X353" s="12"/>
      <c r="Y353" s="12"/>
      <c r="Z353" s="12"/>
      <c r="AA353" s="12"/>
    </row>
    <row r="354" ht="13.5" customHeight="1">
      <c r="A354" s="17"/>
      <c r="B354" s="12"/>
      <c r="C354" s="12"/>
      <c r="D354" s="17"/>
      <c r="E354" s="12"/>
      <c r="F354" s="12"/>
      <c r="G354" s="17"/>
      <c r="H354" s="17"/>
      <c r="I354" s="12"/>
      <c r="J354" s="12"/>
      <c r="K354" s="12"/>
      <c r="L354" s="12"/>
      <c r="M354" s="12"/>
      <c r="N354" s="12"/>
      <c r="O354" s="12"/>
      <c r="P354" s="12"/>
      <c r="Q354" s="12"/>
      <c r="R354" s="12"/>
      <c r="S354" s="12"/>
      <c r="T354" s="12"/>
      <c r="U354" s="12"/>
      <c r="V354" s="12"/>
      <c r="W354" s="12"/>
      <c r="X354" s="12"/>
      <c r="Y354" s="12"/>
      <c r="Z354" s="12"/>
      <c r="AA354" s="12"/>
    </row>
    <row r="355" ht="13.5" customHeight="1">
      <c r="A355" s="17"/>
      <c r="B355" s="12"/>
      <c r="C355" s="12"/>
      <c r="D355" s="17"/>
      <c r="E355" s="12"/>
      <c r="F355" s="12"/>
      <c r="G355" s="17"/>
      <c r="H355" s="17"/>
      <c r="I355" s="12"/>
      <c r="J355" s="12"/>
      <c r="K355" s="12"/>
      <c r="L355" s="12"/>
      <c r="M355" s="12"/>
      <c r="N355" s="12"/>
      <c r="O355" s="12"/>
      <c r="P355" s="12"/>
      <c r="Q355" s="12"/>
      <c r="R355" s="12"/>
      <c r="S355" s="12"/>
      <c r="T355" s="12"/>
      <c r="U355" s="12"/>
      <c r="V355" s="12"/>
      <c r="W355" s="12"/>
      <c r="X355" s="12"/>
      <c r="Y355" s="12"/>
      <c r="Z355" s="12"/>
      <c r="AA355" s="12"/>
    </row>
    <row r="356" ht="13.5" customHeight="1">
      <c r="A356" s="17"/>
      <c r="B356" s="12"/>
      <c r="C356" s="12"/>
      <c r="D356" s="17"/>
      <c r="E356" s="12"/>
      <c r="F356" s="12"/>
      <c r="G356" s="17"/>
      <c r="H356" s="17"/>
      <c r="I356" s="12"/>
      <c r="J356" s="12"/>
      <c r="K356" s="12"/>
      <c r="L356" s="12"/>
      <c r="M356" s="12"/>
      <c r="N356" s="12"/>
      <c r="O356" s="12"/>
      <c r="P356" s="12"/>
      <c r="Q356" s="12"/>
      <c r="R356" s="12"/>
      <c r="S356" s="12"/>
      <c r="T356" s="12"/>
      <c r="U356" s="12"/>
      <c r="V356" s="12"/>
      <c r="W356" s="12"/>
      <c r="X356" s="12"/>
      <c r="Y356" s="12"/>
      <c r="Z356" s="12"/>
      <c r="AA356" s="12"/>
    </row>
    <row r="357" ht="13.5" customHeight="1">
      <c r="A357" s="17"/>
      <c r="B357" s="12"/>
      <c r="C357" s="12"/>
      <c r="D357" s="17"/>
      <c r="E357" s="12"/>
      <c r="F357" s="12"/>
      <c r="G357" s="17"/>
      <c r="H357" s="17"/>
      <c r="I357" s="12"/>
      <c r="J357" s="12"/>
      <c r="K357" s="12"/>
      <c r="L357" s="12"/>
      <c r="M357" s="12"/>
      <c r="N357" s="12"/>
      <c r="O357" s="12"/>
      <c r="P357" s="12"/>
      <c r="Q357" s="12"/>
      <c r="R357" s="12"/>
      <c r="S357" s="12"/>
      <c r="T357" s="12"/>
      <c r="U357" s="12"/>
      <c r="V357" s="12"/>
      <c r="W357" s="12"/>
      <c r="X357" s="12"/>
      <c r="Y357" s="12"/>
      <c r="Z357" s="12"/>
      <c r="AA357" s="12"/>
    </row>
    <row r="358" ht="13.5" customHeight="1">
      <c r="A358" s="17"/>
      <c r="B358" s="12"/>
      <c r="C358" s="12"/>
      <c r="D358" s="17"/>
      <c r="E358" s="12"/>
      <c r="F358" s="12"/>
      <c r="G358" s="17"/>
      <c r="H358" s="17"/>
      <c r="I358" s="12"/>
      <c r="J358" s="12"/>
      <c r="K358" s="12"/>
      <c r="L358" s="12"/>
      <c r="M358" s="12"/>
      <c r="N358" s="12"/>
      <c r="O358" s="12"/>
      <c r="P358" s="12"/>
      <c r="Q358" s="12"/>
      <c r="R358" s="12"/>
      <c r="S358" s="12"/>
      <c r="T358" s="12"/>
      <c r="U358" s="12"/>
      <c r="V358" s="12"/>
      <c r="W358" s="12"/>
      <c r="X358" s="12"/>
      <c r="Y358" s="12"/>
      <c r="Z358" s="12"/>
      <c r="AA358" s="12"/>
    </row>
    <row r="359" ht="13.5" customHeight="1">
      <c r="A359" s="17"/>
      <c r="B359" s="12"/>
      <c r="C359" s="12"/>
      <c r="D359" s="17"/>
      <c r="E359" s="12"/>
      <c r="F359" s="12"/>
      <c r="G359" s="17"/>
      <c r="H359" s="17"/>
      <c r="I359" s="12"/>
      <c r="J359" s="12"/>
      <c r="K359" s="12"/>
      <c r="L359" s="12"/>
      <c r="M359" s="12"/>
      <c r="N359" s="12"/>
      <c r="O359" s="12"/>
      <c r="P359" s="12"/>
      <c r="Q359" s="12"/>
      <c r="R359" s="12"/>
      <c r="S359" s="12"/>
      <c r="T359" s="12"/>
      <c r="U359" s="12"/>
      <c r="V359" s="12"/>
      <c r="W359" s="12"/>
      <c r="X359" s="12"/>
      <c r="Y359" s="12"/>
      <c r="Z359" s="12"/>
      <c r="AA359" s="12"/>
    </row>
    <row r="360" ht="13.5" customHeight="1">
      <c r="A360" s="17"/>
      <c r="B360" s="12"/>
      <c r="C360" s="12"/>
      <c r="D360" s="17"/>
      <c r="E360" s="12"/>
      <c r="F360" s="12"/>
      <c r="G360" s="17"/>
      <c r="H360" s="17"/>
      <c r="I360" s="12"/>
      <c r="J360" s="12"/>
      <c r="K360" s="12"/>
      <c r="L360" s="12"/>
      <c r="M360" s="12"/>
      <c r="N360" s="12"/>
      <c r="O360" s="12"/>
      <c r="P360" s="12"/>
      <c r="Q360" s="12"/>
      <c r="R360" s="12"/>
      <c r="S360" s="12"/>
      <c r="T360" s="12"/>
      <c r="U360" s="12"/>
      <c r="V360" s="12"/>
      <c r="W360" s="12"/>
      <c r="X360" s="12"/>
      <c r="Y360" s="12"/>
      <c r="Z360" s="12"/>
      <c r="AA360" s="12"/>
    </row>
    <row r="361" ht="13.5" customHeight="1">
      <c r="A361" s="17"/>
      <c r="B361" s="12"/>
      <c r="C361" s="12"/>
      <c r="D361" s="17"/>
      <c r="E361" s="12"/>
      <c r="F361" s="12"/>
      <c r="G361" s="17"/>
      <c r="H361" s="17"/>
      <c r="I361" s="12"/>
      <c r="J361" s="12"/>
      <c r="K361" s="12"/>
      <c r="L361" s="12"/>
      <c r="M361" s="12"/>
      <c r="N361" s="12"/>
      <c r="O361" s="12"/>
      <c r="P361" s="12"/>
      <c r="Q361" s="12"/>
      <c r="R361" s="12"/>
      <c r="S361" s="12"/>
      <c r="T361" s="12"/>
      <c r="U361" s="12"/>
      <c r="V361" s="12"/>
      <c r="W361" s="12"/>
      <c r="X361" s="12"/>
      <c r="Y361" s="12"/>
      <c r="Z361" s="12"/>
      <c r="AA361" s="12"/>
    </row>
    <row r="362" ht="13.5" customHeight="1">
      <c r="A362" s="17"/>
      <c r="B362" s="12"/>
      <c r="C362" s="12"/>
      <c r="D362" s="17"/>
      <c r="E362" s="12"/>
      <c r="F362" s="12"/>
      <c r="G362" s="17"/>
      <c r="H362" s="17"/>
      <c r="I362" s="12"/>
      <c r="J362" s="12"/>
      <c r="K362" s="12"/>
      <c r="L362" s="12"/>
      <c r="M362" s="12"/>
      <c r="N362" s="12"/>
      <c r="O362" s="12"/>
      <c r="P362" s="12"/>
      <c r="Q362" s="12"/>
      <c r="R362" s="12"/>
      <c r="S362" s="12"/>
      <c r="T362" s="12"/>
      <c r="U362" s="12"/>
      <c r="V362" s="12"/>
      <c r="W362" s="12"/>
      <c r="X362" s="12"/>
      <c r="Y362" s="12"/>
      <c r="Z362" s="12"/>
      <c r="AA362" s="12"/>
    </row>
    <row r="363" ht="13.5" customHeight="1">
      <c r="A363" s="17"/>
      <c r="B363" s="12"/>
      <c r="C363" s="12"/>
      <c r="D363" s="17"/>
      <c r="E363" s="12"/>
      <c r="F363" s="12"/>
      <c r="G363" s="17"/>
      <c r="H363" s="17"/>
      <c r="I363" s="12"/>
      <c r="J363" s="12"/>
      <c r="K363" s="12"/>
      <c r="L363" s="12"/>
      <c r="M363" s="12"/>
      <c r="N363" s="12"/>
      <c r="O363" s="12"/>
      <c r="P363" s="12"/>
      <c r="Q363" s="12"/>
      <c r="R363" s="12"/>
      <c r="S363" s="12"/>
      <c r="T363" s="12"/>
      <c r="U363" s="12"/>
      <c r="V363" s="12"/>
      <c r="W363" s="12"/>
      <c r="X363" s="12"/>
      <c r="Y363" s="12"/>
      <c r="Z363" s="12"/>
      <c r="AA363" s="12"/>
    </row>
    <row r="364" ht="13.5" customHeight="1">
      <c r="A364" s="17"/>
      <c r="B364" s="12"/>
      <c r="C364" s="12"/>
      <c r="D364" s="17"/>
      <c r="E364" s="12"/>
      <c r="F364" s="12"/>
      <c r="G364" s="17"/>
      <c r="H364" s="17"/>
      <c r="I364" s="12"/>
      <c r="J364" s="12"/>
      <c r="K364" s="12"/>
      <c r="L364" s="12"/>
      <c r="M364" s="12"/>
      <c r="N364" s="12"/>
      <c r="O364" s="12"/>
      <c r="P364" s="12"/>
      <c r="Q364" s="12"/>
      <c r="R364" s="12"/>
      <c r="S364" s="12"/>
      <c r="T364" s="12"/>
      <c r="U364" s="12"/>
      <c r="V364" s="12"/>
      <c r="W364" s="12"/>
      <c r="X364" s="12"/>
      <c r="Y364" s="12"/>
      <c r="Z364" s="12"/>
      <c r="AA364" s="12"/>
    </row>
    <row r="365" ht="13.5" customHeight="1">
      <c r="A365" s="17"/>
      <c r="B365" s="12"/>
      <c r="C365" s="12"/>
      <c r="D365" s="17"/>
      <c r="E365" s="12"/>
      <c r="F365" s="12"/>
      <c r="G365" s="17"/>
      <c r="H365" s="17"/>
      <c r="I365" s="12"/>
      <c r="J365" s="12"/>
      <c r="K365" s="12"/>
      <c r="L365" s="12"/>
      <c r="M365" s="12"/>
      <c r="N365" s="12"/>
      <c r="O365" s="12"/>
      <c r="P365" s="12"/>
      <c r="Q365" s="12"/>
      <c r="R365" s="12"/>
      <c r="S365" s="12"/>
      <c r="T365" s="12"/>
      <c r="U365" s="12"/>
      <c r="V365" s="12"/>
      <c r="W365" s="12"/>
      <c r="X365" s="12"/>
      <c r="Y365" s="12"/>
      <c r="Z365" s="12"/>
      <c r="AA365" s="12"/>
    </row>
    <row r="366" ht="13.5" customHeight="1">
      <c r="A366" s="17"/>
      <c r="B366" s="12"/>
      <c r="C366" s="12"/>
      <c r="D366" s="17"/>
      <c r="E366" s="12"/>
      <c r="F366" s="12"/>
      <c r="G366" s="17"/>
      <c r="H366" s="17"/>
      <c r="I366" s="12"/>
      <c r="J366" s="12"/>
      <c r="K366" s="12"/>
      <c r="L366" s="12"/>
      <c r="M366" s="12"/>
      <c r="N366" s="12"/>
      <c r="O366" s="12"/>
      <c r="P366" s="12"/>
      <c r="Q366" s="12"/>
      <c r="R366" s="12"/>
      <c r="S366" s="12"/>
      <c r="T366" s="12"/>
      <c r="U366" s="12"/>
      <c r="V366" s="12"/>
      <c r="W366" s="12"/>
      <c r="X366" s="12"/>
      <c r="Y366" s="12"/>
      <c r="Z366" s="12"/>
      <c r="AA366" s="12"/>
    </row>
    <row r="367" ht="13.5" customHeight="1">
      <c r="A367" s="17"/>
      <c r="B367" s="12"/>
      <c r="C367" s="12"/>
      <c r="D367" s="17"/>
      <c r="E367" s="12"/>
      <c r="F367" s="12"/>
      <c r="G367" s="17"/>
      <c r="H367" s="17"/>
      <c r="I367" s="12"/>
      <c r="J367" s="12"/>
      <c r="K367" s="12"/>
      <c r="L367" s="12"/>
      <c r="M367" s="12"/>
      <c r="N367" s="12"/>
      <c r="O367" s="12"/>
      <c r="P367" s="12"/>
      <c r="Q367" s="12"/>
      <c r="R367" s="12"/>
      <c r="S367" s="12"/>
      <c r="T367" s="12"/>
      <c r="U367" s="12"/>
      <c r="V367" s="12"/>
      <c r="W367" s="12"/>
      <c r="X367" s="12"/>
      <c r="Y367" s="12"/>
      <c r="Z367" s="12"/>
      <c r="AA367" s="12"/>
    </row>
    <row r="368" ht="13.5" customHeight="1">
      <c r="A368" s="17"/>
      <c r="B368" s="12"/>
      <c r="C368" s="12"/>
      <c r="D368" s="17"/>
      <c r="E368" s="12"/>
      <c r="F368" s="12"/>
      <c r="G368" s="17"/>
      <c r="H368" s="17"/>
      <c r="I368" s="12"/>
      <c r="J368" s="12"/>
      <c r="K368" s="12"/>
      <c r="L368" s="12"/>
      <c r="M368" s="12"/>
      <c r="N368" s="12"/>
      <c r="O368" s="12"/>
      <c r="P368" s="12"/>
      <c r="Q368" s="12"/>
      <c r="R368" s="12"/>
      <c r="S368" s="12"/>
      <c r="T368" s="12"/>
      <c r="U368" s="12"/>
      <c r="V368" s="12"/>
      <c r="W368" s="12"/>
      <c r="X368" s="12"/>
      <c r="Y368" s="12"/>
      <c r="Z368" s="12"/>
      <c r="AA368" s="12"/>
    </row>
    <row r="369" ht="13.5" customHeight="1">
      <c r="A369" s="17"/>
      <c r="B369" s="12"/>
      <c r="C369" s="12"/>
      <c r="D369" s="17"/>
      <c r="E369" s="12"/>
      <c r="F369" s="12"/>
      <c r="G369" s="17"/>
      <c r="H369" s="17"/>
      <c r="I369" s="12"/>
      <c r="J369" s="12"/>
      <c r="K369" s="12"/>
      <c r="L369" s="12"/>
      <c r="M369" s="12"/>
      <c r="N369" s="12"/>
      <c r="O369" s="12"/>
      <c r="P369" s="12"/>
      <c r="Q369" s="12"/>
      <c r="R369" s="12"/>
      <c r="S369" s="12"/>
      <c r="T369" s="12"/>
      <c r="U369" s="12"/>
      <c r="V369" s="12"/>
      <c r="W369" s="12"/>
      <c r="X369" s="12"/>
      <c r="Y369" s="12"/>
      <c r="Z369" s="12"/>
      <c r="AA369" s="12"/>
    </row>
    <row r="370" ht="13.5" customHeight="1">
      <c r="A370" s="17"/>
      <c r="B370" s="12"/>
      <c r="C370" s="12"/>
      <c r="D370" s="17"/>
      <c r="E370" s="12"/>
      <c r="F370" s="12"/>
      <c r="G370" s="17"/>
      <c r="H370" s="17"/>
      <c r="I370" s="12"/>
      <c r="J370" s="12"/>
      <c r="K370" s="12"/>
      <c r="L370" s="12"/>
      <c r="M370" s="12"/>
      <c r="N370" s="12"/>
      <c r="O370" s="12"/>
      <c r="P370" s="12"/>
      <c r="Q370" s="12"/>
      <c r="R370" s="12"/>
      <c r="S370" s="12"/>
      <c r="T370" s="12"/>
      <c r="U370" s="12"/>
      <c r="V370" s="12"/>
      <c r="W370" s="12"/>
      <c r="X370" s="12"/>
      <c r="Y370" s="12"/>
      <c r="Z370" s="12"/>
      <c r="AA370" s="12"/>
    </row>
    <row r="371" ht="13.5" customHeight="1">
      <c r="A371" s="17"/>
      <c r="B371" s="12"/>
      <c r="C371" s="12"/>
      <c r="D371" s="17"/>
      <c r="E371" s="12"/>
      <c r="F371" s="12"/>
      <c r="G371" s="17"/>
      <c r="H371" s="17"/>
      <c r="I371" s="12"/>
      <c r="J371" s="12"/>
      <c r="K371" s="12"/>
      <c r="L371" s="12"/>
      <c r="M371" s="12"/>
      <c r="N371" s="12"/>
      <c r="O371" s="12"/>
      <c r="P371" s="12"/>
      <c r="Q371" s="12"/>
      <c r="R371" s="12"/>
      <c r="S371" s="12"/>
      <c r="T371" s="12"/>
      <c r="U371" s="12"/>
      <c r="V371" s="12"/>
      <c r="W371" s="12"/>
      <c r="X371" s="12"/>
      <c r="Y371" s="12"/>
      <c r="Z371" s="12"/>
      <c r="AA371" s="12"/>
    </row>
    <row r="372" ht="13.5" customHeight="1">
      <c r="A372" s="17"/>
      <c r="B372" s="12"/>
      <c r="C372" s="12"/>
      <c r="D372" s="17"/>
      <c r="E372" s="12"/>
      <c r="F372" s="12"/>
      <c r="G372" s="17"/>
      <c r="H372" s="17"/>
      <c r="I372" s="12"/>
      <c r="J372" s="12"/>
      <c r="K372" s="12"/>
      <c r="L372" s="12"/>
      <c r="M372" s="12"/>
      <c r="N372" s="12"/>
      <c r="O372" s="12"/>
      <c r="P372" s="12"/>
      <c r="Q372" s="12"/>
      <c r="R372" s="12"/>
      <c r="S372" s="12"/>
      <c r="T372" s="12"/>
      <c r="U372" s="12"/>
      <c r="V372" s="12"/>
      <c r="W372" s="12"/>
      <c r="X372" s="12"/>
      <c r="Y372" s="12"/>
      <c r="Z372" s="12"/>
      <c r="AA372" s="12"/>
    </row>
    <row r="373" ht="13.5" customHeight="1">
      <c r="A373" s="17"/>
      <c r="B373" s="12"/>
      <c r="C373" s="12"/>
      <c r="D373" s="17"/>
      <c r="E373" s="12"/>
      <c r="F373" s="12"/>
      <c r="G373" s="17"/>
      <c r="H373" s="17"/>
      <c r="I373" s="12"/>
      <c r="J373" s="12"/>
      <c r="K373" s="12"/>
      <c r="L373" s="12"/>
      <c r="M373" s="12"/>
      <c r="N373" s="12"/>
      <c r="O373" s="12"/>
      <c r="P373" s="12"/>
      <c r="Q373" s="12"/>
      <c r="R373" s="12"/>
      <c r="S373" s="12"/>
      <c r="T373" s="12"/>
      <c r="U373" s="12"/>
      <c r="V373" s="12"/>
      <c r="W373" s="12"/>
      <c r="X373" s="12"/>
      <c r="Y373" s="12"/>
      <c r="Z373" s="12"/>
      <c r="AA373" s="12"/>
    </row>
    <row r="374" ht="13.5" customHeight="1">
      <c r="A374" s="17"/>
      <c r="B374" s="12"/>
      <c r="C374" s="12"/>
      <c r="D374" s="17"/>
      <c r="E374" s="12"/>
      <c r="F374" s="12"/>
      <c r="G374" s="17"/>
      <c r="H374" s="17"/>
      <c r="I374" s="12"/>
      <c r="J374" s="12"/>
      <c r="K374" s="12"/>
      <c r="L374" s="12"/>
      <c r="M374" s="12"/>
      <c r="N374" s="12"/>
      <c r="O374" s="12"/>
      <c r="P374" s="12"/>
      <c r="Q374" s="12"/>
      <c r="R374" s="12"/>
      <c r="S374" s="12"/>
      <c r="T374" s="12"/>
      <c r="U374" s="12"/>
      <c r="V374" s="12"/>
      <c r="W374" s="12"/>
      <c r="X374" s="12"/>
      <c r="Y374" s="12"/>
      <c r="Z374" s="12"/>
      <c r="AA374" s="12"/>
    </row>
    <row r="375" ht="13.5" customHeight="1">
      <c r="A375" s="17"/>
      <c r="B375" s="12"/>
      <c r="C375" s="12"/>
      <c r="D375" s="17"/>
      <c r="E375" s="12"/>
      <c r="F375" s="12"/>
      <c r="G375" s="17"/>
      <c r="H375" s="17"/>
      <c r="I375" s="12"/>
      <c r="J375" s="12"/>
      <c r="K375" s="12"/>
      <c r="L375" s="12"/>
      <c r="M375" s="12"/>
      <c r="N375" s="12"/>
      <c r="O375" s="12"/>
      <c r="P375" s="12"/>
      <c r="Q375" s="12"/>
      <c r="R375" s="12"/>
      <c r="S375" s="12"/>
      <c r="T375" s="12"/>
      <c r="U375" s="12"/>
      <c r="V375" s="12"/>
      <c r="W375" s="12"/>
      <c r="X375" s="12"/>
      <c r="Y375" s="12"/>
      <c r="Z375" s="12"/>
      <c r="AA375" s="12"/>
    </row>
    <row r="376" ht="13.5" customHeight="1">
      <c r="A376" s="17"/>
      <c r="B376" s="12"/>
      <c r="C376" s="12"/>
      <c r="D376" s="17"/>
      <c r="E376" s="12"/>
      <c r="F376" s="12"/>
      <c r="G376" s="17"/>
      <c r="H376" s="17"/>
      <c r="I376" s="12"/>
      <c r="J376" s="12"/>
      <c r="K376" s="12"/>
      <c r="L376" s="12"/>
      <c r="M376" s="12"/>
      <c r="N376" s="12"/>
      <c r="O376" s="12"/>
      <c r="P376" s="12"/>
      <c r="Q376" s="12"/>
      <c r="R376" s="12"/>
      <c r="S376" s="12"/>
      <c r="T376" s="12"/>
      <c r="U376" s="12"/>
      <c r="V376" s="12"/>
      <c r="W376" s="12"/>
      <c r="X376" s="12"/>
      <c r="Y376" s="12"/>
      <c r="Z376" s="12"/>
      <c r="AA376" s="12"/>
    </row>
    <row r="377" ht="13.5" customHeight="1">
      <c r="A377" s="17"/>
      <c r="B377" s="12"/>
      <c r="C377" s="12"/>
      <c r="D377" s="17"/>
      <c r="E377" s="12"/>
      <c r="F377" s="12"/>
      <c r="G377" s="17"/>
      <c r="H377" s="17"/>
      <c r="I377" s="12"/>
      <c r="J377" s="12"/>
      <c r="K377" s="12"/>
      <c r="L377" s="12"/>
      <c r="M377" s="12"/>
      <c r="N377" s="12"/>
      <c r="O377" s="12"/>
      <c r="P377" s="12"/>
      <c r="Q377" s="12"/>
      <c r="R377" s="12"/>
      <c r="S377" s="12"/>
      <c r="T377" s="12"/>
      <c r="U377" s="12"/>
      <c r="V377" s="12"/>
      <c r="W377" s="12"/>
      <c r="X377" s="12"/>
      <c r="Y377" s="12"/>
      <c r="Z377" s="12"/>
      <c r="AA377" s="12"/>
    </row>
    <row r="378" ht="13.5" customHeight="1">
      <c r="A378" s="17"/>
      <c r="B378" s="12"/>
      <c r="C378" s="12"/>
      <c r="D378" s="17"/>
      <c r="E378" s="12"/>
      <c r="F378" s="12"/>
      <c r="G378" s="17"/>
      <c r="H378" s="17"/>
      <c r="I378" s="12"/>
      <c r="J378" s="12"/>
      <c r="K378" s="12"/>
      <c r="L378" s="12"/>
      <c r="M378" s="12"/>
      <c r="N378" s="12"/>
      <c r="O378" s="12"/>
      <c r="P378" s="12"/>
      <c r="Q378" s="12"/>
      <c r="R378" s="12"/>
      <c r="S378" s="12"/>
      <c r="T378" s="12"/>
      <c r="U378" s="12"/>
      <c r="V378" s="12"/>
      <c r="W378" s="12"/>
      <c r="X378" s="12"/>
      <c r="Y378" s="12"/>
      <c r="Z378" s="12"/>
      <c r="AA378" s="12"/>
    </row>
    <row r="379" ht="13.5" customHeight="1">
      <c r="A379" s="17"/>
      <c r="B379" s="12"/>
      <c r="C379" s="12"/>
      <c r="D379" s="17"/>
      <c r="E379" s="12"/>
      <c r="F379" s="12"/>
      <c r="G379" s="17"/>
      <c r="H379" s="17"/>
      <c r="I379" s="12"/>
      <c r="J379" s="12"/>
      <c r="K379" s="12"/>
      <c r="L379" s="12"/>
      <c r="M379" s="12"/>
      <c r="N379" s="12"/>
      <c r="O379" s="12"/>
      <c r="P379" s="12"/>
      <c r="Q379" s="12"/>
      <c r="R379" s="12"/>
      <c r="S379" s="12"/>
      <c r="T379" s="12"/>
      <c r="U379" s="12"/>
      <c r="V379" s="12"/>
      <c r="W379" s="12"/>
      <c r="X379" s="12"/>
      <c r="Y379" s="12"/>
      <c r="Z379" s="12"/>
      <c r="AA379" s="12"/>
    </row>
    <row r="380" ht="13.5" customHeight="1">
      <c r="A380" s="17"/>
      <c r="B380" s="12"/>
      <c r="C380" s="12"/>
      <c r="D380" s="17"/>
      <c r="E380" s="12"/>
      <c r="F380" s="12"/>
      <c r="G380" s="17"/>
      <c r="H380" s="17"/>
      <c r="I380" s="12"/>
      <c r="J380" s="12"/>
      <c r="K380" s="12"/>
      <c r="L380" s="12"/>
      <c r="M380" s="12"/>
      <c r="N380" s="12"/>
      <c r="O380" s="12"/>
      <c r="P380" s="12"/>
      <c r="Q380" s="12"/>
      <c r="R380" s="12"/>
      <c r="S380" s="12"/>
      <c r="T380" s="12"/>
      <c r="U380" s="12"/>
      <c r="V380" s="12"/>
      <c r="W380" s="12"/>
      <c r="X380" s="12"/>
      <c r="Y380" s="12"/>
      <c r="Z380" s="12"/>
      <c r="AA380" s="12"/>
    </row>
    <row r="381" ht="13.5" customHeight="1">
      <c r="A381" s="17"/>
      <c r="B381" s="12"/>
      <c r="C381" s="12"/>
      <c r="D381" s="17"/>
      <c r="E381" s="12"/>
      <c r="F381" s="12"/>
      <c r="G381" s="17"/>
      <c r="H381" s="17"/>
      <c r="I381" s="12"/>
      <c r="J381" s="12"/>
      <c r="K381" s="12"/>
      <c r="L381" s="12"/>
      <c r="M381" s="12"/>
      <c r="N381" s="12"/>
      <c r="O381" s="12"/>
      <c r="P381" s="12"/>
      <c r="Q381" s="12"/>
      <c r="R381" s="12"/>
      <c r="S381" s="12"/>
      <c r="T381" s="12"/>
      <c r="U381" s="12"/>
      <c r="V381" s="12"/>
      <c r="W381" s="12"/>
      <c r="X381" s="12"/>
      <c r="Y381" s="12"/>
      <c r="Z381" s="12"/>
      <c r="AA381" s="12"/>
    </row>
    <row r="382" ht="13.5" customHeight="1">
      <c r="A382" s="17"/>
      <c r="B382" s="12"/>
      <c r="C382" s="12"/>
      <c r="D382" s="17"/>
      <c r="E382" s="12"/>
      <c r="F382" s="12"/>
      <c r="G382" s="17"/>
      <c r="H382" s="17"/>
      <c r="I382" s="12"/>
      <c r="J382" s="12"/>
      <c r="K382" s="12"/>
      <c r="L382" s="12"/>
      <c r="M382" s="12"/>
      <c r="N382" s="12"/>
      <c r="O382" s="12"/>
      <c r="P382" s="12"/>
      <c r="Q382" s="12"/>
      <c r="R382" s="12"/>
      <c r="S382" s="12"/>
      <c r="T382" s="12"/>
      <c r="U382" s="12"/>
      <c r="V382" s="12"/>
      <c r="W382" s="12"/>
      <c r="X382" s="12"/>
      <c r="Y382" s="12"/>
      <c r="Z382" s="12"/>
      <c r="AA382" s="12"/>
    </row>
    <row r="383" ht="13.5" customHeight="1">
      <c r="A383" s="17"/>
      <c r="B383" s="12"/>
      <c r="C383" s="12"/>
      <c r="D383" s="17"/>
      <c r="E383" s="12"/>
      <c r="F383" s="12"/>
      <c r="G383" s="17"/>
      <c r="H383" s="17"/>
      <c r="I383" s="12"/>
      <c r="J383" s="12"/>
      <c r="K383" s="12"/>
      <c r="L383" s="12"/>
      <c r="M383" s="12"/>
      <c r="N383" s="12"/>
      <c r="O383" s="12"/>
      <c r="P383" s="12"/>
      <c r="Q383" s="12"/>
      <c r="R383" s="12"/>
      <c r="S383" s="12"/>
      <c r="T383" s="12"/>
      <c r="U383" s="12"/>
      <c r="V383" s="12"/>
      <c r="W383" s="12"/>
      <c r="X383" s="12"/>
      <c r="Y383" s="12"/>
      <c r="Z383" s="12"/>
      <c r="AA383" s="12"/>
    </row>
    <row r="384" ht="13.5" customHeight="1">
      <c r="A384" s="17"/>
      <c r="B384" s="12"/>
      <c r="C384" s="12"/>
      <c r="D384" s="17"/>
      <c r="E384" s="12"/>
      <c r="F384" s="12"/>
      <c r="G384" s="17"/>
      <c r="H384" s="17"/>
      <c r="I384" s="12"/>
      <c r="J384" s="12"/>
      <c r="K384" s="12"/>
      <c r="L384" s="12"/>
      <c r="M384" s="12"/>
      <c r="N384" s="12"/>
      <c r="O384" s="12"/>
      <c r="P384" s="12"/>
      <c r="Q384" s="12"/>
      <c r="R384" s="12"/>
      <c r="S384" s="12"/>
      <c r="T384" s="12"/>
      <c r="U384" s="12"/>
      <c r="V384" s="12"/>
      <c r="W384" s="12"/>
      <c r="X384" s="12"/>
      <c r="Y384" s="12"/>
      <c r="Z384" s="12"/>
      <c r="AA384" s="12"/>
    </row>
    <row r="385" ht="13.5" customHeight="1">
      <c r="A385" s="17"/>
      <c r="B385" s="12"/>
      <c r="C385" s="12"/>
      <c r="D385" s="17"/>
      <c r="E385" s="12"/>
      <c r="F385" s="12"/>
      <c r="G385" s="17"/>
      <c r="H385" s="17"/>
      <c r="I385" s="12"/>
      <c r="J385" s="12"/>
      <c r="K385" s="12"/>
      <c r="L385" s="12"/>
      <c r="M385" s="12"/>
      <c r="N385" s="12"/>
      <c r="O385" s="12"/>
      <c r="P385" s="12"/>
      <c r="Q385" s="12"/>
      <c r="R385" s="12"/>
      <c r="S385" s="12"/>
      <c r="T385" s="12"/>
      <c r="U385" s="12"/>
      <c r="V385" s="12"/>
      <c r="W385" s="12"/>
      <c r="X385" s="12"/>
      <c r="Y385" s="12"/>
      <c r="Z385" s="12"/>
      <c r="AA385" s="12"/>
    </row>
    <row r="386" ht="13.5" customHeight="1">
      <c r="A386" s="17"/>
      <c r="B386" s="12"/>
      <c r="C386" s="12"/>
      <c r="D386" s="17"/>
      <c r="E386" s="12"/>
      <c r="F386" s="12"/>
      <c r="G386" s="17"/>
      <c r="H386" s="17"/>
      <c r="I386" s="12"/>
      <c r="J386" s="12"/>
      <c r="K386" s="12"/>
      <c r="L386" s="12"/>
      <c r="M386" s="12"/>
      <c r="N386" s="12"/>
      <c r="O386" s="12"/>
      <c r="P386" s="12"/>
      <c r="Q386" s="12"/>
      <c r="R386" s="12"/>
      <c r="S386" s="12"/>
      <c r="T386" s="12"/>
      <c r="U386" s="12"/>
      <c r="V386" s="12"/>
      <c r="W386" s="12"/>
      <c r="X386" s="12"/>
      <c r="Y386" s="12"/>
      <c r="Z386" s="12"/>
      <c r="AA386" s="12"/>
    </row>
    <row r="387" ht="13.5" customHeight="1">
      <c r="A387" s="17"/>
      <c r="B387" s="12"/>
      <c r="C387" s="12"/>
      <c r="D387" s="17"/>
      <c r="E387" s="12"/>
      <c r="F387" s="12"/>
      <c r="G387" s="17"/>
      <c r="H387" s="17"/>
      <c r="I387" s="12"/>
      <c r="J387" s="12"/>
      <c r="K387" s="12"/>
      <c r="L387" s="12"/>
      <c r="M387" s="12"/>
      <c r="N387" s="12"/>
      <c r="O387" s="12"/>
      <c r="P387" s="12"/>
      <c r="Q387" s="12"/>
      <c r="R387" s="12"/>
      <c r="S387" s="12"/>
      <c r="T387" s="12"/>
      <c r="U387" s="12"/>
      <c r="V387" s="12"/>
      <c r="W387" s="12"/>
      <c r="X387" s="12"/>
      <c r="Y387" s="12"/>
      <c r="Z387" s="12"/>
      <c r="AA387" s="12"/>
    </row>
    <row r="388" ht="13.5" customHeight="1">
      <c r="A388" s="17"/>
      <c r="B388" s="12"/>
      <c r="C388" s="12"/>
      <c r="D388" s="17"/>
      <c r="E388" s="12"/>
      <c r="F388" s="12"/>
      <c r="G388" s="17"/>
      <c r="H388" s="17"/>
      <c r="I388" s="12"/>
      <c r="J388" s="12"/>
      <c r="K388" s="12"/>
      <c r="L388" s="12"/>
      <c r="M388" s="12"/>
      <c r="N388" s="12"/>
      <c r="O388" s="12"/>
      <c r="P388" s="12"/>
      <c r="Q388" s="12"/>
      <c r="R388" s="12"/>
      <c r="S388" s="12"/>
      <c r="T388" s="12"/>
      <c r="U388" s="12"/>
      <c r="V388" s="12"/>
      <c r="W388" s="12"/>
      <c r="X388" s="12"/>
      <c r="Y388" s="12"/>
      <c r="Z388" s="12"/>
      <c r="AA388" s="12"/>
    </row>
    <row r="389" ht="13.5" customHeight="1">
      <c r="A389" s="17"/>
      <c r="B389" s="12"/>
      <c r="C389" s="12"/>
      <c r="D389" s="17"/>
      <c r="E389" s="12"/>
      <c r="F389" s="12"/>
      <c r="G389" s="17"/>
      <c r="H389" s="17"/>
      <c r="I389" s="12"/>
      <c r="J389" s="12"/>
      <c r="K389" s="12"/>
      <c r="L389" s="12"/>
      <c r="M389" s="12"/>
      <c r="N389" s="12"/>
      <c r="O389" s="12"/>
      <c r="P389" s="12"/>
      <c r="Q389" s="12"/>
      <c r="R389" s="12"/>
      <c r="S389" s="12"/>
      <c r="T389" s="12"/>
      <c r="U389" s="12"/>
      <c r="V389" s="12"/>
      <c r="W389" s="12"/>
      <c r="X389" s="12"/>
      <c r="Y389" s="12"/>
      <c r="Z389" s="12"/>
      <c r="AA389" s="12"/>
    </row>
    <row r="390" ht="13.5" customHeight="1">
      <c r="A390" s="17"/>
      <c r="B390" s="12"/>
      <c r="C390" s="12"/>
      <c r="D390" s="17"/>
      <c r="E390" s="12"/>
      <c r="F390" s="12"/>
      <c r="G390" s="17"/>
      <c r="H390" s="17"/>
      <c r="I390" s="12"/>
      <c r="J390" s="12"/>
      <c r="K390" s="12"/>
      <c r="L390" s="12"/>
      <c r="M390" s="12"/>
      <c r="N390" s="12"/>
      <c r="O390" s="12"/>
      <c r="P390" s="12"/>
      <c r="Q390" s="12"/>
      <c r="R390" s="12"/>
      <c r="S390" s="12"/>
      <c r="T390" s="12"/>
      <c r="U390" s="12"/>
      <c r="V390" s="12"/>
      <c r="W390" s="12"/>
      <c r="X390" s="12"/>
      <c r="Y390" s="12"/>
      <c r="Z390" s="12"/>
      <c r="AA390" s="12"/>
    </row>
    <row r="391" ht="13.5" customHeight="1">
      <c r="A391" s="17"/>
      <c r="B391" s="12"/>
      <c r="C391" s="12"/>
      <c r="D391" s="17"/>
      <c r="E391" s="12"/>
      <c r="F391" s="12"/>
      <c r="G391" s="17"/>
      <c r="H391" s="17"/>
      <c r="I391" s="12"/>
      <c r="J391" s="12"/>
      <c r="K391" s="12"/>
      <c r="L391" s="12"/>
      <c r="M391" s="12"/>
      <c r="N391" s="12"/>
      <c r="O391" s="12"/>
      <c r="P391" s="12"/>
      <c r="Q391" s="12"/>
      <c r="R391" s="12"/>
      <c r="S391" s="12"/>
      <c r="T391" s="12"/>
      <c r="U391" s="12"/>
      <c r="V391" s="12"/>
      <c r="W391" s="12"/>
      <c r="X391" s="12"/>
      <c r="Y391" s="12"/>
      <c r="Z391" s="12"/>
      <c r="AA391" s="12"/>
    </row>
    <row r="392" ht="13.5" customHeight="1">
      <c r="A392" s="17"/>
      <c r="B392" s="12"/>
      <c r="C392" s="12"/>
      <c r="D392" s="17"/>
      <c r="E392" s="12"/>
      <c r="F392" s="12"/>
      <c r="G392" s="17"/>
      <c r="H392" s="17"/>
      <c r="I392" s="12"/>
      <c r="J392" s="12"/>
      <c r="K392" s="12"/>
      <c r="L392" s="12"/>
      <c r="M392" s="12"/>
      <c r="N392" s="12"/>
      <c r="O392" s="12"/>
      <c r="P392" s="12"/>
      <c r="Q392" s="12"/>
      <c r="R392" s="12"/>
      <c r="S392" s="12"/>
      <c r="T392" s="12"/>
      <c r="U392" s="12"/>
      <c r="V392" s="12"/>
      <c r="W392" s="12"/>
      <c r="X392" s="12"/>
      <c r="Y392" s="12"/>
      <c r="Z392" s="12"/>
      <c r="AA392" s="12"/>
    </row>
    <row r="393" ht="13.5" customHeight="1">
      <c r="A393" s="17"/>
      <c r="B393" s="12"/>
      <c r="C393" s="12"/>
      <c r="D393" s="17"/>
      <c r="E393" s="12"/>
      <c r="F393" s="12"/>
      <c r="G393" s="17"/>
      <c r="H393" s="17"/>
      <c r="I393" s="12"/>
      <c r="J393" s="12"/>
      <c r="K393" s="12"/>
      <c r="L393" s="12"/>
      <c r="M393" s="12"/>
      <c r="N393" s="12"/>
      <c r="O393" s="12"/>
      <c r="P393" s="12"/>
      <c r="Q393" s="12"/>
      <c r="R393" s="12"/>
      <c r="S393" s="12"/>
      <c r="T393" s="12"/>
      <c r="U393" s="12"/>
      <c r="V393" s="12"/>
      <c r="W393" s="12"/>
      <c r="X393" s="12"/>
      <c r="Y393" s="12"/>
      <c r="Z393" s="12"/>
      <c r="AA393" s="12"/>
    </row>
    <row r="394" ht="13.5" customHeight="1">
      <c r="A394" s="17"/>
      <c r="B394" s="12"/>
      <c r="C394" s="12"/>
      <c r="D394" s="17"/>
      <c r="E394" s="12"/>
      <c r="F394" s="12"/>
      <c r="G394" s="17"/>
      <c r="H394" s="17"/>
      <c r="I394" s="12"/>
      <c r="J394" s="12"/>
      <c r="K394" s="12"/>
      <c r="L394" s="12"/>
      <c r="M394" s="12"/>
      <c r="N394" s="12"/>
      <c r="O394" s="12"/>
      <c r="P394" s="12"/>
      <c r="Q394" s="12"/>
      <c r="R394" s="12"/>
      <c r="S394" s="12"/>
      <c r="T394" s="12"/>
      <c r="U394" s="12"/>
      <c r="V394" s="12"/>
      <c r="W394" s="12"/>
      <c r="X394" s="12"/>
      <c r="Y394" s="12"/>
      <c r="Z394" s="12"/>
      <c r="AA394" s="12"/>
    </row>
    <row r="395" ht="13.5" customHeight="1">
      <c r="A395" s="17"/>
      <c r="B395" s="12"/>
      <c r="C395" s="12"/>
      <c r="D395" s="17"/>
      <c r="E395" s="12"/>
      <c r="F395" s="12"/>
      <c r="G395" s="17"/>
      <c r="H395" s="17"/>
      <c r="I395" s="12"/>
      <c r="J395" s="12"/>
      <c r="K395" s="12"/>
      <c r="L395" s="12"/>
      <c r="M395" s="12"/>
      <c r="N395" s="12"/>
      <c r="O395" s="12"/>
      <c r="P395" s="12"/>
      <c r="Q395" s="12"/>
      <c r="R395" s="12"/>
      <c r="S395" s="12"/>
      <c r="T395" s="12"/>
      <c r="U395" s="12"/>
      <c r="V395" s="12"/>
      <c r="W395" s="12"/>
      <c r="X395" s="12"/>
      <c r="Y395" s="12"/>
      <c r="Z395" s="12"/>
      <c r="AA395" s="12"/>
    </row>
    <row r="396" ht="13.5" customHeight="1">
      <c r="A396" s="17"/>
      <c r="B396" s="12"/>
      <c r="C396" s="12"/>
      <c r="D396" s="17"/>
      <c r="E396" s="12"/>
      <c r="F396" s="12"/>
      <c r="G396" s="17"/>
      <c r="H396" s="17"/>
      <c r="I396" s="12"/>
      <c r="J396" s="12"/>
      <c r="K396" s="12"/>
      <c r="L396" s="12"/>
      <c r="M396" s="12"/>
      <c r="N396" s="12"/>
      <c r="O396" s="12"/>
      <c r="P396" s="12"/>
      <c r="Q396" s="12"/>
      <c r="R396" s="12"/>
      <c r="S396" s="12"/>
      <c r="T396" s="12"/>
      <c r="U396" s="12"/>
      <c r="V396" s="12"/>
      <c r="W396" s="12"/>
      <c r="X396" s="12"/>
      <c r="Y396" s="12"/>
      <c r="Z396" s="12"/>
      <c r="AA396" s="12"/>
    </row>
    <row r="397" ht="13.5" customHeight="1">
      <c r="A397" s="17"/>
      <c r="B397" s="12"/>
      <c r="C397" s="12"/>
      <c r="D397" s="17"/>
      <c r="E397" s="12"/>
      <c r="F397" s="12"/>
      <c r="G397" s="17"/>
      <c r="H397" s="17"/>
      <c r="I397" s="12"/>
      <c r="J397" s="12"/>
      <c r="K397" s="12"/>
      <c r="L397" s="12"/>
      <c r="M397" s="12"/>
      <c r="N397" s="12"/>
      <c r="O397" s="12"/>
      <c r="P397" s="12"/>
      <c r="Q397" s="12"/>
      <c r="R397" s="12"/>
      <c r="S397" s="12"/>
      <c r="T397" s="12"/>
      <c r="U397" s="12"/>
      <c r="V397" s="12"/>
      <c r="W397" s="12"/>
      <c r="X397" s="12"/>
      <c r="Y397" s="12"/>
      <c r="Z397" s="12"/>
      <c r="AA397" s="12"/>
    </row>
    <row r="398" ht="13.5" customHeight="1">
      <c r="A398" s="17"/>
      <c r="B398" s="12"/>
      <c r="C398" s="12"/>
      <c r="D398" s="17"/>
      <c r="E398" s="12"/>
      <c r="F398" s="12"/>
      <c r="G398" s="17"/>
      <c r="H398" s="17"/>
      <c r="I398" s="12"/>
      <c r="J398" s="12"/>
      <c r="K398" s="12"/>
      <c r="L398" s="12"/>
      <c r="M398" s="12"/>
      <c r="N398" s="12"/>
      <c r="O398" s="12"/>
      <c r="P398" s="12"/>
      <c r="Q398" s="12"/>
      <c r="R398" s="12"/>
      <c r="S398" s="12"/>
      <c r="T398" s="12"/>
      <c r="U398" s="12"/>
      <c r="V398" s="12"/>
      <c r="W398" s="12"/>
      <c r="X398" s="12"/>
      <c r="Y398" s="12"/>
      <c r="Z398" s="12"/>
      <c r="AA398" s="12"/>
    </row>
    <row r="399" ht="13.5" customHeight="1">
      <c r="A399" s="17"/>
      <c r="B399" s="12"/>
      <c r="C399" s="12"/>
      <c r="D399" s="17"/>
      <c r="E399" s="12"/>
      <c r="F399" s="12"/>
      <c r="G399" s="17"/>
      <c r="H399" s="17"/>
      <c r="I399" s="12"/>
      <c r="J399" s="12"/>
      <c r="K399" s="12"/>
      <c r="L399" s="12"/>
      <c r="M399" s="12"/>
      <c r="N399" s="12"/>
      <c r="O399" s="12"/>
      <c r="P399" s="12"/>
      <c r="Q399" s="12"/>
      <c r="R399" s="12"/>
      <c r="S399" s="12"/>
      <c r="T399" s="12"/>
      <c r="U399" s="12"/>
      <c r="V399" s="12"/>
      <c r="W399" s="12"/>
      <c r="X399" s="12"/>
      <c r="Y399" s="12"/>
      <c r="Z399" s="12"/>
      <c r="AA399" s="12"/>
    </row>
    <row r="400" ht="13.5" customHeight="1">
      <c r="A400" s="17"/>
      <c r="B400" s="12"/>
      <c r="C400" s="12"/>
      <c r="D400" s="17"/>
      <c r="E400" s="12"/>
      <c r="F400" s="12"/>
      <c r="G400" s="17"/>
      <c r="H400" s="17"/>
      <c r="I400" s="12"/>
      <c r="J400" s="12"/>
      <c r="K400" s="12"/>
      <c r="L400" s="12"/>
      <c r="M400" s="12"/>
      <c r="N400" s="12"/>
      <c r="O400" s="12"/>
      <c r="P400" s="12"/>
      <c r="Q400" s="12"/>
      <c r="R400" s="12"/>
      <c r="S400" s="12"/>
      <c r="T400" s="12"/>
      <c r="U400" s="12"/>
      <c r="V400" s="12"/>
      <c r="W400" s="12"/>
      <c r="X400" s="12"/>
      <c r="Y400" s="12"/>
      <c r="Z400" s="12"/>
      <c r="AA400" s="12"/>
    </row>
    <row r="401" ht="13.5" customHeight="1">
      <c r="A401" s="17"/>
      <c r="B401" s="12"/>
      <c r="C401" s="12"/>
      <c r="D401" s="17"/>
      <c r="E401" s="12"/>
      <c r="F401" s="12"/>
      <c r="G401" s="17"/>
      <c r="H401" s="17"/>
      <c r="I401" s="12"/>
      <c r="J401" s="12"/>
      <c r="K401" s="12"/>
      <c r="L401" s="12"/>
      <c r="M401" s="12"/>
      <c r="N401" s="12"/>
      <c r="O401" s="12"/>
      <c r="P401" s="12"/>
      <c r="Q401" s="12"/>
      <c r="R401" s="12"/>
      <c r="S401" s="12"/>
      <c r="T401" s="12"/>
      <c r="U401" s="12"/>
      <c r="V401" s="12"/>
      <c r="W401" s="12"/>
      <c r="X401" s="12"/>
      <c r="Y401" s="12"/>
      <c r="Z401" s="12"/>
      <c r="AA401" s="12"/>
    </row>
    <row r="402" ht="13.5" customHeight="1">
      <c r="A402" s="17"/>
      <c r="B402" s="12"/>
      <c r="C402" s="12"/>
      <c r="D402" s="17"/>
      <c r="E402" s="12"/>
      <c r="F402" s="12"/>
      <c r="G402" s="17"/>
      <c r="H402" s="17"/>
      <c r="I402" s="12"/>
      <c r="J402" s="12"/>
      <c r="K402" s="12"/>
      <c r="L402" s="12"/>
      <c r="M402" s="12"/>
      <c r="N402" s="12"/>
      <c r="O402" s="12"/>
      <c r="P402" s="12"/>
      <c r="Q402" s="12"/>
      <c r="R402" s="12"/>
      <c r="S402" s="12"/>
      <c r="T402" s="12"/>
      <c r="U402" s="12"/>
      <c r="V402" s="12"/>
      <c r="W402" s="12"/>
      <c r="X402" s="12"/>
      <c r="Y402" s="12"/>
      <c r="Z402" s="12"/>
      <c r="AA402" s="12"/>
    </row>
    <row r="403" ht="13.5" customHeight="1">
      <c r="A403" s="17"/>
      <c r="B403" s="12"/>
      <c r="C403" s="12"/>
      <c r="D403" s="17"/>
      <c r="E403" s="12"/>
      <c r="F403" s="12"/>
      <c r="G403" s="17"/>
      <c r="H403" s="17"/>
      <c r="I403" s="12"/>
      <c r="J403" s="12"/>
      <c r="K403" s="12"/>
      <c r="L403" s="12"/>
      <c r="M403" s="12"/>
      <c r="N403" s="12"/>
      <c r="O403" s="12"/>
      <c r="P403" s="12"/>
      <c r="Q403" s="12"/>
      <c r="R403" s="12"/>
      <c r="S403" s="12"/>
      <c r="T403" s="12"/>
      <c r="U403" s="12"/>
      <c r="V403" s="12"/>
      <c r="W403" s="12"/>
      <c r="X403" s="12"/>
      <c r="Y403" s="12"/>
      <c r="Z403" s="12"/>
      <c r="AA403" s="12"/>
    </row>
    <row r="404" ht="13.5" customHeight="1">
      <c r="A404" s="17"/>
      <c r="B404" s="12"/>
      <c r="C404" s="12"/>
      <c r="D404" s="17"/>
      <c r="E404" s="12"/>
      <c r="F404" s="12"/>
      <c r="G404" s="17"/>
      <c r="H404" s="17"/>
      <c r="I404" s="12"/>
      <c r="J404" s="12"/>
      <c r="K404" s="12"/>
      <c r="L404" s="12"/>
      <c r="M404" s="12"/>
      <c r="N404" s="12"/>
      <c r="O404" s="12"/>
      <c r="P404" s="12"/>
      <c r="Q404" s="12"/>
      <c r="R404" s="12"/>
      <c r="S404" s="12"/>
      <c r="T404" s="12"/>
      <c r="U404" s="12"/>
      <c r="V404" s="12"/>
      <c r="W404" s="12"/>
      <c r="X404" s="12"/>
      <c r="Y404" s="12"/>
      <c r="Z404" s="12"/>
      <c r="AA404" s="12"/>
    </row>
    <row r="405" ht="13.5" customHeight="1">
      <c r="A405" s="17"/>
      <c r="B405" s="12"/>
      <c r="C405" s="12"/>
      <c r="D405" s="17"/>
      <c r="E405" s="12"/>
      <c r="F405" s="12"/>
      <c r="G405" s="17"/>
      <c r="H405" s="17"/>
      <c r="I405" s="12"/>
      <c r="J405" s="12"/>
      <c r="K405" s="12"/>
      <c r="L405" s="12"/>
      <c r="M405" s="12"/>
      <c r="N405" s="12"/>
      <c r="O405" s="12"/>
      <c r="P405" s="12"/>
      <c r="Q405" s="12"/>
      <c r="R405" s="12"/>
      <c r="S405" s="12"/>
      <c r="T405" s="12"/>
      <c r="U405" s="12"/>
      <c r="V405" s="12"/>
      <c r="W405" s="12"/>
      <c r="X405" s="12"/>
      <c r="Y405" s="12"/>
      <c r="Z405" s="12"/>
      <c r="AA405" s="12"/>
    </row>
    <row r="406" ht="13.5" customHeight="1">
      <c r="A406" s="17"/>
      <c r="B406" s="12"/>
      <c r="C406" s="12"/>
      <c r="D406" s="17"/>
      <c r="E406" s="12"/>
      <c r="F406" s="12"/>
      <c r="G406" s="17"/>
      <c r="H406" s="17"/>
      <c r="I406" s="12"/>
      <c r="J406" s="12"/>
      <c r="K406" s="12"/>
      <c r="L406" s="12"/>
      <c r="M406" s="12"/>
      <c r="N406" s="12"/>
      <c r="O406" s="12"/>
      <c r="P406" s="12"/>
      <c r="Q406" s="12"/>
      <c r="R406" s="12"/>
      <c r="S406" s="12"/>
      <c r="T406" s="12"/>
      <c r="U406" s="12"/>
      <c r="V406" s="12"/>
      <c r="W406" s="12"/>
      <c r="X406" s="12"/>
      <c r="Y406" s="12"/>
      <c r="Z406" s="12"/>
      <c r="AA406" s="12"/>
    </row>
    <row r="407" ht="13.5" customHeight="1">
      <c r="A407" s="17"/>
      <c r="B407" s="12"/>
      <c r="C407" s="12"/>
      <c r="D407" s="17"/>
      <c r="E407" s="12"/>
      <c r="F407" s="12"/>
      <c r="G407" s="17"/>
      <c r="H407" s="17"/>
      <c r="I407" s="12"/>
      <c r="J407" s="12"/>
      <c r="K407" s="12"/>
      <c r="L407" s="12"/>
      <c r="M407" s="12"/>
      <c r="N407" s="12"/>
      <c r="O407" s="12"/>
      <c r="P407" s="12"/>
      <c r="Q407" s="12"/>
      <c r="R407" s="12"/>
      <c r="S407" s="12"/>
      <c r="T407" s="12"/>
      <c r="U407" s="12"/>
      <c r="V407" s="12"/>
      <c r="W407" s="12"/>
      <c r="X407" s="12"/>
      <c r="Y407" s="12"/>
      <c r="Z407" s="12"/>
      <c r="AA407" s="12"/>
    </row>
    <row r="408" ht="13.5" customHeight="1">
      <c r="A408" s="17"/>
      <c r="B408" s="12"/>
      <c r="C408" s="12"/>
      <c r="D408" s="17"/>
      <c r="E408" s="12"/>
      <c r="F408" s="12"/>
      <c r="G408" s="17"/>
      <c r="H408" s="17"/>
      <c r="I408" s="12"/>
      <c r="J408" s="12"/>
      <c r="K408" s="12"/>
      <c r="L408" s="12"/>
      <c r="M408" s="12"/>
      <c r="N408" s="12"/>
      <c r="O408" s="12"/>
      <c r="P408" s="12"/>
      <c r="Q408" s="12"/>
      <c r="R408" s="12"/>
      <c r="S408" s="12"/>
      <c r="T408" s="12"/>
      <c r="U408" s="12"/>
      <c r="V408" s="12"/>
      <c r="W408" s="12"/>
      <c r="X408" s="12"/>
      <c r="Y408" s="12"/>
      <c r="Z408" s="12"/>
      <c r="AA408" s="12"/>
    </row>
    <row r="409" ht="13.5" customHeight="1">
      <c r="A409" s="17"/>
      <c r="B409" s="12"/>
      <c r="C409" s="12"/>
      <c r="D409" s="17"/>
      <c r="E409" s="12"/>
      <c r="F409" s="12"/>
      <c r="G409" s="17"/>
      <c r="H409" s="17"/>
      <c r="I409" s="12"/>
      <c r="J409" s="12"/>
      <c r="K409" s="12"/>
      <c r="L409" s="12"/>
      <c r="M409" s="12"/>
      <c r="N409" s="12"/>
      <c r="O409" s="12"/>
      <c r="P409" s="12"/>
      <c r="Q409" s="12"/>
      <c r="R409" s="12"/>
      <c r="S409" s="12"/>
      <c r="T409" s="12"/>
      <c r="U409" s="12"/>
      <c r="V409" s="12"/>
      <c r="W409" s="12"/>
      <c r="X409" s="12"/>
      <c r="Y409" s="12"/>
      <c r="Z409" s="12"/>
      <c r="AA409" s="12"/>
    </row>
    <row r="410" ht="13.5" customHeight="1">
      <c r="A410" s="17"/>
      <c r="B410" s="12"/>
      <c r="C410" s="12"/>
      <c r="D410" s="17"/>
      <c r="E410" s="12"/>
      <c r="F410" s="12"/>
      <c r="G410" s="17"/>
      <c r="H410" s="17"/>
      <c r="I410" s="12"/>
      <c r="J410" s="12"/>
      <c r="K410" s="12"/>
      <c r="L410" s="12"/>
      <c r="M410" s="12"/>
      <c r="N410" s="12"/>
      <c r="O410" s="12"/>
      <c r="P410" s="12"/>
      <c r="Q410" s="12"/>
      <c r="R410" s="12"/>
      <c r="S410" s="12"/>
      <c r="T410" s="12"/>
      <c r="U410" s="12"/>
      <c r="V410" s="12"/>
      <c r="W410" s="12"/>
      <c r="X410" s="12"/>
      <c r="Y410" s="12"/>
      <c r="Z410" s="12"/>
      <c r="AA410" s="12"/>
    </row>
    <row r="411" ht="13.5" customHeight="1">
      <c r="A411" s="17"/>
      <c r="B411" s="12"/>
      <c r="C411" s="12"/>
      <c r="D411" s="17"/>
      <c r="E411" s="12"/>
      <c r="F411" s="12"/>
      <c r="G411" s="17"/>
      <c r="H411" s="17"/>
      <c r="I411" s="12"/>
      <c r="J411" s="12"/>
      <c r="K411" s="12"/>
      <c r="L411" s="12"/>
      <c r="M411" s="12"/>
      <c r="N411" s="12"/>
      <c r="O411" s="12"/>
      <c r="P411" s="12"/>
      <c r="Q411" s="12"/>
      <c r="R411" s="12"/>
      <c r="S411" s="12"/>
      <c r="T411" s="12"/>
      <c r="U411" s="12"/>
      <c r="V411" s="12"/>
      <c r="W411" s="12"/>
      <c r="X411" s="12"/>
      <c r="Y411" s="12"/>
      <c r="Z411" s="12"/>
      <c r="AA411" s="12"/>
    </row>
    <row r="412" ht="13.5" customHeight="1">
      <c r="A412" s="17"/>
      <c r="B412" s="12"/>
      <c r="C412" s="12"/>
      <c r="D412" s="17"/>
      <c r="E412" s="12"/>
      <c r="F412" s="12"/>
      <c r="G412" s="17"/>
      <c r="H412" s="17"/>
      <c r="I412" s="12"/>
      <c r="J412" s="12"/>
      <c r="K412" s="12"/>
      <c r="L412" s="12"/>
      <c r="M412" s="12"/>
      <c r="N412" s="12"/>
      <c r="O412" s="12"/>
      <c r="P412" s="12"/>
      <c r="Q412" s="12"/>
      <c r="R412" s="12"/>
      <c r="S412" s="12"/>
      <c r="T412" s="12"/>
      <c r="U412" s="12"/>
      <c r="V412" s="12"/>
      <c r="W412" s="12"/>
      <c r="X412" s="12"/>
      <c r="Y412" s="12"/>
      <c r="Z412" s="12"/>
      <c r="AA412" s="12"/>
    </row>
    <row r="413" ht="13.5" customHeight="1">
      <c r="A413" s="17"/>
      <c r="B413" s="12"/>
      <c r="C413" s="12"/>
      <c r="D413" s="17"/>
      <c r="E413" s="12"/>
      <c r="F413" s="12"/>
      <c r="G413" s="17"/>
      <c r="H413" s="17"/>
      <c r="I413" s="12"/>
      <c r="J413" s="12"/>
      <c r="K413" s="12"/>
      <c r="L413" s="12"/>
      <c r="M413" s="12"/>
      <c r="N413" s="12"/>
      <c r="O413" s="12"/>
      <c r="P413" s="12"/>
      <c r="Q413" s="12"/>
      <c r="R413" s="12"/>
      <c r="S413" s="12"/>
      <c r="T413" s="12"/>
      <c r="U413" s="12"/>
      <c r="V413" s="12"/>
      <c r="W413" s="12"/>
      <c r="X413" s="12"/>
      <c r="Y413" s="12"/>
      <c r="Z413" s="12"/>
      <c r="AA413" s="12"/>
    </row>
    <row r="414" ht="13.5" customHeight="1">
      <c r="A414" s="17"/>
      <c r="B414" s="12"/>
      <c r="C414" s="12"/>
      <c r="D414" s="17"/>
      <c r="E414" s="12"/>
      <c r="F414" s="12"/>
      <c r="G414" s="17"/>
      <c r="H414" s="17"/>
      <c r="I414" s="12"/>
      <c r="J414" s="12"/>
      <c r="K414" s="12"/>
      <c r="L414" s="12"/>
      <c r="M414" s="12"/>
      <c r="N414" s="12"/>
      <c r="O414" s="12"/>
      <c r="P414" s="12"/>
      <c r="Q414" s="12"/>
      <c r="R414" s="12"/>
      <c r="S414" s="12"/>
      <c r="T414" s="12"/>
      <c r="U414" s="12"/>
      <c r="V414" s="12"/>
      <c r="W414" s="12"/>
      <c r="X414" s="12"/>
      <c r="Y414" s="12"/>
      <c r="Z414" s="12"/>
      <c r="AA414" s="12"/>
    </row>
    <row r="415" ht="13.5" customHeight="1">
      <c r="A415" s="17"/>
      <c r="B415" s="12"/>
      <c r="C415" s="12"/>
      <c r="D415" s="17"/>
      <c r="E415" s="12"/>
      <c r="F415" s="12"/>
      <c r="G415" s="17"/>
      <c r="H415" s="17"/>
      <c r="I415" s="12"/>
      <c r="J415" s="12"/>
      <c r="K415" s="12"/>
      <c r="L415" s="12"/>
      <c r="M415" s="12"/>
      <c r="N415" s="12"/>
      <c r="O415" s="12"/>
      <c r="P415" s="12"/>
      <c r="Q415" s="12"/>
      <c r="R415" s="12"/>
      <c r="S415" s="12"/>
      <c r="T415" s="12"/>
      <c r="U415" s="12"/>
      <c r="V415" s="12"/>
      <c r="W415" s="12"/>
      <c r="X415" s="12"/>
      <c r="Y415" s="12"/>
      <c r="Z415" s="12"/>
      <c r="AA415" s="12"/>
    </row>
    <row r="416" ht="13.5" customHeight="1">
      <c r="A416" s="17"/>
      <c r="B416" s="12"/>
      <c r="C416" s="12"/>
      <c r="D416" s="17"/>
      <c r="E416" s="12"/>
      <c r="F416" s="12"/>
      <c r="G416" s="17"/>
      <c r="H416" s="17"/>
      <c r="I416" s="12"/>
      <c r="J416" s="12"/>
      <c r="K416" s="12"/>
      <c r="L416" s="12"/>
      <c r="M416" s="12"/>
      <c r="N416" s="12"/>
      <c r="O416" s="12"/>
      <c r="P416" s="12"/>
      <c r="Q416" s="12"/>
      <c r="R416" s="12"/>
      <c r="S416" s="12"/>
      <c r="T416" s="12"/>
      <c r="U416" s="12"/>
      <c r="V416" s="12"/>
      <c r="W416" s="12"/>
      <c r="X416" s="12"/>
      <c r="Y416" s="12"/>
      <c r="Z416" s="12"/>
      <c r="AA416" s="12"/>
    </row>
    <row r="417" ht="13.5" customHeight="1">
      <c r="A417" s="17"/>
      <c r="B417" s="12"/>
      <c r="C417" s="12"/>
      <c r="D417" s="17"/>
      <c r="E417" s="12"/>
      <c r="F417" s="12"/>
      <c r="G417" s="17"/>
      <c r="H417" s="17"/>
      <c r="I417" s="12"/>
      <c r="J417" s="12"/>
      <c r="K417" s="12"/>
      <c r="L417" s="12"/>
      <c r="M417" s="12"/>
      <c r="N417" s="12"/>
      <c r="O417" s="12"/>
      <c r="P417" s="12"/>
      <c r="Q417" s="12"/>
      <c r="R417" s="12"/>
      <c r="S417" s="12"/>
      <c r="T417" s="12"/>
      <c r="U417" s="12"/>
      <c r="V417" s="12"/>
      <c r="W417" s="12"/>
      <c r="X417" s="12"/>
      <c r="Y417" s="12"/>
      <c r="Z417" s="12"/>
      <c r="AA417" s="12"/>
    </row>
    <row r="418" ht="13.5" customHeight="1">
      <c r="A418" s="17"/>
      <c r="B418" s="12"/>
      <c r="C418" s="12"/>
      <c r="D418" s="17"/>
      <c r="E418" s="12"/>
      <c r="F418" s="12"/>
      <c r="G418" s="17"/>
      <c r="H418" s="17"/>
      <c r="I418" s="12"/>
      <c r="J418" s="12"/>
      <c r="K418" s="12"/>
      <c r="L418" s="12"/>
      <c r="M418" s="12"/>
      <c r="N418" s="12"/>
      <c r="O418" s="12"/>
      <c r="P418" s="12"/>
      <c r="Q418" s="12"/>
      <c r="R418" s="12"/>
      <c r="S418" s="12"/>
      <c r="T418" s="12"/>
      <c r="U418" s="12"/>
      <c r="V418" s="12"/>
      <c r="W418" s="12"/>
      <c r="X418" s="12"/>
      <c r="Y418" s="12"/>
      <c r="Z418" s="12"/>
      <c r="AA418" s="12"/>
    </row>
    <row r="419" ht="13.5" customHeight="1">
      <c r="A419" s="17"/>
      <c r="B419" s="12"/>
      <c r="C419" s="12"/>
      <c r="D419" s="17"/>
      <c r="E419" s="12"/>
      <c r="F419" s="12"/>
      <c r="G419" s="17"/>
      <c r="H419" s="17"/>
      <c r="I419" s="12"/>
      <c r="J419" s="12"/>
      <c r="K419" s="12"/>
      <c r="L419" s="12"/>
      <c r="M419" s="12"/>
      <c r="N419" s="12"/>
      <c r="O419" s="12"/>
      <c r="P419" s="12"/>
      <c r="Q419" s="12"/>
      <c r="R419" s="12"/>
      <c r="S419" s="12"/>
      <c r="T419" s="12"/>
      <c r="U419" s="12"/>
      <c r="V419" s="12"/>
      <c r="W419" s="12"/>
      <c r="X419" s="12"/>
      <c r="Y419" s="12"/>
      <c r="Z419" s="12"/>
      <c r="AA419" s="12"/>
    </row>
    <row r="420" ht="13.5" customHeight="1">
      <c r="A420" s="17"/>
      <c r="B420" s="12"/>
      <c r="C420" s="12"/>
      <c r="D420" s="17"/>
      <c r="E420" s="12"/>
      <c r="F420" s="12"/>
      <c r="G420" s="17"/>
      <c r="H420" s="17"/>
      <c r="I420" s="12"/>
      <c r="J420" s="12"/>
      <c r="K420" s="12"/>
      <c r="L420" s="12"/>
      <c r="M420" s="12"/>
      <c r="N420" s="12"/>
      <c r="O420" s="12"/>
      <c r="P420" s="12"/>
      <c r="Q420" s="12"/>
      <c r="R420" s="12"/>
      <c r="S420" s="12"/>
      <c r="T420" s="12"/>
      <c r="U420" s="12"/>
      <c r="V420" s="12"/>
      <c r="W420" s="12"/>
      <c r="X420" s="12"/>
      <c r="Y420" s="12"/>
      <c r="Z420" s="12"/>
      <c r="AA420" s="12"/>
    </row>
    <row r="421" ht="13.5" customHeight="1">
      <c r="A421" s="17"/>
      <c r="B421" s="12"/>
      <c r="C421" s="12"/>
      <c r="D421" s="17"/>
      <c r="E421" s="12"/>
      <c r="F421" s="12"/>
      <c r="G421" s="17"/>
      <c r="H421" s="17"/>
      <c r="I421" s="12"/>
      <c r="J421" s="12"/>
      <c r="K421" s="12"/>
      <c r="L421" s="12"/>
      <c r="M421" s="12"/>
      <c r="N421" s="12"/>
      <c r="O421" s="12"/>
      <c r="P421" s="12"/>
      <c r="Q421" s="12"/>
      <c r="R421" s="12"/>
      <c r="S421" s="12"/>
      <c r="T421" s="12"/>
      <c r="U421" s="12"/>
      <c r="V421" s="12"/>
      <c r="W421" s="12"/>
      <c r="X421" s="12"/>
      <c r="Y421" s="12"/>
      <c r="Z421" s="12"/>
      <c r="AA421" s="12"/>
    </row>
    <row r="422" ht="13.5" customHeight="1">
      <c r="A422" s="17"/>
      <c r="B422" s="12"/>
      <c r="C422" s="12"/>
      <c r="D422" s="17"/>
      <c r="E422" s="12"/>
      <c r="F422" s="12"/>
      <c r="G422" s="17"/>
      <c r="H422" s="17"/>
      <c r="I422" s="12"/>
      <c r="J422" s="12"/>
      <c r="K422" s="12"/>
      <c r="L422" s="12"/>
      <c r="M422" s="12"/>
      <c r="N422" s="12"/>
      <c r="O422" s="12"/>
      <c r="P422" s="12"/>
      <c r="Q422" s="12"/>
      <c r="R422" s="12"/>
      <c r="S422" s="12"/>
      <c r="T422" s="12"/>
      <c r="U422" s="12"/>
      <c r="V422" s="12"/>
      <c r="W422" s="12"/>
      <c r="X422" s="12"/>
      <c r="Y422" s="12"/>
      <c r="Z422" s="12"/>
      <c r="AA422" s="12"/>
    </row>
    <row r="423" ht="13.5" customHeight="1">
      <c r="A423" s="17"/>
      <c r="B423" s="12"/>
      <c r="C423" s="12"/>
      <c r="D423" s="17"/>
      <c r="E423" s="12"/>
      <c r="F423" s="12"/>
      <c r="G423" s="17"/>
      <c r="H423" s="17"/>
      <c r="I423" s="12"/>
      <c r="J423" s="12"/>
      <c r="K423" s="12"/>
      <c r="L423" s="12"/>
      <c r="M423" s="12"/>
      <c r="N423" s="12"/>
      <c r="O423" s="12"/>
      <c r="P423" s="12"/>
      <c r="Q423" s="12"/>
      <c r="R423" s="12"/>
      <c r="S423" s="12"/>
      <c r="T423" s="12"/>
      <c r="U423" s="12"/>
      <c r="V423" s="12"/>
      <c r="W423" s="12"/>
      <c r="X423" s="12"/>
      <c r="Y423" s="12"/>
      <c r="Z423" s="12"/>
      <c r="AA423" s="12"/>
    </row>
    <row r="424" ht="13.5" customHeight="1">
      <c r="A424" s="17"/>
      <c r="B424" s="12"/>
      <c r="C424" s="12"/>
      <c r="D424" s="17"/>
      <c r="E424" s="12"/>
      <c r="F424" s="12"/>
      <c r="G424" s="17"/>
      <c r="H424" s="17"/>
      <c r="I424" s="12"/>
      <c r="J424" s="12"/>
      <c r="K424" s="12"/>
      <c r="L424" s="12"/>
      <c r="M424" s="12"/>
      <c r="N424" s="12"/>
      <c r="O424" s="12"/>
      <c r="P424" s="12"/>
      <c r="Q424" s="12"/>
      <c r="R424" s="12"/>
      <c r="S424" s="12"/>
      <c r="T424" s="12"/>
      <c r="U424" s="12"/>
      <c r="V424" s="12"/>
      <c r="W424" s="12"/>
      <c r="X424" s="12"/>
      <c r="Y424" s="12"/>
      <c r="Z424" s="12"/>
      <c r="AA424" s="12"/>
    </row>
    <row r="425" ht="13.5" customHeight="1">
      <c r="A425" s="17"/>
      <c r="B425" s="12"/>
      <c r="C425" s="12"/>
      <c r="D425" s="17"/>
      <c r="E425" s="12"/>
      <c r="F425" s="12"/>
      <c r="G425" s="17"/>
      <c r="H425" s="17"/>
      <c r="I425" s="12"/>
      <c r="J425" s="12"/>
      <c r="K425" s="12"/>
      <c r="L425" s="12"/>
      <c r="M425" s="12"/>
      <c r="N425" s="12"/>
      <c r="O425" s="12"/>
      <c r="P425" s="12"/>
      <c r="Q425" s="12"/>
      <c r="R425" s="12"/>
      <c r="S425" s="12"/>
      <c r="T425" s="12"/>
      <c r="U425" s="12"/>
      <c r="V425" s="12"/>
      <c r="W425" s="12"/>
      <c r="X425" s="12"/>
      <c r="Y425" s="12"/>
      <c r="Z425" s="12"/>
      <c r="AA425" s="12"/>
    </row>
    <row r="426" ht="13.5" customHeight="1">
      <c r="A426" s="17"/>
      <c r="B426" s="12"/>
      <c r="C426" s="12"/>
      <c r="D426" s="17"/>
      <c r="E426" s="12"/>
      <c r="F426" s="12"/>
      <c r="G426" s="17"/>
      <c r="H426" s="17"/>
      <c r="I426" s="12"/>
      <c r="J426" s="12"/>
      <c r="K426" s="12"/>
      <c r="L426" s="12"/>
      <c r="M426" s="12"/>
      <c r="N426" s="12"/>
      <c r="O426" s="12"/>
      <c r="P426" s="12"/>
      <c r="Q426" s="12"/>
      <c r="R426" s="12"/>
      <c r="S426" s="12"/>
      <c r="T426" s="12"/>
      <c r="U426" s="12"/>
      <c r="V426" s="12"/>
      <c r="W426" s="12"/>
      <c r="X426" s="12"/>
      <c r="Y426" s="12"/>
      <c r="Z426" s="12"/>
      <c r="AA426" s="12"/>
    </row>
    <row r="427" ht="13.5" customHeight="1">
      <c r="A427" s="17"/>
      <c r="B427" s="12"/>
      <c r="C427" s="12"/>
      <c r="D427" s="17"/>
      <c r="E427" s="12"/>
      <c r="F427" s="12"/>
      <c r="G427" s="17"/>
      <c r="H427" s="17"/>
      <c r="I427" s="12"/>
      <c r="J427" s="12"/>
      <c r="K427" s="12"/>
      <c r="L427" s="12"/>
      <c r="M427" s="12"/>
      <c r="N427" s="12"/>
      <c r="O427" s="12"/>
      <c r="P427" s="12"/>
      <c r="Q427" s="12"/>
      <c r="R427" s="12"/>
      <c r="S427" s="12"/>
      <c r="T427" s="12"/>
      <c r="U427" s="12"/>
      <c r="V427" s="12"/>
      <c r="W427" s="12"/>
      <c r="X427" s="12"/>
      <c r="Y427" s="12"/>
      <c r="Z427" s="12"/>
      <c r="AA427" s="12"/>
    </row>
    <row r="428" ht="13.5" customHeight="1">
      <c r="A428" s="17"/>
      <c r="B428" s="12"/>
      <c r="C428" s="12"/>
      <c r="D428" s="17"/>
      <c r="E428" s="12"/>
      <c r="F428" s="12"/>
      <c r="G428" s="17"/>
      <c r="H428" s="17"/>
      <c r="I428" s="12"/>
      <c r="J428" s="12"/>
      <c r="K428" s="12"/>
      <c r="L428" s="12"/>
      <c r="M428" s="12"/>
      <c r="N428" s="12"/>
      <c r="O428" s="12"/>
      <c r="P428" s="12"/>
      <c r="Q428" s="12"/>
      <c r="R428" s="12"/>
      <c r="S428" s="12"/>
      <c r="T428" s="12"/>
      <c r="U428" s="12"/>
      <c r="V428" s="12"/>
      <c r="W428" s="12"/>
      <c r="X428" s="12"/>
      <c r="Y428" s="12"/>
      <c r="Z428" s="12"/>
      <c r="AA428" s="12"/>
    </row>
    <row r="429" ht="13.5" customHeight="1">
      <c r="A429" s="17"/>
      <c r="B429" s="12"/>
      <c r="C429" s="12"/>
      <c r="D429" s="17"/>
      <c r="E429" s="12"/>
      <c r="F429" s="12"/>
      <c r="G429" s="17"/>
      <c r="H429" s="17"/>
      <c r="I429" s="12"/>
      <c r="J429" s="12"/>
      <c r="K429" s="12"/>
      <c r="L429" s="12"/>
      <c r="M429" s="12"/>
      <c r="N429" s="12"/>
      <c r="O429" s="12"/>
      <c r="P429" s="12"/>
      <c r="Q429" s="12"/>
      <c r="R429" s="12"/>
      <c r="S429" s="12"/>
      <c r="T429" s="12"/>
      <c r="U429" s="12"/>
      <c r="V429" s="12"/>
      <c r="W429" s="12"/>
      <c r="X429" s="12"/>
      <c r="Y429" s="12"/>
      <c r="Z429" s="12"/>
      <c r="AA429" s="12"/>
    </row>
    <row r="430" ht="13.5" customHeight="1">
      <c r="A430" s="17"/>
      <c r="B430" s="12"/>
      <c r="C430" s="12"/>
      <c r="D430" s="17"/>
      <c r="E430" s="12"/>
      <c r="F430" s="12"/>
      <c r="G430" s="17"/>
      <c r="H430" s="17"/>
      <c r="I430" s="12"/>
      <c r="J430" s="12"/>
      <c r="K430" s="12"/>
      <c r="L430" s="12"/>
      <c r="M430" s="12"/>
      <c r="N430" s="12"/>
      <c r="O430" s="12"/>
      <c r="P430" s="12"/>
      <c r="Q430" s="12"/>
      <c r="R430" s="12"/>
      <c r="S430" s="12"/>
      <c r="T430" s="12"/>
      <c r="U430" s="12"/>
      <c r="V430" s="12"/>
      <c r="W430" s="12"/>
      <c r="X430" s="12"/>
      <c r="Y430" s="12"/>
      <c r="Z430" s="12"/>
      <c r="AA430" s="12"/>
    </row>
    <row r="431" ht="13.5" customHeight="1">
      <c r="A431" s="17"/>
      <c r="B431" s="12"/>
      <c r="C431" s="12"/>
      <c r="D431" s="17"/>
      <c r="E431" s="12"/>
      <c r="F431" s="12"/>
      <c r="G431" s="17"/>
      <c r="H431" s="17"/>
      <c r="I431" s="12"/>
      <c r="J431" s="12"/>
      <c r="K431" s="12"/>
      <c r="L431" s="12"/>
      <c r="M431" s="12"/>
      <c r="N431" s="12"/>
      <c r="O431" s="12"/>
      <c r="P431" s="12"/>
      <c r="Q431" s="12"/>
      <c r="R431" s="12"/>
      <c r="S431" s="12"/>
      <c r="T431" s="12"/>
      <c r="U431" s="12"/>
      <c r="V431" s="12"/>
      <c r="W431" s="12"/>
      <c r="X431" s="12"/>
      <c r="Y431" s="12"/>
      <c r="Z431" s="12"/>
      <c r="AA431" s="12"/>
    </row>
    <row r="432" ht="13.5" customHeight="1">
      <c r="A432" s="17"/>
      <c r="B432" s="12"/>
      <c r="C432" s="12"/>
      <c r="D432" s="17"/>
      <c r="E432" s="12"/>
      <c r="F432" s="12"/>
      <c r="G432" s="17"/>
      <c r="H432" s="17"/>
      <c r="I432" s="12"/>
      <c r="J432" s="12"/>
      <c r="K432" s="12"/>
      <c r="L432" s="12"/>
      <c r="M432" s="12"/>
      <c r="N432" s="12"/>
      <c r="O432" s="12"/>
      <c r="P432" s="12"/>
      <c r="Q432" s="12"/>
      <c r="R432" s="12"/>
      <c r="S432" s="12"/>
      <c r="T432" s="12"/>
      <c r="U432" s="12"/>
      <c r="V432" s="12"/>
      <c r="W432" s="12"/>
      <c r="X432" s="12"/>
      <c r="Y432" s="12"/>
      <c r="Z432" s="12"/>
      <c r="AA432" s="12"/>
    </row>
    <row r="433" ht="13.5" customHeight="1">
      <c r="A433" s="17"/>
      <c r="B433" s="12"/>
      <c r="C433" s="12"/>
      <c r="D433" s="17"/>
      <c r="E433" s="12"/>
      <c r="F433" s="12"/>
      <c r="G433" s="17"/>
      <c r="H433" s="17"/>
      <c r="I433" s="12"/>
      <c r="J433" s="12"/>
      <c r="K433" s="12"/>
      <c r="L433" s="12"/>
      <c r="M433" s="12"/>
      <c r="N433" s="12"/>
      <c r="O433" s="12"/>
      <c r="P433" s="12"/>
      <c r="Q433" s="12"/>
      <c r="R433" s="12"/>
      <c r="S433" s="12"/>
      <c r="T433" s="12"/>
      <c r="U433" s="12"/>
      <c r="V433" s="12"/>
      <c r="W433" s="12"/>
      <c r="X433" s="12"/>
      <c r="Y433" s="12"/>
      <c r="Z433" s="12"/>
      <c r="AA433" s="12"/>
    </row>
    <row r="434" ht="13.5" customHeight="1">
      <c r="A434" s="17"/>
      <c r="B434" s="12"/>
      <c r="C434" s="12"/>
      <c r="D434" s="17"/>
      <c r="E434" s="12"/>
      <c r="F434" s="12"/>
      <c r="G434" s="17"/>
      <c r="H434" s="17"/>
      <c r="I434" s="12"/>
      <c r="J434" s="12"/>
      <c r="K434" s="12"/>
      <c r="L434" s="12"/>
      <c r="M434" s="12"/>
      <c r="N434" s="12"/>
      <c r="O434" s="12"/>
      <c r="P434" s="12"/>
      <c r="Q434" s="12"/>
      <c r="R434" s="12"/>
      <c r="S434" s="12"/>
      <c r="T434" s="12"/>
      <c r="U434" s="12"/>
      <c r="V434" s="12"/>
      <c r="W434" s="12"/>
      <c r="X434" s="12"/>
      <c r="Y434" s="12"/>
      <c r="Z434" s="12"/>
      <c r="AA434" s="12"/>
    </row>
    <row r="435" ht="13.5" customHeight="1">
      <c r="A435" s="17"/>
      <c r="B435" s="12"/>
      <c r="C435" s="12"/>
      <c r="D435" s="17"/>
      <c r="E435" s="12"/>
      <c r="F435" s="12"/>
      <c r="G435" s="17"/>
      <c r="H435" s="17"/>
      <c r="I435" s="12"/>
      <c r="J435" s="12"/>
      <c r="K435" s="12"/>
      <c r="L435" s="12"/>
      <c r="M435" s="12"/>
      <c r="N435" s="12"/>
      <c r="O435" s="12"/>
      <c r="P435" s="12"/>
      <c r="Q435" s="12"/>
      <c r="R435" s="12"/>
      <c r="S435" s="12"/>
      <c r="T435" s="12"/>
      <c r="U435" s="12"/>
      <c r="V435" s="12"/>
      <c r="W435" s="12"/>
      <c r="X435" s="12"/>
      <c r="Y435" s="12"/>
      <c r="Z435" s="12"/>
      <c r="AA435" s="12"/>
    </row>
    <row r="436" ht="13.5" customHeight="1">
      <c r="A436" s="17"/>
      <c r="B436" s="12"/>
      <c r="C436" s="12"/>
      <c r="D436" s="17"/>
      <c r="E436" s="12"/>
      <c r="F436" s="12"/>
      <c r="G436" s="17"/>
      <c r="H436" s="17"/>
      <c r="I436" s="12"/>
      <c r="J436" s="12"/>
      <c r="K436" s="12"/>
      <c r="L436" s="12"/>
      <c r="M436" s="12"/>
      <c r="N436" s="12"/>
      <c r="O436" s="12"/>
      <c r="P436" s="12"/>
      <c r="Q436" s="12"/>
      <c r="R436" s="12"/>
      <c r="S436" s="12"/>
      <c r="T436" s="12"/>
      <c r="U436" s="12"/>
      <c r="V436" s="12"/>
      <c r="W436" s="12"/>
      <c r="X436" s="12"/>
      <c r="Y436" s="12"/>
      <c r="Z436" s="12"/>
      <c r="AA436" s="12"/>
    </row>
    <row r="437" ht="13.5" customHeight="1">
      <c r="A437" s="17"/>
      <c r="B437" s="12"/>
      <c r="C437" s="12"/>
      <c r="D437" s="17"/>
      <c r="E437" s="12"/>
      <c r="F437" s="12"/>
      <c r="G437" s="17"/>
      <c r="H437" s="17"/>
      <c r="I437" s="12"/>
      <c r="J437" s="12"/>
      <c r="K437" s="12"/>
      <c r="L437" s="12"/>
      <c r="M437" s="12"/>
      <c r="N437" s="12"/>
      <c r="O437" s="12"/>
      <c r="P437" s="12"/>
      <c r="Q437" s="12"/>
      <c r="R437" s="12"/>
      <c r="S437" s="12"/>
      <c r="T437" s="12"/>
      <c r="U437" s="12"/>
      <c r="V437" s="12"/>
      <c r="W437" s="12"/>
      <c r="X437" s="12"/>
      <c r="Y437" s="12"/>
      <c r="Z437" s="12"/>
      <c r="AA437" s="12"/>
    </row>
    <row r="438" ht="13.5" customHeight="1">
      <c r="A438" s="17"/>
      <c r="B438" s="12"/>
      <c r="C438" s="12"/>
      <c r="D438" s="17"/>
      <c r="E438" s="12"/>
      <c r="F438" s="12"/>
      <c r="G438" s="17"/>
      <c r="H438" s="17"/>
      <c r="I438" s="12"/>
      <c r="J438" s="12"/>
      <c r="K438" s="12"/>
      <c r="L438" s="12"/>
      <c r="M438" s="12"/>
      <c r="N438" s="12"/>
      <c r="O438" s="12"/>
      <c r="P438" s="12"/>
      <c r="Q438" s="12"/>
      <c r="R438" s="12"/>
      <c r="S438" s="12"/>
      <c r="T438" s="12"/>
      <c r="U438" s="12"/>
      <c r="V438" s="12"/>
      <c r="W438" s="12"/>
      <c r="X438" s="12"/>
      <c r="Y438" s="12"/>
      <c r="Z438" s="12"/>
      <c r="AA438" s="12"/>
    </row>
    <row r="439" ht="13.5" customHeight="1">
      <c r="A439" s="17"/>
      <c r="B439" s="12"/>
      <c r="C439" s="12"/>
      <c r="D439" s="17"/>
      <c r="E439" s="12"/>
      <c r="F439" s="12"/>
      <c r="G439" s="17"/>
      <c r="H439" s="17"/>
      <c r="I439" s="12"/>
      <c r="J439" s="12"/>
      <c r="K439" s="12"/>
      <c r="L439" s="12"/>
      <c r="M439" s="12"/>
      <c r="N439" s="12"/>
      <c r="O439" s="12"/>
      <c r="P439" s="12"/>
      <c r="Q439" s="12"/>
      <c r="R439" s="12"/>
      <c r="S439" s="12"/>
      <c r="T439" s="12"/>
      <c r="U439" s="12"/>
      <c r="V439" s="12"/>
      <c r="W439" s="12"/>
      <c r="X439" s="12"/>
      <c r="Y439" s="12"/>
      <c r="Z439" s="12"/>
      <c r="AA439" s="12"/>
    </row>
    <row r="440" ht="13.5" customHeight="1">
      <c r="A440" s="17"/>
      <c r="B440" s="12"/>
      <c r="C440" s="12"/>
      <c r="D440" s="17"/>
      <c r="E440" s="12"/>
      <c r="F440" s="12"/>
      <c r="G440" s="17"/>
      <c r="H440" s="17"/>
      <c r="I440" s="12"/>
      <c r="J440" s="12"/>
      <c r="K440" s="12"/>
      <c r="L440" s="12"/>
      <c r="M440" s="12"/>
      <c r="N440" s="12"/>
      <c r="O440" s="12"/>
      <c r="P440" s="12"/>
      <c r="Q440" s="12"/>
      <c r="R440" s="12"/>
      <c r="S440" s="12"/>
      <c r="T440" s="12"/>
      <c r="U440" s="12"/>
      <c r="V440" s="12"/>
      <c r="W440" s="12"/>
      <c r="X440" s="12"/>
      <c r="Y440" s="12"/>
      <c r="Z440" s="12"/>
      <c r="AA440" s="12"/>
    </row>
    <row r="441" ht="13.5" customHeight="1">
      <c r="A441" s="17"/>
      <c r="B441" s="12"/>
      <c r="C441" s="12"/>
      <c r="D441" s="17"/>
      <c r="E441" s="12"/>
      <c r="F441" s="12"/>
      <c r="G441" s="17"/>
      <c r="H441" s="17"/>
      <c r="I441" s="12"/>
      <c r="J441" s="12"/>
      <c r="K441" s="12"/>
      <c r="L441" s="12"/>
      <c r="M441" s="12"/>
      <c r="N441" s="12"/>
      <c r="O441" s="12"/>
      <c r="P441" s="12"/>
      <c r="Q441" s="12"/>
      <c r="R441" s="12"/>
      <c r="S441" s="12"/>
      <c r="T441" s="12"/>
      <c r="U441" s="12"/>
      <c r="V441" s="12"/>
      <c r="W441" s="12"/>
      <c r="X441" s="12"/>
      <c r="Y441" s="12"/>
      <c r="Z441" s="12"/>
      <c r="AA441" s="12"/>
    </row>
    <row r="442" ht="13.5" customHeight="1">
      <c r="A442" s="17"/>
      <c r="B442" s="12"/>
      <c r="C442" s="12"/>
      <c r="D442" s="17"/>
      <c r="E442" s="12"/>
      <c r="F442" s="12"/>
      <c r="G442" s="17"/>
      <c r="H442" s="17"/>
      <c r="I442" s="12"/>
      <c r="J442" s="12"/>
      <c r="K442" s="12"/>
      <c r="L442" s="12"/>
      <c r="M442" s="12"/>
      <c r="N442" s="12"/>
      <c r="O442" s="12"/>
      <c r="P442" s="12"/>
      <c r="Q442" s="12"/>
      <c r="R442" s="12"/>
      <c r="S442" s="12"/>
      <c r="T442" s="12"/>
      <c r="U442" s="12"/>
      <c r="V442" s="12"/>
      <c r="W442" s="12"/>
      <c r="X442" s="12"/>
      <c r="Y442" s="12"/>
      <c r="Z442" s="12"/>
      <c r="AA442" s="12"/>
    </row>
    <row r="443" ht="13.5" customHeight="1">
      <c r="A443" s="17"/>
      <c r="B443" s="12"/>
      <c r="C443" s="12"/>
      <c r="D443" s="17"/>
      <c r="E443" s="12"/>
      <c r="F443" s="12"/>
      <c r="G443" s="17"/>
      <c r="H443" s="17"/>
      <c r="I443" s="12"/>
      <c r="J443" s="12"/>
      <c r="K443" s="12"/>
      <c r="L443" s="12"/>
      <c r="M443" s="12"/>
      <c r="N443" s="12"/>
      <c r="O443" s="12"/>
      <c r="P443" s="12"/>
      <c r="Q443" s="12"/>
      <c r="R443" s="12"/>
      <c r="S443" s="12"/>
      <c r="T443" s="12"/>
      <c r="U443" s="12"/>
      <c r="V443" s="12"/>
      <c r="W443" s="12"/>
      <c r="X443" s="12"/>
      <c r="Y443" s="12"/>
      <c r="Z443" s="12"/>
      <c r="AA443" s="12"/>
    </row>
    <row r="444" ht="13.5" customHeight="1">
      <c r="A444" s="17"/>
      <c r="B444" s="12"/>
      <c r="C444" s="12"/>
      <c r="D444" s="17"/>
      <c r="E444" s="12"/>
      <c r="F444" s="12"/>
      <c r="G444" s="17"/>
      <c r="H444" s="17"/>
      <c r="I444" s="12"/>
      <c r="J444" s="12"/>
      <c r="K444" s="12"/>
      <c r="L444" s="12"/>
      <c r="M444" s="12"/>
      <c r="N444" s="12"/>
      <c r="O444" s="12"/>
      <c r="P444" s="12"/>
      <c r="Q444" s="12"/>
      <c r="R444" s="12"/>
      <c r="S444" s="12"/>
      <c r="T444" s="12"/>
      <c r="U444" s="12"/>
      <c r="V444" s="12"/>
      <c r="W444" s="12"/>
      <c r="X444" s="12"/>
      <c r="Y444" s="12"/>
      <c r="Z444" s="12"/>
      <c r="AA444" s="12"/>
    </row>
    <row r="445" ht="13.5" customHeight="1">
      <c r="A445" s="17"/>
      <c r="B445" s="12"/>
      <c r="C445" s="12"/>
      <c r="D445" s="17"/>
      <c r="E445" s="12"/>
      <c r="F445" s="12"/>
      <c r="G445" s="17"/>
      <c r="H445" s="17"/>
      <c r="I445" s="12"/>
      <c r="J445" s="12"/>
      <c r="K445" s="12"/>
      <c r="L445" s="12"/>
      <c r="M445" s="12"/>
      <c r="N445" s="12"/>
      <c r="O445" s="12"/>
      <c r="P445" s="12"/>
      <c r="Q445" s="12"/>
      <c r="R445" s="12"/>
      <c r="S445" s="12"/>
      <c r="T445" s="12"/>
      <c r="U445" s="12"/>
      <c r="V445" s="12"/>
      <c r="W445" s="12"/>
      <c r="X445" s="12"/>
      <c r="Y445" s="12"/>
      <c r="Z445" s="12"/>
      <c r="AA445" s="12"/>
    </row>
    <row r="446" ht="13.5" customHeight="1">
      <c r="A446" s="17"/>
      <c r="B446" s="12"/>
      <c r="C446" s="12"/>
      <c r="D446" s="17"/>
      <c r="E446" s="12"/>
      <c r="F446" s="12"/>
      <c r="G446" s="17"/>
      <c r="H446" s="17"/>
      <c r="I446" s="12"/>
      <c r="J446" s="12"/>
      <c r="K446" s="12"/>
      <c r="L446" s="12"/>
      <c r="M446" s="12"/>
      <c r="N446" s="12"/>
      <c r="O446" s="12"/>
      <c r="P446" s="12"/>
      <c r="Q446" s="12"/>
      <c r="R446" s="12"/>
      <c r="S446" s="12"/>
      <c r="T446" s="12"/>
      <c r="U446" s="12"/>
      <c r="V446" s="12"/>
      <c r="W446" s="12"/>
      <c r="X446" s="12"/>
      <c r="Y446" s="12"/>
      <c r="Z446" s="12"/>
      <c r="AA446" s="12"/>
    </row>
    <row r="447" ht="13.5" customHeight="1">
      <c r="A447" s="17"/>
      <c r="B447" s="12"/>
      <c r="C447" s="12"/>
      <c r="D447" s="17"/>
      <c r="E447" s="12"/>
      <c r="F447" s="12"/>
      <c r="G447" s="17"/>
      <c r="H447" s="17"/>
      <c r="I447" s="12"/>
      <c r="J447" s="12"/>
      <c r="K447" s="12"/>
      <c r="L447" s="12"/>
      <c r="M447" s="12"/>
      <c r="N447" s="12"/>
      <c r="O447" s="12"/>
      <c r="P447" s="12"/>
      <c r="Q447" s="12"/>
      <c r="R447" s="12"/>
      <c r="S447" s="12"/>
      <c r="T447" s="12"/>
      <c r="U447" s="12"/>
      <c r="V447" s="12"/>
      <c r="W447" s="12"/>
      <c r="X447" s="12"/>
      <c r="Y447" s="12"/>
      <c r="Z447" s="12"/>
      <c r="AA447" s="12"/>
    </row>
    <row r="448" ht="13.5" customHeight="1">
      <c r="A448" s="17"/>
      <c r="B448" s="12"/>
      <c r="C448" s="12"/>
      <c r="D448" s="17"/>
      <c r="E448" s="12"/>
      <c r="F448" s="12"/>
      <c r="G448" s="17"/>
      <c r="H448" s="17"/>
      <c r="I448" s="12"/>
      <c r="J448" s="12"/>
      <c r="K448" s="12"/>
      <c r="L448" s="12"/>
      <c r="M448" s="12"/>
      <c r="N448" s="12"/>
      <c r="O448" s="12"/>
      <c r="P448" s="12"/>
      <c r="Q448" s="12"/>
      <c r="R448" s="12"/>
      <c r="S448" s="12"/>
      <c r="T448" s="12"/>
      <c r="U448" s="12"/>
      <c r="V448" s="12"/>
      <c r="W448" s="12"/>
      <c r="X448" s="12"/>
      <c r="Y448" s="12"/>
      <c r="Z448" s="12"/>
      <c r="AA448" s="12"/>
    </row>
    <row r="449" ht="13.5" customHeight="1">
      <c r="A449" s="17"/>
      <c r="B449" s="12"/>
      <c r="C449" s="12"/>
      <c r="D449" s="17"/>
      <c r="E449" s="12"/>
      <c r="F449" s="12"/>
      <c r="G449" s="17"/>
      <c r="H449" s="17"/>
      <c r="I449" s="12"/>
      <c r="J449" s="12"/>
      <c r="K449" s="12"/>
      <c r="L449" s="12"/>
      <c r="M449" s="12"/>
      <c r="N449" s="12"/>
      <c r="O449" s="12"/>
      <c r="P449" s="12"/>
      <c r="Q449" s="12"/>
      <c r="R449" s="12"/>
      <c r="S449" s="12"/>
      <c r="T449" s="12"/>
      <c r="U449" s="12"/>
      <c r="V449" s="12"/>
      <c r="W449" s="12"/>
      <c r="X449" s="12"/>
      <c r="Y449" s="12"/>
      <c r="Z449" s="12"/>
      <c r="AA449" s="12"/>
    </row>
    <row r="450" ht="13.5" customHeight="1">
      <c r="A450" s="17"/>
      <c r="B450" s="12"/>
      <c r="C450" s="12"/>
      <c r="D450" s="17"/>
      <c r="E450" s="12"/>
      <c r="F450" s="12"/>
      <c r="G450" s="17"/>
      <c r="H450" s="17"/>
      <c r="I450" s="12"/>
      <c r="J450" s="12"/>
      <c r="K450" s="12"/>
      <c r="L450" s="12"/>
      <c r="M450" s="12"/>
      <c r="N450" s="12"/>
      <c r="O450" s="12"/>
      <c r="P450" s="12"/>
      <c r="Q450" s="12"/>
      <c r="R450" s="12"/>
      <c r="S450" s="12"/>
      <c r="T450" s="12"/>
      <c r="U450" s="12"/>
      <c r="V450" s="12"/>
      <c r="W450" s="12"/>
      <c r="X450" s="12"/>
      <c r="Y450" s="12"/>
      <c r="Z450" s="12"/>
      <c r="AA450" s="12"/>
    </row>
    <row r="451" ht="13.5" customHeight="1">
      <c r="A451" s="17"/>
      <c r="B451" s="12"/>
      <c r="C451" s="12"/>
      <c r="D451" s="17"/>
      <c r="E451" s="12"/>
      <c r="F451" s="12"/>
      <c r="G451" s="17"/>
      <c r="H451" s="17"/>
      <c r="I451" s="12"/>
      <c r="J451" s="12"/>
      <c r="K451" s="12"/>
      <c r="L451" s="12"/>
      <c r="M451" s="12"/>
      <c r="N451" s="12"/>
      <c r="O451" s="12"/>
      <c r="P451" s="12"/>
      <c r="Q451" s="12"/>
      <c r="R451" s="12"/>
      <c r="S451" s="12"/>
      <c r="T451" s="12"/>
      <c r="U451" s="12"/>
      <c r="V451" s="12"/>
      <c r="W451" s="12"/>
      <c r="X451" s="12"/>
      <c r="Y451" s="12"/>
      <c r="Z451" s="12"/>
      <c r="AA451" s="12"/>
    </row>
    <row r="452" ht="13.5" customHeight="1">
      <c r="A452" s="17"/>
      <c r="B452" s="12"/>
      <c r="C452" s="12"/>
      <c r="D452" s="17"/>
      <c r="E452" s="12"/>
      <c r="F452" s="12"/>
      <c r="G452" s="17"/>
      <c r="H452" s="17"/>
      <c r="I452" s="12"/>
      <c r="J452" s="12"/>
      <c r="K452" s="12"/>
      <c r="L452" s="12"/>
      <c r="M452" s="12"/>
      <c r="N452" s="12"/>
      <c r="O452" s="12"/>
      <c r="P452" s="12"/>
      <c r="Q452" s="12"/>
      <c r="R452" s="12"/>
      <c r="S452" s="12"/>
      <c r="T452" s="12"/>
      <c r="U452" s="12"/>
      <c r="V452" s="12"/>
      <c r="W452" s="12"/>
      <c r="X452" s="12"/>
      <c r="Y452" s="12"/>
      <c r="Z452" s="12"/>
      <c r="AA452" s="12"/>
    </row>
    <row r="453" ht="13.5" customHeight="1">
      <c r="A453" s="17"/>
      <c r="B453" s="12"/>
      <c r="C453" s="12"/>
      <c r="D453" s="17"/>
      <c r="E453" s="12"/>
      <c r="F453" s="12"/>
      <c r="G453" s="17"/>
      <c r="H453" s="17"/>
      <c r="I453" s="12"/>
      <c r="J453" s="12"/>
      <c r="K453" s="12"/>
      <c r="L453" s="12"/>
      <c r="M453" s="12"/>
      <c r="N453" s="12"/>
      <c r="O453" s="12"/>
      <c r="P453" s="12"/>
      <c r="Q453" s="12"/>
      <c r="R453" s="12"/>
      <c r="S453" s="12"/>
      <c r="T453" s="12"/>
      <c r="U453" s="12"/>
      <c r="V453" s="12"/>
      <c r="W453" s="12"/>
      <c r="X453" s="12"/>
      <c r="Y453" s="12"/>
      <c r="Z453" s="12"/>
      <c r="AA453" s="12"/>
    </row>
    <row r="454" ht="13.5" customHeight="1">
      <c r="A454" s="17"/>
      <c r="B454" s="12"/>
      <c r="C454" s="12"/>
      <c r="D454" s="17"/>
      <c r="E454" s="12"/>
      <c r="F454" s="12"/>
      <c r="G454" s="17"/>
      <c r="H454" s="17"/>
      <c r="I454" s="12"/>
      <c r="J454" s="12"/>
      <c r="K454" s="12"/>
      <c r="L454" s="12"/>
      <c r="M454" s="12"/>
      <c r="N454" s="12"/>
      <c r="O454" s="12"/>
      <c r="P454" s="12"/>
      <c r="Q454" s="12"/>
      <c r="R454" s="12"/>
      <c r="S454" s="12"/>
      <c r="T454" s="12"/>
      <c r="U454" s="12"/>
      <c r="V454" s="12"/>
      <c r="W454" s="12"/>
      <c r="X454" s="12"/>
      <c r="Y454" s="12"/>
      <c r="Z454" s="12"/>
      <c r="AA454" s="12"/>
    </row>
    <row r="455" ht="13.5" customHeight="1">
      <c r="A455" s="17"/>
      <c r="B455" s="12"/>
      <c r="C455" s="12"/>
      <c r="D455" s="17"/>
      <c r="E455" s="12"/>
      <c r="F455" s="12"/>
      <c r="G455" s="17"/>
      <c r="H455" s="17"/>
      <c r="I455" s="12"/>
      <c r="J455" s="12"/>
      <c r="K455" s="12"/>
      <c r="L455" s="12"/>
      <c r="M455" s="12"/>
      <c r="N455" s="12"/>
      <c r="O455" s="12"/>
      <c r="P455" s="12"/>
      <c r="Q455" s="12"/>
      <c r="R455" s="12"/>
      <c r="S455" s="12"/>
      <c r="T455" s="12"/>
      <c r="U455" s="12"/>
      <c r="V455" s="12"/>
      <c r="W455" s="12"/>
      <c r="X455" s="12"/>
      <c r="Y455" s="12"/>
      <c r="Z455" s="12"/>
      <c r="AA455" s="12"/>
    </row>
    <row r="456" ht="13.5" customHeight="1">
      <c r="A456" s="17"/>
      <c r="B456" s="12"/>
      <c r="C456" s="12"/>
      <c r="D456" s="17"/>
      <c r="E456" s="12"/>
      <c r="F456" s="12"/>
      <c r="G456" s="17"/>
      <c r="H456" s="17"/>
      <c r="I456" s="12"/>
      <c r="J456" s="12"/>
      <c r="K456" s="12"/>
      <c r="L456" s="12"/>
      <c r="M456" s="12"/>
      <c r="N456" s="12"/>
      <c r="O456" s="12"/>
      <c r="P456" s="12"/>
      <c r="Q456" s="12"/>
      <c r="R456" s="12"/>
      <c r="S456" s="12"/>
      <c r="T456" s="12"/>
      <c r="U456" s="12"/>
      <c r="V456" s="12"/>
      <c r="W456" s="12"/>
      <c r="X456" s="12"/>
      <c r="Y456" s="12"/>
      <c r="Z456" s="12"/>
      <c r="AA456" s="12"/>
    </row>
    <row r="457" ht="13.5" customHeight="1">
      <c r="A457" s="17"/>
      <c r="B457" s="12"/>
      <c r="C457" s="12"/>
      <c r="D457" s="17"/>
      <c r="E457" s="12"/>
      <c r="F457" s="12"/>
      <c r="G457" s="17"/>
      <c r="H457" s="17"/>
      <c r="I457" s="12"/>
      <c r="J457" s="12"/>
      <c r="K457" s="12"/>
      <c r="L457" s="12"/>
      <c r="M457" s="12"/>
      <c r="N457" s="12"/>
      <c r="O457" s="12"/>
      <c r="P457" s="12"/>
      <c r="Q457" s="12"/>
      <c r="R457" s="12"/>
      <c r="S457" s="12"/>
      <c r="T457" s="12"/>
      <c r="U457" s="12"/>
      <c r="V457" s="12"/>
      <c r="W457" s="12"/>
      <c r="X457" s="12"/>
      <c r="Y457" s="12"/>
      <c r="Z457" s="12"/>
      <c r="AA457" s="12"/>
    </row>
    <row r="458" ht="13.5" customHeight="1">
      <c r="A458" s="17"/>
      <c r="B458" s="12"/>
      <c r="C458" s="12"/>
      <c r="D458" s="17"/>
      <c r="E458" s="12"/>
      <c r="F458" s="12"/>
      <c r="G458" s="17"/>
      <c r="H458" s="17"/>
      <c r="I458" s="12"/>
      <c r="J458" s="12"/>
      <c r="K458" s="12"/>
      <c r="L458" s="12"/>
      <c r="M458" s="12"/>
      <c r="N458" s="12"/>
      <c r="O458" s="12"/>
      <c r="P458" s="12"/>
      <c r="Q458" s="12"/>
      <c r="R458" s="12"/>
      <c r="S458" s="12"/>
      <c r="T458" s="12"/>
      <c r="U458" s="12"/>
      <c r="V458" s="12"/>
      <c r="W458" s="12"/>
      <c r="X458" s="12"/>
      <c r="Y458" s="12"/>
      <c r="Z458" s="12"/>
      <c r="AA458" s="12"/>
    </row>
    <row r="459" ht="13.5" customHeight="1">
      <c r="A459" s="17"/>
      <c r="B459" s="12"/>
      <c r="C459" s="12"/>
      <c r="D459" s="17"/>
      <c r="E459" s="12"/>
      <c r="F459" s="12"/>
      <c r="G459" s="17"/>
      <c r="H459" s="17"/>
      <c r="I459" s="12"/>
      <c r="J459" s="12"/>
      <c r="K459" s="12"/>
      <c r="L459" s="12"/>
      <c r="M459" s="12"/>
      <c r="N459" s="12"/>
      <c r="O459" s="12"/>
      <c r="P459" s="12"/>
      <c r="Q459" s="12"/>
      <c r="R459" s="12"/>
      <c r="S459" s="12"/>
      <c r="T459" s="12"/>
      <c r="U459" s="12"/>
      <c r="V459" s="12"/>
      <c r="W459" s="12"/>
      <c r="X459" s="12"/>
      <c r="Y459" s="12"/>
      <c r="Z459" s="12"/>
      <c r="AA459" s="12"/>
    </row>
    <row r="460" ht="13.5" customHeight="1">
      <c r="A460" s="17"/>
      <c r="B460" s="12"/>
      <c r="C460" s="12"/>
      <c r="D460" s="17"/>
      <c r="E460" s="12"/>
      <c r="F460" s="12"/>
      <c r="G460" s="17"/>
      <c r="H460" s="17"/>
      <c r="I460" s="12"/>
      <c r="J460" s="12"/>
      <c r="K460" s="12"/>
      <c r="L460" s="12"/>
      <c r="M460" s="12"/>
      <c r="N460" s="12"/>
      <c r="O460" s="12"/>
      <c r="P460" s="12"/>
      <c r="Q460" s="12"/>
      <c r="R460" s="12"/>
      <c r="S460" s="12"/>
      <c r="T460" s="12"/>
      <c r="U460" s="12"/>
      <c r="V460" s="12"/>
      <c r="W460" s="12"/>
      <c r="X460" s="12"/>
      <c r="Y460" s="12"/>
      <c r="Z460" s="12"/>
      <c r="AA460" s="12"/>
    </row>
    <row r="461" ht="13.5" customHeight="1">
      <c r="A461" s="17"/>
      <c r="B461" s="12"/>
      <c r="C461" s="12"/>
      <c r="D461" s="17"/>
      <c r="E461" s="12"/>
      <c r="F461" s="12"/>
      <c r="G461" s="17"/>
      <c r="H461" s="17"/>
      <c r="I461" s="12"/>
      <c r="J461" s="12"/>
      <c r="K461" s="12"/>
      <c r="L461" s="12"/>
      <c r="M461" s="12"/>
      <c r="N461" s="12"/>
      <c r="O461" s="12"/>
      <c r="P461" s="12"/>
      <c r="Q461" s="12"/>
      <c r="R461" s="12"/>
      <c r="S461" s="12"/>
      <c r="T461" s="12"/>
      <c r="U461" s="12"/>
      <c r="V461" s="12"/>
      <c r="W461" s="12"/>
      <c r="X461" s="12"/>
      <c r="Y461" s="12"/>
      <c r="Z461" s="12"/>
      <c r="AA461" s="12"/>
    </row>
    <row r="462" ht="13.5" customHeight="1">
      <c r="A462" s="17"/>
      <c r="B462" s="12"/>
      <c r="C462" s="12"/>
      <c r="D462" s="17"/>
      <c r="E462" s="12"/>
      <c r="F462" s="12"/>
      <c r="G462" s="17"/>
      <c r="H462" s="17"/>
      <c r="I462" s="12"/>
      <c r="J462" s="12"/>
      <c r="K462" s="12"/>
      <c r="L462" s="12"/>
      <c r="M462" s="12"/>
      <c r="N462" s="12"/>
      <c r="O462" s="12"/>
      <c r="P462" s="12"/>
      <c r="Q462" s="12"/>
      <c r="R462" s="12"/>
      <c r="S462" s="12"/>
      <c r="T462" s="12"/>
      <c r="U462" s="12"/>
      <c r="V462" s="12"/>
      <c r="W462" s="12"/>
      <c r="X462" s="12"/>
      <c r="Y462" s="12"/>
      <c r="Z462" s="12"/>
      <c r="AA462" s="12"/>
    </row>
    <row r="463" ht="13.5" customHeight="1">
      <c r="A463" s="17"/>
      <c r="B463" s="12"/>
      <c r="C463" s="12"/>
      <c r="D463" s="17"/>
      <c r="E463" s="12"/>
      <c r="F463" s="12"/>
      <c r="G463" s="17"/>
      <c r="H463" s="17"/>
      <c r="I463" s="12"/>
      <c r="J463" s="12"/>
      <c r="K463" s="12"/>
      <c r="L463" s="12"/>
      <c r="M463" s="12"/>
      <c r="N463" s="12"/>
      <c r="O463" s="12"/>
      <c r="P463" s="12"/>
      <c r="Q463" s="12"/>
      <c r="R463" s="12"/>
      <c r="S463" s="12"/>
      <c r="T463" s="12"/>
      <c r="U463" s="12"/>
      <c r="V463" s="12"/>
      <c r="W463" s="12"/>
      <c r="X463" s="12"/>
      <c r="Y463" s="12"/>
      <c r="Z463" s="12"/>
      <c r="AA463" s="12"/>
    </row>
    <row r="464" ht="13.5" customHeight="1">
      <c r="A464" s="17"/>
      <c r="B464" s="12"/>
      <c r="C464" s="12"/>
      <c r="D464" s="17"/>
      <c r="E464" s="12"/>
      <c r="F464" s="12"/>
      <c r="G464" s="17"/>
      <c r="H464" s="17"/>
      <c r="I464" s="12"/>
      <c r="J464" s="12"/>
      <c r="K464" s="12"/>
      <c r="L464" s="12"/>
      <c r="M464" s="12"/>
      <c r="N464" s="12"/>
      <c r="O464" s="12"/>
      <c r="P464" s="12"/>
      <c r="Q464" s="12"/>
      <c r="R464" s="12"/>
      <c r="S464" s="12"/>
      <c r="T464" s="12"/>
      <c r="U464" s="12"/>
      <c r="V464" s="12"/>
      <c r="W464" s="12"/>
      <c r="X464" s="12"/>
      <c r="Y464" s="12"/>
      <c r="Z464" s="12"/>
      <c r="AA464" s="12"/>
    </row>
    <row r="465" ht="13.5" customHeight="1">
      <c r="A465" s="17"/>
      <c r="B465" s="12"/>
      <c r="C465" s="12"/>
      <c r="D465" s="17"/>
      <c r="E465" s="12"/>
      <c r="F465" s="12"/>
      <c r="G465" s="17"/>
      <c r="H465" s="17"/>
      <c r="I465" s="12"/>
      <c r="J465" s="12"/>
      <c r="K465" s="12"/>
      <c r="L465" s="12"/>
      <c r="M465" s="12"/>
      <c r="N465" s="12"/>
      <c r="O465" s="12"/>
      <c r="P465" s="12"/>
      <c r="Q465" s="12"/>
      <c r="R465" s="12"/>
      <c r="S465" s="12"/>
      <c r="T465" s="12"/>
      <c r="U465" s="12"/>
      <c r="V465" s="12"/>
      <c r="W465" s="12"/>
      <c r="X465" s="12"/>
      <c r="Y465" s="12"/>
      <c r="Z465" s="12"/>
      <c r="AA465" s="12"/>
    </row>
    <row r="466" ht="13.5" customHeight="1">
      <c r="A466" s="17"/>
      <c r="B466" s="12"/>
      <c r="C466" s="12"/>
      <c r="D466" s="17"/>
      <c r="E466" s="12"/>
      <c r="F466" s="12"/>
      <c r="G466" s="17"/>
      <c r="H466" s="17"/>
      <c r="I466" s="12"/>
      <c r="J466" s="12"/>
      <c r="K466" s="12"/>
      <c r="L466" s="12"/>
      <c r="M466" s="12"/>
      <c r="N466" s="12"/>
      <c r="O466" s="12"/>
      <c r="P466" s="12"/>
      <c r="Q466" s="12"/>
      <c r="R466" s="12"/>
      <c r="S466" s="12"/>
      <c r="T466" s="12"/>
      <c r="U466" s="12"/>
      <c r="V466" s="12"/>
      <c r="W466" s="12"/>
      <c r="X466" s="12"/>
      <c r="Y466" s="12"/>
      <c r="Z466" s="12"/>
      <c r="AA466" s="12"/>
    </row>
    <row r="467" ht="13.5" customHeight="1">
      <c r="A467" s="17"/>
      <c r="B467" s="12"/>
      <c r="C467" s="12"/>
      <c r="D467" s="17"/>
      <c r="E467" s="12"/>
      <c r="F467" s="12"/>
      <c r="G467" s="17"/>
      <c r="H467" s="17"/>
      <c r="I467" s="12"/>
      <c r="J467" s="12"/>
      <c r="K467" s="12"/>
      <c r="L467" s="12"/>
      <c r="M467" s="12"/>
      <c r="N467" s="12"/>
      <c r="O467" s="12"/>
      <c r="P467" s="12"/>
      <c r="Q467" s="12"/>
      <c r="R467" s="12"/>
      <c r="S467" s="12"/>
      <c r="T467" s="12"/>
      <c r="U467" s="12"/>
      <c r="V467" s="12"/>
      <c r="W467" s="12"/>
      <c r="X467" s="12"/>
      <c r="Y467" s="12"/>
      <c r="Z467" s="12"/>
      <c r="AA467" s="12"/>
    </row>
    <row r="468" ht="13.5" customHeight="1">
      <c r="A468" s="17"/>
      <c r="B468" s="12"/>
      <c r="C468" s="12"/>
      <c r="D468" s="17"/>
      <c r="E468" s="12"/>
      <c r="F468" s="12"/>
      <c r="G468" s="17"/>
      <c r="H468" s="17"/>
      <c r="I468" s="12"/>
      <c r="J468" s="12"/>
      <c r="K468" s="12"/>
      <c r="L468" s="12"/>
      <c r="M468" s="12"/>
      <c r="N468" s="12"/>
      <c r="O468" s="12"/>
      <c r="P468" s="12"/>
      <c r="Q468" s="12"/>
      <c r="R468" s="12"/>
      <c r="S468" s="12"/>
      <c r="T468" s="12"/>
      <c r="U468" s="12"/>
      <c r="V468" s="12"/>
      <c r="W468" s="12"/>
      <c r="X468" s="12"/>
      <c r="Y468" s="12"/>
      <c r="Z468" s="12"/>
      <c r="AA468" s="12"/>
    </row>
    <row r="469" ht="13.5" customHeight="1">
      <c r="A469" s="17"/>
      <c r="B469" s="12"/>
      <c r="C469" s="12"/>
      <c r="D469" s="17"/>
      <c r="E469" s="12"/>
      <c r="F469" s="12"/>
      <c r="G469" s="17"/>
      <c r="H469" s="17"/>
      <c r="I469" s="12"/>
      <c r="J469" s="12"/>
      <c r="K469" s="12"/>
      <c r="L469" s="12"/>
      <c r="M469" s="12"/>
      <c r="N469" s="12"/>
      <c r="O469" s="12"/>
      <c r="P469" s="12"/>
      <c r="Q469" s="12"/>
      <c r="R469" s="12"/>
      <c r="S469" s="12"/>
      <c r="T469" s="12"/>
      <c r="U469" s="12"/>
      <c r="V469" s="12"/>
      <c r="W469" s="12"/>
      <c r="X469" s="12"/>
      <c r="Y469" s="12"/>
      <c r="Z469" s="12"/>
      <c r="AA469" s="12"/>
    </row>
    <row r="470" ht="13.5" customHeight="1">
      <c r="A470" s="17"/>
      <c r="B470" s="12"/>
      <c r="C470" s="12"/>
      <c r="D470" s="17"/>
      <c r="E470" s="12"/>
      <c r="F470" s="12"/>
      <c r="G470" s="17"/>
      <c r="H470" s="17"/>
      <c r="I470" s="12"/>
      <c r="J470" s="12"/>
      <c r="K470" s="12"/>
      <c r="L470" s="12"/>
      <c r="M470" s="12"/>
      <c r="N470" s="12"/>
      <c r="O470" s="12"/>
      <c r="P470" s="12"/>
      <c r="Q470" s="12"/>
      <c r="R470" s="12"/>
      <c r="S470" s="12"/>
      <c r="T470" s="12"/>
      <c r="U470" s="12"/>
      <c r="V470" s="12"/>
      <c r="W470" s="12"/>
      <c r="X470" s="12"/>
      <c r="Y470" s="12"/>
      <c r="Z470" s="12"/>
      <c r="AA470" s="12"/>
    </row>
    <row r="471" ht="13.5" customHeight="1">
      <c r="A471" s="17"/>
      <c r="B471" s="12"/>
      <c r="C471" s="12"/>
      <c r="D471" s="17"/>
      <c r="E471" s="12"/>
      <c r="F471" s="12"/>
      <c r="G471" s="17"/>
      <c r="H471" s="17"/>
      <c r="I471" s="12"/>
      <c r="J471" s="12"/>
      <c r="K471" s="12"/>
      <c r="L471" s="12"/>
      <c r="M471" s="12"/>
      <c r="N471" s="12"/>
      <c r="O471" s="12"/>
      <c r="P471" s="12"/>
      <c r="Q471" s="12"/>
      <c r="R471" s="12"/>
      <c r="S471" s="12"/>
      <c r="T471" s="12"/>
      <c r="U471" s="12"/>
      <c r="V471" s="12"/>
      <c r="W471" s="12"/>
      <c r="X471" s="12"/>
      <c r="Y471" s="12"/>
      <c r="Z471" s="12"/>
      <c r="AA471" s="12"/>
    </row>
    <row r="472" ht="13.5" customHeight="1">
      <c r="A472" s="17"/>
      <c r="B472" s="12"/>
      <c r="C472" s="12"/>
      <c r="D472" s="17"/>
      <c r="E472" s="12"/>
      <c r="F472" s="12"/>
      <c r="G472" s="17"/>
      <c r="H472" s="17"/>
      <c r="I472" s="12"/>
      <c r="J472" s="12"/>
      <c r="K472" s="12"/>
      <c r="L472" s="12"/>
      <c r="M472" s="12"/>
      <c r="N472" s="12"/>
      <c r="O472" s="12"/>
      <c r="P472" s="12"/>
      <c r="Q472" s="12"/>
      <c r="R472" s="12"/>
      <c r="S472" s="12"/>
      <c r="T472" s="12"/>
      <c r="U472" s="12"/>
      <c r="V472" s="12"/>
      <c r="W472" s="12"/>
      <c r="X472" s="12"/>
      <c r="Y472" s="12"/>
      <c r="Z472" s="12"/>
      <c r="AA472" s="12"/>
    </row>
    <row r="473" ht="13.5" customHeight="1">
      <c r="A473" s="17"/>
      <c r="B473" s="12"/>
      <c r="C473" s="12"/>
      <c r="D473" s="17"/>
      <c r="E473" s="12"/>
      <c r="F473" s="12"/>
      <c r="G473" s="17"/>
      <c r="H473" s="17"/>
      <c r="I473" s="12"/>
      <c r="J473" s="12"/>
      <c r="K473" s="12"/>
      <c r="L473" s="12"/>
      <c r="M473" s="12"/>
      <c r="N473" s="12"/>
      <c r="O473" s="12"/>
      <c r="P473" s="12"/>
      <c r="Q473" s="12"/>
      <c r="R473" s="12"/>
      <c r="S473" s="12"/>
      <c r="T473" s="12"/>
      <c r="U473" s="12"/>
      <c r="V473" s="12"/>
      <c r="W473" s="12"/>
      <c r="X473" s="12"/>
      <c r="Y473" s="12"/>
      <c r="Z473" s="12"/>
      <c r="AA473" s="12"/>
    </row>
    <row r="474" ht="13.5" customHeight="1">
      <c r="A474" s="17"/>
      <c r="B474" s="12"/>
      <c r="C474" s="12"/>
      <c r="D474" s="17"/>
      <c r="E474" s="12"/>
      <c r="F474" s="12"/>
      <c r="G474" s="17"/>
      <c r="H474" s="17"/>
      <c r="I474" s="12"/>
      <c r="J474" s="12"/>
      <c r="K474" s="12"/>
      <c r="L474" s="12"/>
      <c r="M474" s="12"/>
      <c r="N474" s="12"/>
      <c r="O474" s="12"/>
      <c r="P474" s="12"/>
      <c r="Q474" s="12"/>
      <c r="R474" s="12"/>
      <c r="S474" s="12"/>
      <c r="T474" s="12"/>
      <c r="U474" s="12"/>
      <c r="V474" s="12"/>
      <c r="W474" s="12"/>
      <c r="X474" s="12"/>
      <c r="Y474" s="12"/>
      <c r="Z474" s="12"/>
      <c r="AA474" s="12"/>
    </row>
    <row r="475" ht="13.5" customHeight="1">
      <c r="A475" s="17"/>
      <c r="B475" s="12"/>
      <c r="C475" s="12"/>
      <c r="D475" s="17"/>
      <c r="E475" s="12"/>
      <c r="F475" s="12"/>
      <c r="G475" s="17"/>
      <c r="H475" s="17"/>
      <c r="I475" s="12"/>
      <c r="J475" s="12"/>
      <c r="K475" s="12"/>
      <c r="L475" s="12"/>
      <c r="M475" s="12"/>
      <c r="N475" s="12"/>
      <c r="O475" s="12"/>
      <c r="P475" s="12"/>
      <c r="Q475" s="12"/>
      <c r="R475" s="12"/>
      <c r="S475" s="12"/>
      <c r="T475" s="12"/>
      <c r="U475" s="12"/>
      <c r="V475" s="12"/>
      <c r="W475" s="12"/>
      <c r="X475" s="12"/>
      <c r="Y475" s="12"/>
      <c r="Z475" s="12"/>
      <c r="AA475" s="12"/>
    </row>
    <row r="476" ht="13.5" customHeight="1">
      <c r="A476" s="17"/>
      <c r="B476" s="12"/>
      <c r="C476" s="12"/>
      <c r="D476" s="17"/>
      <c r="E476" s="12"/>
      <c r="F476" s="12"/>
      <c r="G476" s="17"/>
      <c r="H476" s="17"/>
      <c r="I476" s="12"/>
      <c r="J476" s="12"/>
      <c r="K476" s="12"/>
      <c r="L476" s="12"/>
      <c r="M476" s="12"/>
      <c r="N476" s="12"/>
      <c r="O476" s="12"/>
      <c r="P476" s="12"/>
      <c r="Q476" s="12"/>
      <c r="R476" s="12"/>
      <c r="S476" s="12"/>
      <c r="T476" s="12"/>
      <c r="U476" s="12"/>
      <c r="V476" s="12"/>
      <c r="W476" s="12"/>
      <c r="X476" s="12"/>
      <c r="Y476" s="12"/>
      <c r="Z476" s="12"/>
      <c r="AA476" s="12"/>
    </row>
    <row r="477" ht="13.5" customHeight="1">
      <c r="A477" s="17"/>
      <c r="B477" s="12"/>
      <c r="C477" s="12"/>
      <c r="D477" s="17"/>
      <c r="E477" s="12"/>
      <c r="F477" s="12"/>
      <c r="G477" s="17"/>
      <c r="H477" s="17"/>
      <c r="I477" s="12"/>
      <c r="J477" s="12"/>
      <c r="K477" s="12"/>
      <c r="L477" s="12"/>
      <c r="M477" s="12"/>
      <c r="N477" s="12"/>
      <c r="O477" s="12"/>
      <c r="P477" s="12"/>
      <c r="Q477" s="12"/>
      <c r="R477" s="12"/>
      <c r="S477" s="12"/>
      <c r="T477" s="12"/>
      <c r="U477" s="12"/>
      <c r="V477" s="12"/>
      <c r="W477" s="12"/>
      <c r="X477" s="12"/>
      <c r="Y477" s="12"/>
      <c r="Z477" s="12"/>
      <c r="AA477" s="12"/>
    </row>
    <row r="478" ht="13.5" customHeight="1">
      <c r="A478" s="17"/>
      <c r="B478" s="12"/>
      <c r="C478" s="12"/>
      <c r="D478" s="17"/>
      <c r="E478" s="12"/>
      <c r="F478" s="12"/>
      <c r="G478" s="17"/>
      <c r="H478" s="17"/>
      <c r="I478" s="12"/>
      <c r="J478" s="12"/>
      <c r="K478" s="12"/>
      <c r="L478" s="12"/>
      <c r="M478" s="12"/>
      <c r="N478" s="12"/>
      <c r="O478" s="12"/>
      <c r="P478" s="12"/>
      <c r="Q478" s="12"/>
      <c r="R478" s="12"/>
      <c r="S478" s="12"/>
      <c r="T478" s="12"/>
      <c r="U478" s="12"/>
      <c r="V478" s="12"/>
      <c r="W478" s="12"/>
      <c r="X478" s="12"/>
      <c r="Y478" s="12"/>
      <c r="Z478" s="12"/>
      <c r="AA478" s="12"/>
    </row>
    <row r="479" ht="13.5" customHeight="1">
      <c r="A479" s="17"/>
      <c r="B479" s="12"/>
      <c r="C479" s="12"/>
      <c r="D479" s="17"/>
      <c r="E479" s="12"/>
      <c r="F479" s="12"/>
      <c r="G479" s="17"/>
      <c r="H479" s="17"/>
      <c r="I479" s="12"/>
      <c r="J479" s="12"/>
      <c r="K479" s="12"/>
      <c r="L479" s="12"/>
      <c r="M479" s="12"/>
      <c r="N479" s="12"/>
      <c r="O479" s="12"/>
      <c r="P479" s="12"/>
      <c r="Q479" s="12"/>
      <c r="R479" s="12"/>
      <c r="S479" s="12"/>
      <c r="T479" s="12"/>
      <c r="U479" s="12"/>
      <c r="V479" s="12"/>
      <c r="W479" s="12"/>
      <c r="X479" s="12"/>
      <c r="Y479" s="12"/>
      <c r="Z479" s="12"/>
      <c r="AA479" s="12"/>
    </row>
    <row r="480" ht="13.5" customHeight="1">
      <c r="A480" s="17"/>
      <c r="B480" s="12"/>
      <c r="C480" s="12"/>
      <c r="D480" s="17"/>
      <c r="E480" s="12"/>
      <c r="F480" s="12"/>
      <c r="G480" s="17"/>
      <c r="H480" s="17"/>
      <c r="I480" s="12"/>
      <c r="J480" s="12"/>
      <c r="K480" s="12"/>
      <c r="L480" s="12"/>
      <c r="M480" s="12"/>
      <c r="N480" s="12"/>
      <c r="O480" s="12"/>
      <c r="P480" s="12"/>
      <c r="Q480" s="12"/>
      <c r="R480" s="12"/>
      <c r="S480" s="12"/>
      <c r="T480" s="12"/>
      <c r="U480" s="12"/>
      <c r="V480" s="12"/>
      <c r="W480" s="12"/>
      <c r="X480" s="12"/>
      <c r="Y480" s="12"/>
      <c r="Z480" s="12"/>
      <c r="AA480" s="12"/>
    </row>
    <row r="481" ht="13.5" customHeight="1">
      <c r="A481" s="17"/>
      <c r="B481" s="12"/>
      <c r="C481" s="12"/>
      <c r="D481" s="17"/>
      <c r="E481" s="12"/>
      <c r="F481" s="12"/>
      <c r="G481" s="17"/>
      <c r="H481" s="17"/>
      <c r="I481" s="12"/>
      <c r="J481" s="12"/>
      <c r="K481" s="12"/>
      <c r="L481" s="12"/>
      <c r="M481" s="12"/>
      <c r="N481" s="12"/>
      <c r="O481" s="12"/>
      <c r="P481" s="12"/>
      <c r="Q481" s="12"/>
      <c r="R481" s="12"/>
      <c r="S481" s="12"/>
      <c r="T481" s="12"/>
      <c r="U481" s="12"/>
      <c r="V481" s="12"/>
      <c r="W481" s="12"/>
      <c r="X481" s="12"/>
      <c r="Y481" s="12"/>
      <c r="Z481" s="12"/>
      <c r="AA481" s="12"/>
    </row>
    <row r="482" ht="13.5" customHeight="1">
      <c r="A482" s="17"/>
      <c r="B482" s="12"/>
      <c r="C482" s="12"/>
      <c r="D482" s="17"/>
      <c r="E482" s="12"/>
      <c r="F482" s="12"/>
      <c r="G482" s="17"/>
      <c r="H482" s="17"/>
      <c r="I482" s="12"/>
      <c r="J482" s="12"/>
      <c r="K482" s="12"/>
      <c r="L482" s="12"/>
      <c r="M482" s="12"/>
      <c r="N482" s="12"/>
      <c r="O482" s="12"/>
      <c r="P482" s="12"/>
      <c r="Q482" s="12"/>
      <c r="R482" s="12"/>
      <c r="S482" s="12"/>
      <c r="T482" s="12"/>
      <c r="U482" s="12"/>
      <c r="V482" s="12"/>
      <c r="W482" s="12"/>
      <c r="X482" s="12"/>
      <c r="Y482" s="12"/>
      <c r="Z482" s="12"/>
      <c r="AA482" s="12"/>
    </row>
    <row r="483" ht="13.5" customHeight="1">
      <c r="A483" s="17"/>
      <c r="B483" s="12"/>
      <c r="C483" s="12"/>
      <c r="D483" s="17"/>
      <c r="E483" s="12"/>
      <c r="F483" s="12"/>
      <c r="G483" s="17"/>
      <c r="H483" s="17"/>
      <c r="I483" s="12"/>
      <c r="J483" s="12"/>
      <c r="K483" s="12"/>
      <c r="L483" s="12"/>
      <c r="M483" s="12"/>
      <c r="N483" s="12"/>
      <c r="O483" s="12"/>
      <c r="P483" s="12"/>
      <c r="Q483" s="12"/>
      <c r="R483" s="12"/>
      <c r="S483" s="12"/>
      <c r="T483" s="12"/>
      <c r="U483" s="12"/>
      <c r="V483" s="12"/>
      <c r="W483" s="12"/>
      <c r="X483" s="12"/>
      <c r="Y483" s="12"/>
      <c r="Z483" s="12"/>
      <c r="AA483" s="12"/>
    </row>
    <row r="484" ht="13.5" customHeight="1">
      <c r="A484" s="17"/>
      <c r="B484" s="12"/>
      <c r="C484" s="12"/>
      <c r="D484" s="17"/>
      <c r="E484" s="12"/>
      <c r="F484" s="12"/>
      <c r="G484" s="17"/>
      <c r="H484" s="17"/>
      <c r="I484" s="12"/>
      <c r="J484" s="12"/>
      <c r="K484" s="12"/>
      <c r="L484" s="12"/>
      <c r="M484" s="12"/>
      <c r="N484" s="12"/>
      <c r="O484" s="12"/>
      <c r="P484" s="12"/>
      <c r="Q484" s="12"/>
      <c r="R484" s="12"/>
      <c r="S484" s="12"/>
      <c r="T484" s="12"/>
      <c r="U484" s="12"/>
      <c r="V484" s="12"/>
      <c r="W484" s="12"/>
      <c r="X484" s="12"/>
      <c r="Y484" s="12"/>
      <c r="Z484" s="12"/>
      <c r="AA484" s="12"/>
    </row>
    <row r="485" ht="13.5" customHeight="1">
      <c r="A485" s="17"/>
      <c r="B485" s="12"/>
      <c r="C485" s="12"/>
      <c r="D485" s="17"/>
      <c r="E485" s="12"/>
      <c r="F485" s="12"/>
      <c r="G485" s="17"/>
      <c r="H485" s="17"/>
      <c r="I485" s="12"/>
      <c r="J485" s="12"/>
      <c r="K485" s="12"/>
      <c r="L485" s="12"/>
      <c r="M485" s="12"/>
      <c r="N485" s="12"/>
      <c r="O485" s="12"/>
      <c r="P485" s="12"/>
      <c r="Q485" s="12"/>
      <c r="R485" s="12"/>
      <c r="S485" s="12"/>
      <c r="T485" s="12"/>
      <c r="U485" s="12"/>
      <c r="V485" s="12"/>
      <c r="W485" s="12"/>
      <c r="X485" s="12"/>
      <c r="Y485" s="12"/>
      <c r="Z485" s="12"/>
      <c r="AA485" s="12"/>
    </row>
    <row r="486" ht="13.5" customHeight="1">
      <c r="A486" s="17"/>
      <c r="B486" s="12"/>
      <c r="C486" s="12"/>
      <c r="D486" s="17"/>
      <c r="E486" s="12"/>
      <c r="F486" s="12"/>
      <c r="G486" s="17"/>
      <c r="H486" s="17"/>
      <c r="I486" s="12"/>
      <c r="J486" s="12"/>
      <c r="K486" s="12"/>
      <c r="L486" s="12"/>
      <c r="M486" s="12"/>
      <c r="N486" s="12"/>
      <c r="O486" s="12"/>
      <c r="P486" s="12"/>
      <c r="Q486" s="12"/>
      <c r="R486" s="12"/>
      <c r="S486" s="12"/>
      <c r="T486" s="12"/>
      <c r="U486" s="12"/>
      <c r="V486" s="12"/>
      <c r="W486" s="12"/>
      <c r="X486" s="12"/>
      <c r="Y486" s="12"/>
      <c r="Z486" s="12"/>
      <c r="AA486" s="12"/>
    </row>
    <row r="487" ht="13.5" customHeight="1">
      <c r="A487" s="17"/>
      <c r="B487" s="12"/>
      <c r="C487" s="12"/>
      <c r="D487" s="17"/>
      <c r="E487" s="12"/>
      <c r="F487" s="12"/>
      <c r="G487" s="17"/>
      <c r="H487" s="17"/>
      <c r="I487" s="12"/>
      <c r="J487" s="12"/>
      <c r="K487" s="12"/>
      <c r="L487" s="12"/>
      <c r="M487" s="12"/>
      <c r="N487" s="12"/>
      <c r="O487" s="12"/>
      <c r="P487" s="12"/>
      <c r="Q487" s="12"/>
      <c r="R487" s="12"/>
      <c r="S487" s="12"/>
      <c r="T487" s="12"/>
      <c r="U487" s="12"/>
      <c r="V487" s="12"/>
      <c r="W487" s="12"/>
      <c r="X487" s="12"/>
      <c r="Y487" s="12"/>
      <c r="Z487" s="12"/>
      <c r="AA487" s="12"/>
    </row>
    <row r="488" ht="13.5" customHeight="1">
      <c r="A488" s="17"/>
      <c r="B488" s="12"/>
      <c r="C488" s="12"/>
      <c r="D488" s="17"/>
      <c r="E488" s="12"/>
      <c r="F488" s="12"/>
      <c r="G488" s="17"/>
      <c r="H488" s="17"/>
      <c r="I488" s="12"/>
      <c r="J488" s="12"/>
      <c r="K488" s="12"/>
      <c r="L488" s="12"/>
      <c r="M488" s="12"/>
      <c r="N488" s="12"/>
      <c r="O488" s="12"/>
      <c r="P488" s="12"/>
      <c r="Q488" s="12"/>
      <c r="R488" s="12"/>
      <c r="S488" s="12"/>
      <c r="T488" s="12"/>
      <c r="U488" s="12"/>
      <c r="V488" s="12"/>
      <c r="W488" s="12"/>
      <c r="X488" s="12"/>
      <c r="Y488" s="12"/>
      <c r="Z488" s="12"/>
      <c r="AA488" s="12"/>
    </row>
    <row r="489" ht="13.5" customHeight="1">
      <c r="A489" s="17"/>
      <c r="B489" s="12"/>
      <c r="C489" s="12"/>
      <c r="D489" s="17"/>
      <c r="E489" s="12"/>
      <c r="F489" s="12"/>
      <c r="G489" s="17"/>
      <c r="H489" s="17"/>
      <c r="I489" s="12"/>
      <c r="J489" s="12"/>
      <c r="K489" s="12"/>
      <c r="L489" s="12"/>
      <c r="M489" s="12"/>
      <c r="N489" s="12"/>
      <c r="O489" s="12"/>
      <c r="P489" s="12"/>
      <c r="Q489" s="12"/>
      <c r="R489" s="12"/>
      <c r="S489" s="12"/>
      <c r="T489" s="12"/>
      <c r="U489" s="12"/>
      <c r="V489" s="12"/>
      <c r="W489" s="12"/>
      <c r="X489" s="12"/>
      <c r="Y489" s="12"/>
      <c r="Z489" s="12"/>
      <c r="AA489" s="12"/>
    </row>
    <row r="490" ht="13.5" customHeight="1">
      <c r="A490" s="17"/>
      <c r="B490" s="12"/>
      <c r="C490" s="12"/>
      <c r="D490" s="17"/>
      <c r="E490" s="12"/>
      <c r="F490" s="12"/>
      <c r="G490" s="17"/>
      <c r="H490" s="17"/>
      <c r="I490" s="12"/>
      <c r="J490" s="12"/>
      <c r="K490" s="12"/>
      <c r="L490" s="12"/>
      <c r="M490" s="12"/>
      <c r="N490" s="12"/>
      <c r="O490" s="12"/>
      <c r="P490" s="12"/>
      <c r="Q490" s="12"/>
      <c r="R490" s="12"/>
      <c r="S490" s="12"/>
      <c r="T490" s="12"/>
      <c r="U490" s="12"/>
      <c r="V490" s="12"/>
      <c r="W490" s="12"/>
      <c r="X490" s="12"/>
      <c r="Y490" s="12"/>
      <c r="Z490" s="12"/>
      <c r="AA490" s="12"/>
    </row>
    <row r="491" ht="13.5" customHeight="1">
      <c r="A491" s="17"/>
      <c r="B491" s="12"/>
      <c r="C491" s="12"/>
      <c r="D491" s="17"/>
      <c r="E491" s="12"/>
      <c r="F491" s="12"/>
      <c r="G491" s="17"/>
      <c r="H491" s="17"/>
      <c r="I491" s="12"/>
      <c r="J491" s="12"/>
      <c r="K491" s="12"/>
      <c r="L491" s="12"/>
      <c r="M491" s="12"/>
      <c r="N491" s="12"/>
      <c r="O491" s="12"/>
      <c r="P491" s="12"/>
      <c r="Q491" s="12"/>
      <c r="R491" s="12"/>
      <c r="S491" s="12"/>
      <c r="T491" s="12"/>
      <c r="U491" s="12"/>
      <c r="V491" s="12"/>
      <c r="W491" s="12"/>
      <c r="X491" s="12"/>
      <c r="Y491" s="12"/>
      <c r="Z491" s="12"/>
      <c r="AA491" s="12"/>
    </row>
    <row r="492" ht="13.5" customHeight="1">
      <c r="A492" s="17"/>
      <c r="B492" s="12"/>
      <c r="C492" s="12"/>
      <c r="D492" s="17"/>
      <c r="E492" s="12"/>
      <c r="F492" s="12"/>
      <c r="G492" s="17"/>
      <c r="H492" s="17"/>
      <c r="I492" s="12"/>
      <c r="J492" s="12"/>
      <c r="K492" s="12"/>
      <c r="L492" s="12"/>
      <c r="M492" s="12"/>
      <c r="N492" s="12"/>
      <c r="O492" s="12"/>
      <c r="P492" s="12"/>
      <c r="Q492" s="12"/>
      <c r="R492" s="12"/>
      <c r="S492" s="12"/>
      <c r="T492" s="12"/>
      <c r="U492" s="12"/>
      <c r="V492" s="12"/>
      <c r="W492" s="12"/>
      <c r="X492" s="12"/>
      <c r="Y492" s="12"/>
      <c r="Z492" s="12"/>
      <c r="AA492" s="12"/>
    </row>
    <row r="493" ht="13.5" customHeight="1">
      <c r="A493" s="17"/>
      <c r="B493" s="12"/>
      <c r="C493" s="12"/>
      <c r="D493" s="17"/>
      <c r="E493" s="12"/>
      <c r="F493" s="12"/>
      <c r="G493" s="17"/>
      <c r="H493" s="17"/>
      <c r="I493" s="12"/>
      <c r="J493" s="12"/>
      <c r="K493" s="12"/>
      <c r="L493" s="12"/>
      <c r="M493" s="12"/>
      <c r="N493" s="12"/>
      <c r="O493" s="12"/>
      <c r="P493" s="12"/>
      <c r="Q493" s="12"/>
      <c r="R493" s="12"/>
      <c r="S493" s="12"/>
      <c r="T493" s="12"/>
      <c r="U493" s="12"/>
      <c r="V493" s="12"/>
      <c r="W493" s="12"/>
      <c r="X493" s="12"/>
      <c r="Y493" s="12"/>
      <c r="Z493" s="12"/>
      <c r="AA493" s="12"/>
    </row>
    <row r="494" ht="13.5" customHeight="1">
      <c r="A494" s="17"/>
      <c r="B494" s="12"/>
      <c r="C494" s="12"/>
      <c r="D494" s="17"/>
      <c r="E494" s="12"/>
      <c r="F494" s="12"/>
      <c r="G494" s="17"/>
      <c r="H494" s="17"/>
      <c r="I494" s="12"/>
      <c r="J494" s="12"/>
      <c r="K494" s="12"/>
      <c r="L494" s="12"/>
      <c r="M494" s="12"/>
      <c r="N494" s="12"/>
      <c r="O494" s="12"/>
      <c r="P494" s="12"/>
      <c r="Q494" s="12"/>
      <c r="R494" s="12"/>
      <c r="S494" s="12"/>
      <c r="T494" s="12"/>
      <c r="U494" s="12"/>
      <c r="V494" s="12"/>
      <c r="W494" s="12"/>
      <c r="X494" s="12"/>
      <c r="Y494" s="12"/>
      <c r="Z494" s="12"/>
      <c r="AA494" s="12"/>
    </row>
    <row r="495" ht="13.5" customHeight="1">
      <c r="A495" s="17"/>
      <c r="B495" s="12"/>
      <c r="C495" s="12"/>
      <c r="D495" s="17"/>
      <c r="E495" s="12"/>
      <c r="F495" s="12"/>
      <c r="G495" s="17"/>
      <c r="H495" s="17"/>
      <c r="I495" s="12"/>
      <c r="J495" s="12"/>
      <c r="K495" s="12"/>
      <c r="L495" s="12"/>
      <c r="M495" s="12"/>
      <c r="N495" s="12"/>
      <c r="O495" s="12"/>
      <c r="P495" s="12"/>
      <c r="Q495" s="12"/>
      <c r="R495" s="12"/>
      <c r="S495" s="12"/>
      <c r="T495" s="12"/>
      <c r="U495" s="12"/>
      <c r="V495" s="12"/>
      <c r="W495" s="12"/>
      <c r="X495" s="12"/>
      <c r="Y495" s="12"/>
      <c r="Z495" s="12"/>
      <c r="AA495" s="12"/>
    </row>
    <row r="496" ht="13.5" customHeight="1">
      <c r="A496" s="17"/>
      <c r="B496" s="12"/>
      <c r="C496" s="12"/>
      <c r="D496" s="17"/>
      <c r="E496" s="12"/>
      <c r="F496" s="12"/>
      <c r="G496" s="17"/>
      <c r="H496" s="17"/>
      <c r="I496" s="12"/>
      <c r="J496" s="12"/>
      <c r="K496" s="12"/>
      <c r="L496" s="12"/>
      <c r="M496" s="12"/>
      <c r="N496" s="12"/>
      <c r="O496" s="12"/>
      <c r="P496" s="12"/>
      <c r="Q496" s="12"/>
      <c r="R496" s="12"/>
      <c r="S496" s="12"/>
      <c r="T496" s="12"/>
      <c r="U496" s="12"/>
      <c r="V496" s="12"/>
      <c r="W496" s="12"/>
      <c r="X496" s="12"/>
      <c r="Y496" s="12"/>
      <c r="Z496" s="12"/>
      <c r="AA496" s="12"/>
    </row>
    <row r="497" ht="13.5" customHeight="1">
      <c r="A497" s="17"/>
      <c r="B497" s="12"/>
      <c r="C497" s="12"/>
      <c r="D497" s="17"/>
      <c r="E497" s="12"/>
      <c r="F497" s="12"/>
      <c r="G497" s="17"/>
      <c r="H497" s="17"/>
      <c r="I497" s="12"/>
      <c r="J497" s="12"/>
      <c r="K497" s="12"/>
      <c r="L497" s="12"/>
      <c r="M497" s="12"/>
      <c r="N497" s="12"/>
      <c r="O497" s="12"/>
      <c r="P497" s="12"/>
      <c r="Q497" s="12"/>
      <c r="R497" s="12"/>
      <c r="S497" s="12"/>
      <c r="T497" s="12"/>
      <c r="U497" s="12"/>
      <c r="V497" s="12"/>
      <c r="W497" s="12"/>
      <c r="X497" s="12"/>
      <c r="Y497" s="12"/>
      <c r="Z497" s="12"/>
      <c r="AA497" s="12"/>
    </row>
    <row r="498" ht="13.5" customHeight="1">
      <c r="A498" s="17"/>
      <c r="B498" s="12"/>
      <c r="C498" s="12"/>
      <c r="D498" s="17"/>
      <c r="E498" s="12"/>
      <c r="F498" s="12"/>
      <c r="G498" s="17"/>
      <c r="H498" s="17"/>
      <c r="I498" s="12"/>
      <c r="J498" s="12"/>
      <c r="K498" s="12"/>
      <c r="L498" s="12"/>
      <c r="M498" s="12"/>
      <c r="N498" s="12"/>
      <c r="O498" s="12"/>
      <c r="P498" s="12"/>
      <c r="Q498" s="12"/>
      <c r="R498" s="12"/>
      <c r="S498" s="12"/>
      <c r="T498" s="12"/>
      <c r="U498" s="12"/>
      <c r="V498" s="12"/>
      <c r="W498" s="12"/>
      <c r="X498" s="12"/>
      <c r="Y498" s="12"/>
      <c r="Z498" s="12"/>
      <c r="AA498" s="12"/>
    </row>
    <row r="499" ht="13.5" customHeight="1">
      <c r="A499" s="17"/>
      <c r="B499" s="12"/>
      <c r="C499" s="12"/>
      <c r="D499" s="17"/>
      <c r="E499" s="12"/>
      <c r="F499" s="12"/>
      <c r="G499" s="17"/>
      <c r="H499" s="17"/>
      <c r="I499" s="12"/>
      <c r="J499" s="12"/>
      <c r="K499" s="12"/>
      <c r="L499" s="12"/>
      <c r="M499" s="12"/>
      <c r="N499" s="12"/>
      <c r="O499" s="12"/>
      <c r="P499" s="12"/>
      <c r="Q499" s="12"/>
      <c r="R499" s="12"/>
      <c r="S499" s="12"/>
      <c r="T499" s="12"/>
      <c r="U499" s="12"/>
      <c r="V499" s="12"/>
      <c r="W499" s="12"/>
      <c r="X499" s="12"/>
      <c r="Y499" s="12"/>
      <c r="Z499" s="12"/>
      <c r="AA499" s="12"/>
    </row>
    <row r="500" ht="13.5" customHeight="1">
      <c r="A500" s="17"/>
      <c r="B500" s="12"/>
      <c r="C500" s="12"/>
      <c r="D500" s="17"/>
      <c r="E500" s="12"/>
      <c r="F500" s="12"/>
      <c r="G500" s="17"/>
      <c r="H500" s="17"/>
      <c r="I500" s="12"/>
      <c r="J500" s="12"/>
      <c r="K500" s="12"/>
      <c r="L500" s="12"/>
      <c r="M500" s="12"/>
      <c r="N500" s="12"/>
      <c r="O500" s="12"/>
      <c r="P500" s="12"/>
      <c r="Q500" s="12"/>
      <c r="R500" s="12"/>
      <c r="S500" s="12"/>
      <c r="T500" s="12"/>
      <c r="U500" s="12"/>
      <c r="V500" s="12"/>
      <c r="W500" s="12"/>
      <c r="X500" s="12"/>
      <c r="Y500" s="12"/>
      <c r="Z500" s="12"/>
      <c r="AA500" s="12"/>
    </row>
    <row r="501" ht="13.5" customHeight="1">
      <c r="A501" s="17"/>
      <c r="B501" s="12"/>
      <c r="C501" s="12"/>
      <c r="D501" s="17"/>
      <c r="E501" s="12"/>
      <c r="F501" s="12"/>
      <c r="G501" s="17"/>
      <c r="H501" s="17"/>
      <c r="I501" s="12"/>
      <c r="J501" s="12"/>
      <c r="K501" s="12"/>
      <c r="L501" s="12"/>
      <c r="M501" s="12"/>
      <c r="N501" s="12"/>
      <c r="O501" s="12"/>
      <c r="P501" s="12"/>
      <c r="Q501" s="12"/>
      <c r="R501" s="12"/>
      <c r="S501" s="12"/>
      <c r="T501" s="12"/>
      <c r="U501" s="12"/>
      <c r="V501" s="12"/>
      <c r="W501" s="12"/>
      <c r="X501" s="12"/>
      <c r="Y501" s="12"/>
      <c r="Z501" s="12"/>
      <c r="AA501" s="12"/>
    </row>
    <row r="502" ht="13.5" customHeight="1">
      <c r="A502" s="17"/>
      <c r="B502" s="12"/>
      <c r="C502" s="12"/>
      <c r="D502" s="17"/>
      <c r="E502" s="12"/>
      <c r="F502" s="12"/>
      <c r="G502" s="17"/>
      <c r="H502" s="17"/>
      <c r="I502" s="12"/>
      <c r="J502" s="12"/>
      <c r="K502" s="12"/>
      <c r="L502" s="12"/>
      <c r="M502" s="12"/>
      <c r="N502" s="12"/>
      <c r="O502" s="12"/>
      <c r="P502" s="12"/>
      <c r="Q502" s="12"/>
      <c r="R502" s="12"/>
      <c r="S502" s="12"/>
      <c r="T502" s="12"/>
      <c r="U502" s="12"/>
      <c r="V502" s="12"/>
      <c r="W502" s="12"/>
      <c r="X502" s="12"/>
      <c r="Y502" s="12"/>
      <c r="Z502" s="12"/>
      <c r="AA502" s="12"/>
    </row>
    <row r="503" ht="13.5" customHeight="1">
      <c r="A503" s="17"/>
      <c r="B503" s="12"/>
      <c r="C503" s="12"/>
      <c r="D503" s="17"/>
      <c r="E503" s="12"/>
      <c r="F503" s="12"/>
      <c r="G503" s="17"/>
      <c r="H503" s="17"/>
      <c r="I503" s="12"/>
      <c r="J503" s="12"/>
      <c r="K503" s="12"/>
      <c r="L503" s="12"/>
      <c r="M503" s="12"/>
      <c r="N503" s="12"/>
      <c r="O503" s="12"/>
      <c r="P503" s="12"/>
      <c r="Q503" s="12"/>
      <c r="R503" s="12"/>
      <c r="S503" s="12"/>
      <c r="T503" s="12"/>
      <c r="U503" s="12"/>
      <c r="V503" s="12"/>
      <c r="W503" s="12"/>
      <c r="X503" s="12"/>
      <c r="Y503" s="12"/>
      <c r="Z503" s="12"/>
      <c r="AA503" s="12"/>
    </row>
    <row r="504" ht="13.5" customHeight="1">
      <c r="A504" s="17"/>
      <c r="B504" s="12"/>
      <c r="C504" s="12"/>
      <c r="D504" s="17"/>
      <c r="E504" s="12"/>
      <c r="F504" s="12"/>
      <c r="G504" s="17"/>
      <c r="H504" s="17"/>
      <c r="I504" s="12"/>
      <c r="J504" s="12"/>
      <c r="K504" s="12"/>
      <c r="L504" s="12"/>
      <c r="M504" s="12"/>
      <c r="N504" s="12"/>
      <c r="O504" s="12"/>
      <c r="P504" s="12"/>
      <c r="Q504" s="12"/>
      <c r="R504" s="12"/>
      <c r="S504" s="12"/>
      <c r="T504" s="12"/>
      <c r="U504" s="12"/>
      <c r="V504" s="12"/>
      <c r="W504" s="12"/>
      <c r="X504" s="12"/>
      <c r="Y504" s="12"/>
      <c r="Z504" s="12"/>
      <c r="AA504" s="12"/>
    </row>
    <row r="505" ht="13.5" customHeight="1">
      <c r="A505" s="17"/>
      <c r="B505" s="12"/>
      <c r="C505" s="12"/>
      <c r="D505" s="17"/>
      <c r="E505" s="12"/>
      <c r="F505" s="12"/>
      <c r="G505" s="17"/>
      <c r="H505" s="17"/>
      <c r="I505" s="12"/>
      <c r="J505" s="12"/>
      <c r="K505" s="12"/>
      <c r="L505" s="12"/>
      <c r="M505" s="12"/>
      <c r="N505" s="12"/>
      <c r="O505" s="12"/>
      <c r="P505" s="12"/>
      <c r="Q505" s="12"/>
      <c r="R505" s="12"/>
      <c r="S505" s="12"/>
      <c r="T505" s="12"/>
      <c r="U505" s="12"/>
      <c r="V505" s="12"/>
      <c r="W505" s="12"/>
      <c r="X505" s="12"/>
      <c r="Y505" s="12"/>
      <c r="Z505" s="12"/>
      <c r="AA505" s="12"/>
    </row>
    <row r="506" ht="13.5" customHeight="1">
      <c r="A506" s="17"/>
      <c r="B506" s="12"/>
      <c r="C506" s="12"/>
      <c r="D506" s="17"/>
      <c r="E506" s="12"/>
      <c r="F506" s="12"/>
      <c r="G506" s="17"/>
      <c r="H506" s="17"/>
      <c r="I506" s="12"/>
      <c r="J506" s="12"/>
      <c r="K506" s="12"/>
      <c r="L506" s="12"/>
      <c r="M506" s="12"/>
      <c r="N506" s="12"/>
      <c r="O506" s="12"/>
      <c r="P506" s="12"/>
      <c r="Q506" s="12"/>
      <c r="R506" s="12"/>
      <c r="S506" s="12"/>
      <c r="T506" s="12"/>
      <c r="U506" s="12"/>
      <c r="V506" s="12"/>
      <c r="W506" s="12"/>
      <c r="X506" s="12"/>
      <c r="Y506" s="12"/>
      <c r="Z506" s="12"/>
      <c r="AA506" s="12"/>
    </row>
    <row r="507" ht="13.5" customHeight="1">
      <c r="A507" s="17"/>
      <c r="B507" s="12"/>
      <c r="C507" s="12"/>
      <c r="D507" s="17"/>
      <c r="E507" s="12"/>
      <c r="F507" s="12"/>
      <c r="G507" s="17"/>
      <c r="H507" s="17"/>
      <c r="I507" s="12"/>
      <c r="J507" s="12"/>
      <c r="K507" s="12"/>
      <c r="L507" s="12"/>
      <c r="M507" s="12"/>
      <c r="N507" s="12"/>
      <c r="O507" s="12"/>
      <c r="P507" s="12"/>
      <c r="Q507" s="12"/>
      <c r="R507" s="12"/>
      <c r="S507" s="12"/>
      <c r="T507" s="12"/>
      <c r="U507" s="12"/>
      <c r="V507" s="12"/>
      <c r="W507" s="12"/>
      <c r="X507" s="12"/>
      <c r="Y507" s="12"/>
      <c r="Z507" s="12"/>
      <c r="AA507" s="12"/>
    </row>
    <row r="508" ht="13.5" customHeight="1">
      <c r="A508" s="17"/>
      <c r="B508" s="12"/>
      <c r="C508" s="12"/>
      <c r="D508" s="17"/>
      <c r="E508" s="12"/>
      <c r="F508" s="12"/>
      <c r="G508" s="17"/>
      <c r="H508" s="17"/>
      <c r="I508" s="12"/>
      <c r="J508" s="12"/>
      <c r="K508" s="12"/>
      <c r="L508" s="12"/>
      <c r="M508" s="12"/>
      <c r="N508" s="12"/>
      <c r="O508" s="12"/>
      <c r="P508" s="12"/>
      <c r="Q508" s="12"/>
      <c r="R508" s="12"/>
      <c r="S508" s="12"/>
      <c r="T508" s="12"/>
      <c r="U508" s="12"/>
      <c r="V508" s="12"/>
      <c r="W508" s="12"/>
      <c r="X508" s="12"/>
      <c r="Y508" s="12"/>
      <c r="Z508" s="12"/>
      <c r="AA508" s="12"/>
    </row>
    <row r="509" ht="13.5" customHeight="1">
      <c r="A509" s="17"/>
      <c r="B509" s="12"/>
      <c r="C509" s="12"/>
      <c r="D509" s="17"/>
      <c r="E509" s="12"/>
      <c r="F509" s="12"/>
      <c r="G509" s="17"/>
      <c r="H509" s="17"/>
      <c r="I509" s="12"/>
      <c r="J509" s="12"/>
      <c r="K509" s="12"/>
      <c r="L509" s="12"/>
      <c r="M509" s="12"/>
      <c r="N509" s="12"/>
      <c r="O509" s="12"/>
      <c r="P509" s="12"/>
      <c r="Q509" s="12"/>
      <c r="R509" s="12"/>
      <c r="S509" s="12"/>
      <c r="T509" s="12"/>
      <c r="U509" s="12"/>
      <c r="V509" s="12"/>
      <c r="W509" s="12"/>
      <c r="X509" s="12"/>
      <c r="Y509" s="12"/>
      <c r="Z509" s="12"/>
      <c r="AA509" s="12"/>
    </row>
    <row r="510" ht="13.5" customHeight="1">
      <c r="A510" s="17"/>
      <c r="B510" s="12"/>
      <c r="C510" s="12"/>
      <c r="D510" s="17"/>
      <c r="E510" s="12"/>
      <c r="F510" s="12"/>
      <c r="G510" s="17"/>
      <c r="H510" s="17"/>
      <c r="I510" s="12"/>
      <c r="J510" s="12"/>
      <c r="K510" s="12"/>
      <c r="L510" s="12"/>
      <c r="M510" s="12"/>
      <c r="N510" s="12"/>
      <c r="O510" s="12"/>
      <c r="P510" s="12"/>
      <c r="Q510" s="12"/>
      <c r="R510" s="12"/>
      <c r="S510" s="12"/>
      <c r="T510" s="12"/>
      <c r="U510" s="12"/>
      <c r="V510" s="12"/>
      <c r="W510" s="12"/>
      <c r="X510" s="12"/>
      <c r="Y510" s="12"/>
      <c r="Z510" s="12"/>
      <c r="AA510" s="12"/>
    </row>
    <row r="511" ht="13.5" customHeight="1">
      <c r="A511" s="17"/>
      <c r="B511" s="12"/>
      <c r="C511" s="12"/>
      <c r="D511" s="17"/>
      <c r="E511" s="12"/>
      <c r="F511" s="12"/>
      <c r="G511" s="17"/>
      <c r="H511" s="17"/>
      <c r="I511" s="12"/>
      <c r="J511" s="12"/>
      <c r="K511" s="12"/>
      <c r="L511" s="12"/>
      <c r="M511" s="12"/>
      <c r="N511" s="12"/>
      <c r="O511" s="12"/>
      <c r="P511" s="12"/>
      <c r="Q511" s="12"/>
      <c r="R511" s="12"/>
      <c r="S511" s="12"/>
      <c r="T511" s="12"/>
      <c r="U511" s="12"/>
      <c r="V511" s="12"/>
      <c r="W511" s="12"/>
      <c r="X511" s="12"/>
      <c r="Y511" s="12"/>
      <c r="Z511" s="12"/>
      <c r="AA511" s="12"/>
    </row>
    <row r="512" ht="13.5" customHeight="1">
      <c r="A512" s="17"/>
      <c r="B512" s="12"/>
      <c r="C512" s="12"/>
      <c r="D512" s="17"/>
      <c r="E512" s="12"/>
      <c r="F512" s="12"/>
      <c r="G512" s="17"/>
      <c r="H512" s="17"/>
      <c r="I512" s="12"/>
      <c r="J512" s="12"/>
      <c r="K512" s="12"/>
      <c r="L512" s="12"/>
      <c r="M512" s="12"/>
      <c r="N512" s="12"/>
      <c r="O512" s="12"/>
      <c r="P512" s="12"/>
      <c r="Q512" s="12"/>
      <c r="R512" s="12"/>
      <c r="S512" s="12"/>
      <c r="T512" s="12"/>
      <c r="U512" s="12"/>
      <c r="V512" s="12"/>
      <c r="W512" s="12"/>
      <c r="X512" s="12"/>
      <c r="Y512" s="12"/>
      <c r="Z512" s="12"/>
      <c r="AA512" s="12"/>
    </row>
    <row r="513" ht="13.5" customHeight="1">
      <c r="A513" s="17"/>
      <c r="B513" s="12"/>
      <c r="C513" s="12"/>
      <c r="D513" s="17"/>
      <c r="E513" s="12"/>
      <c r="F513" s="12"/>
      <c r="G513" s="17"/>
      <c r="H513" s="17"/>
      <c r="I513" s="12"/>
      <c r="J513" s="12"/>
      <c r="K513" s="12"/>
      <c r="L513" s="12"/>
      <c r="M513" s="12"/>
      <c r="N513" s="12"/>
      <c r="O513" s="12"/>
      <c r="P513" s="12"/>
      <c r="Q513" s="12"/>
      <c r="R513" s="12"/>
      <c r="S513" s="12"/>
      <c r="T513" s="12"/>
      <c r="U513" s="12"/>
      <c r="V513" s="12"/>
      <c r="W513" s="12"/>
      <c r="X513" s="12"/>
      <c r="Y513" s="12"/>
      <c r="Z513" s="12"/>
      <c r="AA513" s="12"/>
    </row>
    <row r="514" ht="13.5" customHeight="1">
      <c r="A514" s="17"/>
      <c r="B514" s="12"/>
      <c r="C514" s="12"/>
      <c r="D514" s="17"/>
      <c r="E514" s="12"/>
      <c r="F514" s="12"/>
      <c r="G514" s="17"/>
      <c r="H514" s="17"/>
      <c r="I514" s="12"/>
      <c r="J514" s="12"/>
      <c r="K514" s="12"/>
      <c r="L514" s="12"/>
      <c r="M514" s="12"/>
      <c r="N514" s="12"/>
      <c r="O514" s="12"/>
      <c r="P514" s="12"/>
      <c r="Q514" s="12"/>
      <c r="R514" s="12"/>
      <c r="S514" s="12"/>
      <c r="T514" s="12"/>
      <c r="U514" s="12"/>
      <c r="V514" s="12"/>
      <c r="W514" s="12"/>
      <c r="X514" s="12"/>
      <c r="Y514" s="12"/>
      <c r="Z514" s="12"/>
      <c r="AA514" s="12"/>
    </row>
    <row r="515" ht="13.5" customHeight="1">
      <c r="A515" s="17"/>
      <c r="B515" s="12"/>
      <c r="C515" s="12"/>
      <c r="D515" s="17"/>
      <c r="E515" s="12"/>
      <c r="F515" s="12"/>
      <c r="G515" s="17"/>
      <c r="H515" s="17"/>
      <c r="I515" s="12"/>
      <c r="J515" s="12"/>
      <c r="K515" s="12"/>
      <c r="L515" s="12"/>
      <c r="M515" s="12"/>
      <c r="N515" s="12"/>
      <c r="O515" s="12"/>
      <c r="P515" s="12"/>
      <c r="Q515" s="12"/>
      <c r="R515" s="12"/>
      <c r="S515" s="12"/>
      <c r="T515" s="12"/>
      <c r="U515" s="12"/>
      <c r="V515" s="12"/>
      <c r="W515" s="12"/>
      <c r="X515" s="12"/>
      <c r="Y515" s="12"/>
      <c r="Z515" s="12"/>
      <c r="AA515" s="12"/>
    </row>
    <row r="516" ht="13.5" customHeight="1">
      <c r="A516" s="17"/>
      <c r="B516" s="12"/>
      <c r="C516" s="12"/>
      <c r="D516" s="17"/>
      <c r="E516" s="12"/>
      <c r="F516" s="12"/>
      <c r="G516" s="17"/>
      <c r="H516" s="17"/>
      <c r="I516" s="12"/>
      <c r="J516" s="12"/>
      <c r="K516" s="12"/>
      <c r="L516" s="12"/>
      <c r="M516" s="12"/>
      <c r="N516" s="12"/>
      <c r="O516" s="12"/>
      <c r="P516" s="12"/>
      <c r="Q516" s="12"/>
      <c r="R516" s="12"/>
      <c r="S516" s="12"/>
      <c r="T516" s="12"/>
      <c r="U516" s="12"/>
      <c r="V516" s="12"/>
      <c r="W516" s="12"/>
      <c r="X516" s="12"/>
      <c r="Y516" s="12"/>
      <c r="Z516" s="12"/>
      <c r="AA516" s="12"/>
    </row>
    <row r="517" ht="13.5" customHeight="1">
      <c r="A517" s="17"/>
      <c r="B517" s="12"/>
      <c r="C517" s="12"/>
      <c r="D517" s="17"/>
      <c r="E517" s="12"/>
      <c r="F517" s="12"/>
      <c r="G517" s="17"/>
      <c r="H517" s="17"/>
      <c r="I517" s="12"/>
      <c r="J517" s="12"/>
      <c r="K517" s="12"/>
      <c r="L517" s="12"/>
      <c r="M517" s="12"/>
      <c r="N517" s="12"/>
      <c r="O517" s="12"/>
      <c r="P517" s="12"/>
      <c r="Q517" s="12"/>
      <c r="R517" s="12"/>
      <c r="S517" s="12"/>
      <c r="T517" s="12"/>
      <c r="U517" s="12"/>
      <c r="V517" s="12"/>
      <c r="W517" s="12"/>
      <c r="X517" s="12"/>
      <c r="Y517" s="12"/>
      <c r="Z517" s="12"/>
      <c r="AA517" s="12"/>
    </row>
    <row r="518" ht="13.5" customHeight="1">
      <c r="A518" s="17"/>
      <c r="B518" s="12"/>
      <c r="C518" s="12"/>
      <c r="D518" s="17"/>
      <c r="E518" s="12"/>
      <c r="F518" s="12"/>
      <c r="G518" s="17"/>
      <c r="H518" s="17"/>
      <c r="I518" s="12"/>
      <c r="J518" s="12"/>
      <c r="K518" s="12"/>
      <c r="L518" s="12"/>
      <c r="M518" s="12"/>
      <c r="N518" s="12"/>
      <c r="O518" s="12"/>
      <c r="P518" s="12"/>
      <c r="Q518" s="12"/>
      <c r="R518" s="12"/>
      <c r="S518" s="12"/>
      <c r="T518" s="12"/>
      <c r="U518" s="12"/>
      <c r="V518" s="12"/>
      <c r="W518" s="12"/>
      <c r="X518" s="12"/>
      <c r="Y518" s="12"/>
      <c r="Z518" s="12"/>
      <c r="AA518" s="12"/>
    </row>
    <row r="519" ht="13.5" customHeight="1">
      <c r="A519" s="17"/>
      <c r="B519" s="12"/>
      <c r="C519" s="12"/>
      <c r="D519" s="17"/>
      <c r="E519" s="12"/>
      <c r="F519" s="12"/>
      <c r="G519" s="17"/>
      <c r="H519" s="17"/>
      <c r="I519" s="12"/>
      <c r="J519" s="12"/>
      <c r="K519" s="12"/>
      <c r="L519" s="12"/>
      <c r="M519" s="12"/>
      <c r="N519" s="12"/>
      <c r="O519" s="12"/>
      <c r="P519" s="12"/>
      <c r="Q519" s="12"/>
      <c r="R519" s="12"/>
      <c r="S519" s="12"/>
      <c r="T519" s="12"/>
      <c r="U519" s="12"/>
      <c r="V519" s="12"/>
      <c r="W519" s="12"/>
      <c r="X519" s="12"/>
      <c r="Y519" s="12"/>
      <c r="Z519" s="12"/>
      <c r="AA519" s="12"/>
    </row>
    <row r="520" ht="13.5" customHeight="1">
      <c r="A520" s="17"/>
      <c r="B520" s="12"/>
      <c r="C520" s="12"/>
      <c r="D520" s="17"/>
      <c r="E520" s="12"/>
      <c r="F520" s="12"/>
      <c r="G520" s="17"/>
      <c r="H520" s="17"/>
      <c r="I520" s="12"/>
      <c r="J520" s="12"/>
      <c r="K520" s="12"/>
      <c r="L520" s="12"/>
      <c r="M520" s="12"/>
      <c r="N520" s="12"/>
      <c r="O520" s="12"/>
      <c r="P520" s="12"/>
      <c r="Q520" s="12"/>
      <c r="R520" s="12"/>
      <c r="S520" s="12"/>
      <c r="T520" s="12"/>
      <c r="U520" s="12"/>
      <c r="V520" s="12"/>
      <c r="W520" s="12"/>
      <c r="X520" s="12"/>
      <c r="Y520" s="12"/>
      <c r="Z520" s="12"/>
      <c r="AA520" s="12"/>
    </row>
    <row r="521" ht="13.5" customHeight="1">
      <c r="A521" s="17"/>
      <c r="B521" s="12"/>
      <c r="C521" s="12"/>
      <c r="D521" s="17"/>
      <c r="E521" s="12"/>
      <c r="F521" s="12"/>
      <c r="G521" s="17"/>
      <c r="H521" s="17"/>
      <c r="I521" s="12"/>
      <c r="J521" s="12"/>
      <c r="K521" s="12"/>
      <c r="L521" s="12"/>
      <c r="M521" s="12"/>
      <c r="N521" s="12"/>
      <c r="O521" s="12"/>
      <c r="P521" s="12"/>
      <c r="Q521" s="12"/>
      <c r="R521" s="12"/>
      <c r="S521" s="12"/>
      <c r="T521" s="12"/>
      <c r="U521" s="12"/>
      <c r="V521" s="12"/>
      <c r="W521" s="12"/>
      <c r="X521" s="12"/>
      <c r="Y521" s="12"/>
      <c r="Z521" s="12"/>
      <c r="AA521" s="12"/>
    </row>
    <row r="522" ht="13.5" customHeight="1">
      <c r="A522" s="17"/>
      <c r="B522" s="12"/>
      <c r="C522" s="12"/>
      <c r="D522" s="17"/>
      <c r="E522" s="12"/>
      <c r="F522" s="12"/>
      <c r="G522" s="17"/>
      <c r="H522" s="17"/>
      <c r="I522" s="12"/>
      <c r="J522" s="12"/>
      <c r="K522" s="12"/>
      <c r="L522" s="12"/>
      <c r="M522" s="12"/>
      <c r="N522" s="12"/>
      <c r="O522" s="12"/>
      <c r="P522" s="12"/>
      <c r="Q522" s="12"/>
      <c r="R522" s="12"/>
      <c r="S522" s="12"/>
      <c r="T522" s="12"/>
      <c r="U522" s="12"/>
      <c r="V522" s="12"/>
      <c r="W522" s="12"/>
      <c r="X522" s="12"/>
      <c r="Y522" s="12"/>
      <c r="Z522" s="12"/>
      <c r="AA522" s="12"/>
    </row>
    <row r="523" ht="13.5" customHeight="1">
      <c r="A523" s="17"/>
      <c r="B523" s="12"/>
      <c r="C523" s="12"/>
      <c r="D523" s="17"/>
      <c r="E523" s="12"/>
      <c r="F523" s="12"/>
      <c r="G523" s="17"/>
      <c r="H523" s="17"/>
      <c r="I523" s="12"/>
      <c r="J523" s="12"/>
      <c r="K523" s="12"/>
      <c r="L523" s="12"/>
      <c r="M523" s="12"/>
      <c r="N523" s="12"/>
      <c r="O523" s="12"/>
      <c r="P523" s="12"/>
      <c r="Q523" s="12"/>
      <c r="R523" s="12"/>
      <c r="S523" s="12"/>
      <c r="T523" s="12"/>
      <c r="U523" s="12"/>
      <c r="V523" s="12"/>
      <c r="W523" s="12"/>
      <c r="X523" s="12"/>
      <c r="Y523" s="12"/>
      <c r="Z523" s="12"/>
      <c r="AA523" s="12"/>
    </row>
    <row r="524" ht="13.5" customHeight="1">
      <c r="A524" s="17"/>
      <c r="B524" s="12"/>
      <c r="C524" s="12"/>
      <c r="D524" s="17"/>
      <c r="E524" s="12"/>
      <c r="F524" s="12"/>
      <c r="G524" s="17"/>
      <c r="H524" s="17"/>
      <c r="I524" s="12"/>
      <c r="J524" s="12"/>
      <c r="K524" s="12"/>
      <c r="L524" s="12"/>
      <c r="M524" s="12"/>
      <c r="N524" s="12"/>
      <c r="O524" s="12"/>
      <c r="P524" s="12"/>
      <c r="Q524" s="12"/>
      <c r="R524" s="12"/>
      <c r="S524" s="12"/>
      <c r="T524" s="12"/>
      <c r="U524" s="12"/>
      <c r="V524" s="12"/>
      <c r="W524" s="12"/>
      <c r="X524" s="12"/>
      <c r="Y524" s="12"/>
      <c r="Z524" s="12"/>
      <c r="AA524" s="12"/>
    </row>
    <row r="525" ht="13.5" customHeight="1">
      <c r="A525" s="17"/>
      <c r="B525" s="12"/>
      <c r="C525" s="12"/>
      <c r="D525" s="17"/>
      <c r="E525" s="12"/>
      <c r="F525" s="12"/>
      <c r="G525" s="17"/>
      <c r="H525" s="17"/>
      <c r="I525" s="12"/>
      <c r="J525" s="12"/>
      <c r="K525" s="12"/>
      <c r="L525" s="12"/>
      <c r="M525" s="12"/>
      <c r="N525" s="12"/>
      <c r="O525" s="12"/>
      <c r="P525" s="12"/>
      <c r="Q525" s="12"/>
      <c r="R525" s="12"/>
      <c r="S525" s="12"/>
      <c r="T525" s="12"/>
      <c r="U525" s="12"/>
      <c r="V525" s="12"/>
      <c r="W525" s="12"/>
      <c r="X525" s="12"/>
      <c r="Y525" s="12"/>
      <c r="Z525" s="12"/>
      <c r="AA525" s="12"/>
    </row>
    <row r="526" ht="13.5" customHeight="1">
      <c r="A526" s="17"/>
      <c r="B526" s="12"/>
      <c r="C526" s="12"/>
      <c r="D526" s="17"/>
      <c r="E526" s="12"/>
      <c r="F526" s="12"/>
      <c r="G526" s="17"/>
      <c r="H526" s="17"/>
      <c r="I526" s="12"/>
      <c r="J526" s="12"/>
      <c r="K526" s="12"/>
      <c r="L526" s="12"/>
      <c r="M526" s="12"/>
      <c r="N526" s="12"/>
      <c r="O526" s="12"/>
      <c r="P526" s="12"/>
      <c r="Q526" s="12"/>
      <c r="R526" s="12"/>
      <c r="S526" s="12"/>
      <c r="T526" s="12"/>
      <c r="U526" s="12"/>
      <c r="V526" s="12"/>
      <c r="W526" s="12"/>
      <c r="X526" s="12"/>
      <c r="Y526" s="12"/>
      <c r="Z526" s="12"/>
      <c r="AA526" s="12"/>
    </row>
    <row r="527" ht="13.5" customHeight="1">
      <c r="A527" s="17"/>
      <c r="B527" s="12"/>
      <c r="C527" s="12"/>
      <c r="D527" s="17"/>
      <c r="E527" s="12"/>
      <c r="F527" s="12"/>
      <c r="G527" s="17"/>
      <c r="H527" s="17"/>
      <c r="I527" s="12"/>
      <c r="J527" s="12"/>
      <c r="K527" s="12"/>
      <c r="L527" s="12"/>
      <c r="M527" s="12"/>
      <c r="N527" s="12"/>
      <c r="O527" s="12"/>
      <c r="P527" s="12"/>
      <c r="Q527" s="12"/>
      <c r="R527" s="12"/>
      <c r="S527" s="12"/>
      <c r="T527" s="12"/>
      <c r="U527" s="12"/>
      <c r="V527" s="12"/>
      <c r="W527" s="12"/>
      <c r="X527" s="12"/>
      <c r="Y527" s="12"/>
      <c r="Z527" s="12"/>
      <c r="AA527" s="12"/>
    </row>
    <row r="528" ht="13.5" customHeight="1">
      <c r="A528" s="17"/>
      <c r="B528" s="12"/>
      <c r="C528" s="12"/>
      <c r="D528" s="17"/>
      <c r="E528" s="12"/>
      <c r="F528" s="12"/>
      <c r="G528" s="17"/>
      <c r="H528" s="17"/>
      <c r="I528" s="12"/>
      <c r="J528" s="12"/>
      <c r="K528" s="12"/>
      <c r="L528" s="12"/>
      <c r="M528" s="12"/>
      <c r="N528" s="12"/>
      <c r="O528" s="12"/>
      <c r="P528" s="12"/>
      <c r="Q528" s="12"/>
      <c r="R528" s="12"/>
      <c r="S528" s="12"/>
      <c r="T528" s="12"/>
      <c r="U528" s="12"/>
      <c r="V528" s="12"/>
      <c r="W528" s="12"/>
      <c r="X528" s="12"/>
      <c r="Y528" s="12"/>
      <c r="Z528" s="12"/>
      <c r="AA528" s="12"/>
    </row>
    <row r="529" ht="13.5" customHeight="1">
      <c r="A529" s="17"/>
      <c r="B529" s="12"/>
      <c r="C529" s="12"/>
      <c r="D529" s="17"/>
      <c r="E529" s="12"/>
      <c r="F529" s="12"/>
      <c r="G529" s="17"/>
      <c r="H529" s="17"/>
      <c r="I529" s="12"/>
      <c r="J529" s="12"/>
      <c r="K529" s="12"/>
      <c r="L529" s="12"/>
      <c r="M529" s="12"/>
      <c r="N529" s="12"/>
      <c r="O529" s="12"/>
      <c r="P529" s="12"/>
      <c r="Q529" s="12"/>
      <c r="R529" s="12"/>
      <c r="S529" s="12"/>
      <c r="T529" s="12"/>
      <c r="U529" s="12"/>
      <c r="V529" s="12"/>
      <c r="W529" s="12"/>
      <c r="X529" s="12"/>
      <c r="Y529" s="12"/>
      <c r="Z529" s="12"/>
      <c r="AA529" s="12"/>
    </row>
    <row r="530" ht="13.5" customHeight="1">
      <c r="A530" s="17"/>
      <c r="B530" s="12"/>
      <c r="C530" s="12"/>
      <c r="D530" s="17"/>
      <c r="E530" s="12"/>
      <c r="F530" s="12"/>
      <c r="G530" s="17"/>
      <c r="H530" s="17"/>
      <c r="I530" s="12"/>
      <c r="J530" s="12"/>
      <c r="K530" s="12"/>
      <c r="L530" s="12"/>
      <c r="M530" s="12"/>
      <c r="N530" s="12"/>
      <c r="O530" s="12"/>
      <c r="P530" s="12"/>
      <c r="Q530" s="12"/>
      <c r="R530" s="12"/>
      <c r="S530" s="12"/>
      <c r="T530" s="12"/>
      <c r="U530" s="12"/>
      <c r="V530" s="12"/>
      <c r="W530" s="12"/>
      <c r="X530" s="12"/>
      <c r="Y530" s="12"/>
      <c r="Z530" s="12"/>
      <c r="AA530" s="12"/>
    </row>
    <row r="531" ht="13.5" customHeight="1">
      <c r="A531" s="17"/>
      <c r="B531" s="12"/>
      <c r="C531" s="12"/>
      <c r="D531" s="17"/>
      <c r="E531" s="12"/>
      <c r="F531" s="12"/>
      <c r="G531" s="17"/>
      <c r="H531" s="17"/>
      <c r="I531" s="12"/>
      <c r="J531" s="12"/>
      <c r="K531" s="12"/>
      <c r="L531" s="12"/>
      <c r="M531" s="12"/>
      <c r="N531" s="12"/>
      <c r="O531" s="12"/>
      <c r="P531" s="12"/>
      <c r="Q531" s="12"/>
      <c r="R531" s="12"/>
      <c r="S531" s="12"/>
      <c r="T531" s="12"/>
      <c r="U531" s="12"/>
      <c r="V531" s="12"/>
      <c r="W531" s="12"/>
      <c r="X531" s="12"/>
      <c r="Y531" s="12"/>
      <c r="Z531" s="12"/>
      <c r="AA531" s="12"/>
    </row>
    <row r="532" ht="13.5" customHeight="1">
      <c r="A532" s="17"/>
      <c r="B532" s="12"/>
      <c r="C532" s="12"/>
      <c r="D532" s="17"/>
      <c r="E532" s="12"/>
      <c r="F532" s="12"/>
      <c r="G532" s="17"/>
      <c r="H532" s="17"/>
      <c r="I532" s="12"/>
      <c r="J532" s="12"/>
      <c r="K532" s="12"/>
      <c r="L532" s="12"/>
      <c r="M532" s="12"/>
      <c r="N532" s="12"/>
      <c r="O532" s="12"/>
      <c r="P532" s="12"/>
      <c r="Q532" s="12"/>
      <c r="R532" s="12"/>
      <c r="S532" s="12"/>
      <c r="T532" s="12"/>
      <c r="U532" s="12"/>
      <c r="V532" s="12"/>
      <c r="W532" s="12"/>
      <c r="X532" s="12"/>
      <c r="Y532" s="12"/>
      <c r="Z532" s="12"/>
      <c r="AA532" s="12"/>
    </row>
    <row r="533" ht="13.5" customHeight="1">
      <c r="A533" s="17"/>
      <c r="B533" s="12"/>
      <c r="C533" s="12"/>
      <c r="D533" s="17"/>
      <c r="E533" s="12"/>
      <c r="F533" s="12"/>
      <c r="G533" s="17"/>
      <c r="H533" s="17"/>
      <c r="I533" s="12"/>
      <c r="J533" s="12"/>
      <c r="K533" s="12"/>
      <c r="L533" s="12"/>
      <c r="M533" s="12"/>
      <c r="N533" s="12"/>
      <c r="O533" s="12"/>
      <c r="P533" s="12"/>
      <c r="Q533" s="12"/>
      <c r="R533" s="12"/>
      <c r="S533" s="12"/>
      <c r="T533" s="12"/>
      <c r="U533" s="12"/>
      <c r="V533" s="12"/>
      <c r="W533" s="12"/>
      <c r="X533" s="12"/>
      <c r="Y533" s="12"/>
      <c r="Z533" s="12"/>
      <c r="AA533" s="12"/>
    </row>
    <row r="534" ht="13.5" customHeight="1">
      <c r="A534" s="17"/>
      <c r="B534" s="12"/>
      <c r="C534" s="12"/>
      <c r="D534" s="17"/>
      <c r="E534" s="12"/>
      <c r="F534" s="12"/>
      <c r="G534" s="17"/>
      <c r="H534" s="17"/>
      <c r="I534" s="12"/>
      <c r="J534" s="12"/>
      <c r="K534" s="12"/>
      <c r="L534" s="12"/>
      <c r="M534" s="12"/>
      <c r="N534" s="12"/>
      <c r="O534" s="12"/>
      <c r="P534" s="12"/>
      <c r="Q534" s="12"/>
      <c r="R534" s="12"/>
      <c r="S534" s="12"/>
      <c r="T534" s="12"/>
      <c r="U534" s="12"/>
      <c r="V534" s="12"/>
      <c r="W534" s="12"/>
      <c r="X534" s="12"/>
      <c r="Y534" s="12"/>
      <c r="Z534" s="12"/>
      <c r="AA534" s="12"/>
    </row>
    <row r="535" ht="13.5" customHeight="1">
      <c r="A535" s="17"/>
      <c r="B535" s="12"/>
      <c r="C535" s="12"/>
      <c r="D535" s="17"/>
      <c r="E535" s="12"/>
      <c r="F535" s="12"/>
      <c r="G535" s="17"/>
      <c r="H535" s="17"/>
      <c r="I535" s="12"/>
      <c r="J535" s="12"/>
      <c r="K535" s="12"/>
      <c r="L535" s="12"/>
      <c r="M535" s="12"/>
      <c r="N535" s="12"/>
      <c r="O535" s="12"/>
      <c r="P535" s="12"/>
      <c r="Q535" s="12"/>
      <c r="R535" s="12"/>
      <c r="S535" s="12"/>
      <c r="T535" s="12"/>
      <c r="U535" s="12"/>
      <c r="V535" s="12"/>
      <c r="W535" s="12"/>
      <c r="X535" s="12"/>
      <c r="Y535" s="12"/>
      <c r="Z535" s="12"/>
      <c r="AA535" s="12"/>
    </row>
    <row r="536" ht="13.5" customHeight="1">
      <c r="A536" s="17"/>
      <c r="B536" s="12"/>
      <c r="C536" s="12"/>
      <c r="D536" s="17"/>
      <c r="E536" s="12"/>
      <c r="F536" s="12"/>
      <c r="G536" s="17"/>
      <c r="H536" s="17"/>
      <c r="I536" s="12"/>
      <c r="J536" s="12"/>
      <c r="K536" s="12"/>
      <c r="L536" s="12"/>
      <c r="M536" s="12"/>
      <c r="N536" s="12"/>
      <c r="O536" s="12"/>
      <c r="P536" s="12"/>
      <c r="Q536" s="12"/>
      <c r="R536" s="12"/>
      <c r="S536" s="12"/>
      <c r="T536" s="12"/>
      <c r="U536" s="12"/>
      <c r="V536" s="12"/>
      <c r="W536" s="12"/>
      <c r="X536" s="12"/>
      <c r="Y536" s="12"/>
      <c r="Z536" s="12"/>
      <c r="AA536" s="12"/>
    </row>
    <row r="537" ht="13.5" customHeight="1">
      <c r="A537" s="17"/>
      <c r="B537" s="12"/>
      <c r="C537" s="12"/>
      <c r="D537" s="17"/>
      <c r="E537" s="12"/>
      <c r="F537" s="12"/>
      <c r="G537" s="17"/>
      <c r="H537" s="17"/>
      <c r="I537" s="12"/>
      <c r="J537" s="12"/>
      <c r="K537" s="12"/>
      <c r="L537" s="12"/>
      <c r="M537" s="12"/>
      <c r="N537" s="12"/>
      <c r="O537" s="12"/>
      <c r="P537" s="12"/>
      <c r="Q537" s="12"/>
      <c r="R537" s="12"/>
      <c r="S537" s="12"/>
      <c r="T537" s="12"/>
      <c r="U537" s="12"/>
      <c r="V537" s="12"/>
      <c r="W537" s="12"/>
      <c r="X537" s="12"/>
      <c r="Y537" s="12"/>
      <c r="Z537" s="12"/>
      <c r="AA537" s="12"/>
    </row>
    <row r="538" ht="13.5" customHeight="1">
      <c r="A538" s="17"/>
      <c r="B538" s="12"/>
      <c r="C538" s="12"/>
      <c r="D538" s="17"/>
      <c r="E538" s="12"/>
      <c r="F538" s="12"/>
      <c r="G538" s="17"/>
      <c r="H538" s="17"/>
      <c r="I538" s="12"/>
      <c r="J538" s="12"/>
      <c r="K538" s="12"/>
      <c r="L538" s="12"/>
      <c r="M538" s="12"/>
      <c r="N538" s="12"/>
      <c r="O538" s="12"/>
      <c r="P538" s="12"/>
      <c r="Q538" s="12"/>
      <c r="R538" s="12"/>
      <c r="S538" s="12"/>
      <c r="T538" s="12"/>
      <c r="U538" s="12"/>
      <c r="V538" s="12"/>
      <c r="W538" s="12"/>
      <c r="X538" s="12"/>
      <c r="Y538" s="12"/>
      <c r="Z538" s="12"/>
      <c r="AA538" s="12"/>
    </row>
    <row r="539" ht="13.5" customHeight="1">
      <c r="A539" s="17"/>
      <c r="B539" s="12"/>
      <c r="C539" s="12"/>
      <c r="D539" s="17"/>
      <c r="E539" s="12"/>
      <c r="F539" s="12"/>
      <c r="G539" s="17"/>
      <c r="H539" s="17"/>
      <c r="I539" s="12"/>
      <c r="J539" s="12"/>
      <c r="K539" s="12"/>
      <c r="L539" s="12"/>
      <c r="M539" s="12"/>
      <c r="N539" s="12"/>
      <c r="O539" s="12"/>
      <c r="P539" s="12"/>
      <c r="Q539" s="12"/>
      <c r="R539" s="12"/>
      <c r="S539" s="12"/>
      <c r="T539" s="12"/>
      <c r="U539" s="12"/>
      <c r="V539" s="12"/>
      <c r="W539" s="12"/>
      <c r="X539" s="12"/>
      <c r="Y539" s="12"/>
      <c r="Z539" s="12"/>
      <c r="AA539" s="12"/>
    </row>
    <row r="540" ht="13.5" customHeight="1">
      <c r="A540" s="17"/>
      <c r="B540" s="12"/>
      <c r="C540" s="12"/>
      <c r="D540" s="17"/>
      <c r="E540" s="12"/>
      <c r="F540" s="12"/>
      <c r="G540" s="17"/>
      <c r="H540" s="17"/>
      <c r="I540" s="12"/>
      <c r="J540" s="12"/>
      <c r="K540" s="12"/>
      <c r="L540" s="12"/>
      <c r="M540" s="12"/>
      <c r="N540" s="12"/>
      <c r="O540" s="12"/>
      <c r="P540" s="12"/>
      <c r="Q540" s="12"/>
      <c r="R540" s="12"/>
      <c r="S540" s="12"/>
      <c r="T540" s="12"/>
      <c r="U540" s="12"/>
      <c r="V540" s="12"/>
      <c r="W540" s="12"/>
      <c r="X540" s="12"/>
      <c r="Y540" s="12"/>
      <c r="Z540" s="12"/>
      <c r="AA540" s="12"/>
    </row>
    <row r="541" ht="13.5" customHeight="1">
      <c r="A541" s="17"/>
      <c r="B541" s="12"/>
      <c r="C541" s="12"/>
      <c r="D541" s="17"/>
      <c r="E541" s="12"/>
      <c r="F541" s="12"/>
      <c r="G541" s="17"/>
      <c r="H541" s="17"/>
      <c r="I541" s="12"/>
      <c r="J541" s="12"/>
      <c r="K541" s="12"/>
      <c r="L541" s="12"/>
      <c r="M541" s="12"/>
      <c r="N541" s="12"/>
      <c r="O541" s="12"/>
      <c r="P541" s="12"/>
      <c r="Q541" s="12"/>
      <c r="R541" s="12"/>
      <c r="S541" s="12"/>
      <c r="T541" s="12"/>
      <c r="U541" s="12"/>
      <c r="V541" s="12"/>
      <c r="W541" s="12"/>
      <c r="X541" s="12"/>
      <c r="Y541" s="12"/>
      <c r="Z541" s="12"/>
      <c r="AA541" s="12"/>
    </row>
    <row r="542" ht="13.5" customHeight="1">
      <c r="A542" s="17"/>
      <c r="B542" s="12"/>
      <c r="C542" s="12"/>
      <c r="D542" s="17"/>
      <c r="E542" s="12"/>
      <c r="F542" s="12"/>
      <c r="G542" s="17"/>
      <c r="H542" s="17"/>
      <c r="I542" s="12"/>
      <c r="J542" s="12"/>
      <c r="K542" s="12"/>
      <c r="L542" s="12"/>
      <c r="M542" s="12"/>
      <c r="N542" s="12"/>
      <c r="O542" s="12"/>
      <c r="P542" s="12"/>
      <c r="Q542" s="12"/>
      <c r="R542" s="12"/>
      <c r="S542" s="12"/>
      <c r="T542" s="12"/>
      <c r="U542" s="12"/>
      <c r="V542" s="12"/>
      <c r="W542" s="12"/>
      <c r="X542" s="12"/>
      <c r="Y542" s="12"/>
      <c r="Z542" s="12"/>
      <c r="AA542" s="12"/>
    </row>
    <row r="543" ht="13.5" customHeight="1">
      <c r="A543" s="17"/>
      <c r="B543" s="12"/>
      <c r="C543" s="12"/>
      <c r="D543" s="17"/>
      <c r="E543" s="12"/>
      <c r="F543" s="12"/>
      <c r="G543" s="17"/>
      <c r="H543" s="17"/>
      <c r="I543" s="12"/>
      <c r="J543" s="12"/>
      <c r="K543" s="12"/>
      <c r="L543" s="12"/>
      <c r="M543" s="12"/>
      <c r="N543" s="12"/>
      <c r="O543" s="12"/>
      <c r="P543" s="12"/>
      <c r="Q543" s="12"/>
      <c r="R543" s="12"/>
      <c r="S543" s="12"/>
      <c r="T543" s="12"/>
      <c r="U543" s="12"/>
      <c r="V543" s="12"/>
      <c r="W543" s="12"/>
      <c r="X543" s="12"/>
      <c r="Y543" s="12"/>
      <c r="Z543" s="12"/>
      <c r="AA543" s="12"/>
    </row>
    <row r="544" ht="13.5" customHeight="1">
      <c r="A544" s="17"/>
      <c r="B544" s="12"/>
      <c r="C544" s="12"/>
      <c r="D544" s="17"/>
      <c r="E544" s="12"/>
      <c r="F544" s="12"/>
      <c r="G544" s="17"/>
      <c r="H544" s="17"/>
      <c r="I544" s="12"/>
      <c r="J544" s="12"/>
      <c r="K544" s="12"/>
      <c r="L544" s="12"/>
      <c r="M544" s="12"/>
      <c r="N544" s="12"/>
      <c r="O544" s="12"/>
      <c r="P544" s="12"/>
      <c r="Q544" s="12"/>
      <c r="R544" s="12"/>
      <c r="S544" s="12"/>
      <c r="T544" s="12"/>
      <c r="U544" s="12"/>
      <c r="V544" s="12"/>
      <c r="W544" s="12"/>
      <c r="X544" s="12"/>
      <c r="Y544" s="12"/>
      <c r="Z544" s="12"/>
      <c r="AA544" s="12"/>
    </row>
    <row r="545" ht="13.5" customHeight="1">
      <c r="A545" s="17"/>
      <c r="B545" s="12"/>
      <c r="C545" s="12"/>
      <c r="D545" s="17"/>
      <c r="E545" s="12"/>
      <c r="F545" s="12"/>
      <c r="G545" s="17"/>
      <c r="H545" s="17"/>
      <c r="I545" s="12"/>
      <c r="J545" s="12"/>
      <c r="K545" s="12"/>
      <c r="L545" s="12"/>
      <c r="M545" s="12"/>
      <c r="N545" s="12"/>
      <c r="O545" s="12"/>
      <c r="P545" s="12"/>
      <c r="Q545" s="12"/>
      <c r="R545" s="12"/>
      <c r="S545" s="12"/>
      <c r="T545" s="12"/>
      <c r="U545" s="12"/>
      <c r="V545" s="12"/>
      <c r="W545" s="12"/>
      <c r="X545" s="12"/>
      <c r="Y545" s="12"/>
      <c r="Z545" s="12"/>
      <c r="AA545" s="12"/>
    </row>
    <row r="546" ht="13.5" customHeight="1">
      <c r="A546" s="17"/>
      <c r="B546" s="12"/>
      <c r="C546" s="12"/>
      <c r="D546" s="17"/>
      <c r="E546" s="12"/>
      <c r="F546" s="12"/>
      <c r="G546" s="17"/>
      <c r="H546" s="17"/>
      <c r="I546" s="12"/>
      <c r="J546" s="12"/>
      <c r="K546" s="12"/>
      <c r="L546" s="12"/>
      <c r="M546" s="12"/>
      <c r="N546" s="12"/>
      <c r="O546" s="12"/>
      <c r="P546" s="12"/>
      <c r="Q546" s="12"/>
      <c r="R546" s="12"/>
      <c r="S546" s="12"/>
      <c r="T546" s="12"/>
      <c r="U546" s="12"/>
      <c r="V546" s="12"/>
      <c r="W546" s="12"/>
      <c r="X546" s="12"/>
      <c r="Y546" s="12"/>
      <c r="Z546" s="12"/>
      <c r="AA546" s="12"/>
    </row>
    <row r="547" ht="13.5" customHeight="1">
      <c r="A547" s="17"/>
      <c r="B547" s="12"/>
      <c r="C547" s="12"/>
      <c r="D547" s="17"/>
      <c r="E547" s="12"/>
      <c r="F547" s="12"/>
      <c r="G547" s="17"/>
      <c r="H547" s="17"/>
      <c r="I547" s="12"/>
      <c r="J547" s="12"/>
      <c r="K547" s="12"/>
      <c r="L547" s="12"/>
      <c r="M547" s="12"/>
      <c r="N547" s="12"/>
      <c r="O547" s="12"/>
      <c r="P547" s="12"/>
      <c r="Q547" s="12"/>
      <c r="R547" s="12"/>
      <c r="S547" s="12"/>
      <c r="T547" s="12"/>
      <c r="U547" s="12"/>
      <c r="V547" s="12"/>
      <c r="W547" s="12"/>
      <c r="X547" s="12"/>
      <c r="Y547" s="12"/>
      <c r="Z547" s="12"/>
      <c r="AA547" s="12"/>
    </row>
    <row r="548" ht="13.5" customHeight="1">
      <c r="A548" s="17"/>
      <c r="B548" s="12"/>
      <c r="C548" s="12"/>
      <c r="D548" s="17"/>
      <c r="E548" s="12"/>
      <c r="F548" s="12"/>
      <c r="G548" s="17"/>
      <c r="H548" s="17"/>
      <c r="I548" s="12"/>
      <c r="J548" s="12"/>
      <c r="K548" s="12"/>
      <c r="L548" s="12"/>
      <c r="M548" s="12"/>
      <c r="N548" s="12"/>
      <c r="O548" s="12"/>
      <c r="P548" s="12"/>
      <c r="Q548" s="12"/>
      <c r="R548" s="12"/>
      <c r="S548" s="12"/>
      <c r="T548" s="12"/>
      <c r="U548" s="12"/>
      <c r="V548" s="12"/>
      <c r="W548" s="12"/>
      <c r="X548" s="12"/>
      <c r="Y548" s="12"/>
      <c r="Z548" s="12"/>
      <c r="AA548" s="12"/>
    </row>
    <row r="549" ht="13.5" customHeight="1">
      <c r="A549" s="17"/>
      <c r="B549" s="12"/>
      <c r="C549" s="12"/>
      <c r="D549" s="17"/>
      <c r="E549" s="12"/>
      <c r="F549" s="12"/>
      <c r="G549" s="17"/>
      <c r="H549" s="17"/>
      <c r="I549" s="12"/>
      <c r="J549" s="12"/>
      <c r="K549" s="12"/>
      <c r="L549" s="12"/>
      <c r="M549" s="12"/>
      <c r="N549" s="12"/>
      <c r="O549" s="12"/>
      <c r="P549" s="12"/>
      <c r="Q549" s="12"/>
      <c r="R549" s="12"/>
      <c r="S549" s="12"/>
      <c r="T549" s="12"/>
      <c r="U549" s="12"/>
      <c r="V549" s="12"/>
      <c r="W549" s="12"/>
      <c r="X549" s="12"/>
      <c r="Y549" s="12"/>
      <c r="Z549" s="12"/>
      <c r="AA549" s="12"/>
    </row>
    <row r="550" ht="13.5" customHeight="1">
      <c r="A550" s="17"/>
      <c r="B550" s="12"/>
      <c r="C550" s="12"/>
      <c r="D550" s="17"/>
      <c r="E550" s="12"/>
      <c r="F550" s="12"/>
      <c r="G550" s="17"/>
      <c r="H550" s="17"/>
      <c r="I550" s="12"/>
      <c r="J550" s="12"/>
      <c r="K550" s="12"/>
      <c r="L550" s="12"/>
      <c r="M550" s="12"/>
      <c r="N550" s="12"/>
      <c r="O550" s="12"/>
      <c r="P550" s="12"/>
      <c r="Q550" s="12"/>
      <c r="R550" s="12"/>
      <c r="S550" s="12"/>
      <c r="T550" s="12"/>
      <c r="U550" s="12"/>
      <c r="V550" s="12"/>
      <c r="W550" s="12"/>
      <c r="X550" s="12"/>
      <c r="Y550" s="12"/>
      <c r="Z550" s="12"/>
      <c r="AA550" s="12"/>
    </row>
    <row r="551" ht="13.5" customHeight="1">
      <c r="A551" s="17"/>
      <c r="B551" s="12"/>
      <c r="C551" s="12"/>
      <c r="D551" s="17"/>
      <c r="E551" s="12"/>
      <c r="F551" s="12"/>
      <c r="G551" s="17"/>
      <c r="H551" s="17"/>
      <c r="I551" s="12"/>
      <c r="J551" s="12"/>
      <c r="K551" s="12"/>
      <c r="L551" s="12"/>
      <c r="M551" s="12"/>
      <c r="N551" s="12"/>
      <c r="O551" s="12"/>
      <c r="P551" s="12"/>
      <c r="Q551" s="12"/>
      <c r="R551" s="12"/>
      <c r="S551" s="12"/>
      <c r="T551" s="12"/>
      <c r="U551" s="12"/>
      <c r="V551" s="12"/>
      <c r="W551" s="12"/>
      <c r="X551" s="12"/>
      <c r="Y551" s="12"/>
      <c r="Z551" s="12"/>
      <c r="AA551" s="12"/>
    </row>
    <row r="552" ht="13.5" customHeight="1">
      <c r="A552" s="17"/>
      <c r="B552" s="12"/>
      <c r="C552" s="12"/>
      <c r="D552" s="17"/>
      <c r="E552" s="12"/>
      <c r="F552" s="12"/>
      <c r="G552" s="17"/>
      <c r="H552" s="17"/>
      <c r="I552" s="12"/>
      <c r="J552" s="12"/>
      <c r="K552" s="12"/>
      <c r="L552" s="12"/>
      <c r="M552" s="12"/>
      <c r="N552" s="12"/>
      <c r="O552" s="12"/>
      <c r="P552" s="12"/>
      <c r="Q552" s="12"/>
      <c r="R552" s="12"/>
      <c r="S552" s="12"/>
      <c r="T552" s="12"/>
      <c r="U552" s="12"/>
      <c r="V552" s="12"/>
      <c r="W552" s="12"/>
      <c r="X552" s="12"/>
      <c r="Y552" s="12"/>
      <c r="Z552" s="12"/>
      <c r="AA552" s="12"/>
    </row>
    <row r="553" ht="13.5" customHeight="1">
      <c r="A553" s="17"/>
      <c r="B553" s="12"/>
      <c r="C553" s="12"/>
      <c r="D553" s="17"/>
      <c r="E553" s="12"/>
      <c r="F553" s="12"/>
      <c r="G553" s="17"/>
      <c r="H553" s="17"/>
      <c r="I553" s="12"/>
      <c r="J553" s="12"/>
      <c r="K553" s="12"/>
      <c r="L553" s="12"/>
      <c r="M553" s="12"/>
      <c r="N553" s="12"/>
      <c r="O553" s="12"/>
      <c r="P553" s="12"/>
      <c r="Q553" s="12"/>
      <c r="R553" s="12"/>
      <c r="S553" s="12"/>
      <c r="T553" s="12"/>
      <c r="U553" s="12"/>
      <c r="V553" s="12"/>
      <c r="W553" s="12"/>
      <c r="X553" s="12"/>
      <c r="Y553" s="12"/>
      <c r="Z553" s="12"/>
      <c r="AA553" s="12"/>
    </row>
    <row r="554" ht="13.5" customHeight="1">
      <c r="A554" s="17"/>
      <c r="B554" s="12"/>
      <c r="C554" s="12"/>
      <c r="D554" s="17"/>
      <c r="E554" s="12"/>
      <c r="F554" s="12"/>
      <c r="G554" s="17"/>
      <c r="H554" s="17"/>
      <c r="I554" s="12"/>
      <c r="J554" s="12"/>
      <c r="K554" s="12"/>
      <c r="L554" s="12"/>
      <c r="M554" s="12"/>
      <c r="N554" s="12"/>
      <c r="O554" s="12"/>
      <c r="P554" s="12"/>
      <c r="Q554" s="12"/>
      <c r="R554" s="12"/>
      <c r="S554" s="12"/>
      <c r="T554" s="12"/>
      <c r="U554" s="12"/>
      <c r="V554" s="12"/>
      <c r="W554" s="12"/>
      <c r="X554" s="12"/>
      <c r="Y554" s="12"/>
      <c r="Z554" s="12"/>
      <c r="AA554" s="12"/>
    </row>
    <row r="555" ht="13.5" customHeight="1">
      <c r="A555" s="17"/>
      <c r="B555" s="12"/>
      <c r="C555" s="12"/>
      <c r="D555" s="17"/>
      <c r="E555" s="12"/>
      <c r="F555" s="12"/>
      <c r="G555" s="17"/>
      <c r="H555" s="17"/>
      <c r="I555" s="12"/>
      <c r="J555" s="12"/>
      <c r="K555" s="12"/>
      <c r="L555" s="12"/>
      <c r="M555" s="12"/>
      <c r="N555" s="12"/>
      <c r="O555" s="12"/>
      <c r="P555" s="12"/>
      <c r="Q555" s="12"/>
      <c r="R555" s="12"/>
      <c r="S555" s="12"/>
      <c r="T555" s="12"/>
      <c r="U555" s="12"/>
      <c r="V555" s="12"/>
      <c r="W555" s="12"/>
      <c r="X555" s="12"/>
      <c r="Y555" s="12"/>
      <c r="Z555" s="12"/>
      <c r="AA555" s="12"/>
    </row>
    <row r="556" ht="13.5" customHeight="1">
      <c r="A556" s="17"/>
      <c r="B556" s="12"/>
      <c r="C556" s="12"/>
      <c r="D556" s="17"/>
      <c r="E556" s="12"/>
      <c r="F556" s="12"/>
      <c r="G556" s="17"/>
      <c r="H556" s="17"/>
      <c r="I556" s="12"/>
      <c r="J556" s="12"/>
      <c r="K556" s="12"/>
      <c r="L556" s="12"/>
      <c r="M556" s="12"/>
      <c r="N556" s="12"/>
      <c r="O556" s="12"/>
      <c r="P556" s="12"/>
      <c r="Q556" s="12"/>
      <c r="R556" s="12"/>
      <c r="S556" s="12"/>
      <c r="T556" s="12"/>
      <c r="U556" s="12"/>
      <c r="V556" s="12"/>
      <c r="W556" s="12"/>
      <c r="X556" s="12"/>
      <c r="Y556" s="12"/>
      <c r="Z556" s="12"/>
      <c r="AA556" s="12"/>
    </row>
    <row r="557" ht="13.5" customHeight="1">
      <c r="A557" s="17"/>
      <c r="B557" s="12"/>
      <c r="C557" s="12"/>
      <c r="D557" s="17"/>
      <c r="E557" s="12"/>
      <c r="F557" s="12"/>
      <c r="G557" s="17"/>
      <c r="H557" s="17"/>
      <c r="I557" s="12"/>
      <c r="J557" s="12"/>
      <c r="K557" s="12"/>
      <c r="L557" s="12"/>
      <c r="M557" s="12"/>
      <c r="N557" s="12"/>
      <c r="O557" s="12"/>
      <c r="P557" s="12"/>
      <c r="Q557" s="12"/>
      <c r="R557" s="12"/>
      <c r="S557" s="12"/>
      <c r="T557" s="12"/>
      <c r="U557" s="12"/>
      <c r="V557" s="12"/>
      <c r="W557" s="12"/>
      <c r="X557" s="12"/>
      <c r="Y557" s="12"/>
      <c r="Z557" s="12"/>
      <c r="AA557" s="12"/>
    </row>
    <row r="558" ht="13.5" customHeight="1">
      <c r="A558" s="17"/>
      <c r="B558" s="12"/>
      <c r="C558" s="12"/>
      <c r="D558" s="17"/>
      <c r="E558" s="12"/>
      <c r="F558" s="12"/>
      <c r="G558" s="17"/>
      <c r="H558" s="17"/>
      <c r="I558" s="12"/>
      <c r="J558" s="12"/>
      <c r="K558" s="12"/>
      <c r="L558" s="12"/>
      <c r="M558" s="12"/>
      <c r="N558" s="12"/>
      <c r="O558" s="12"/>
      <c r="P558" s="12"/>
      <c r="Q558" s="12"/>
      <c r="R558" s="12"/>
      <c r="S558" s="12"/>
      <c r="T558" s="12"/>
      <c r="U558" s="12"/>
      <c r="V558" s="12"/>
      <c r="W558" s="12"/>
      <c r="X558" s="12"/>
      <c r="Y558" s="12"/>
      <c r="Z558" s="12"/>
      <c r="AA558" s="12"/>
    </row>
    <row r="559" ht="13.5" customHeight="1">
      <c r="A559" s="17"/>
      <c r="B559" s="12"/>
      <c r="C559" s="12"/>
      <c r="D559" s="17"/>
      <c r="E559" s="12"/>
      <c r="F559" s="12"/>
      <c r="G559" s="17"/>
      <c r="H559" s="17"/>
      <c r="I559" s="12"/>
      <c r="J559" s="12"/>
      <c r="K559" s="12"/>
      <c r="L559" s="12"/>
      <c r="M559" s="12"/>
      <c r="N559" s="12"/>
      <c r="O559" s="12"/>
      <c r="P559" s="12"/>
      <c r="Q559" s="12"/>
      <c r="R559" s="12"/>
      <c r="S559" s="12"/>
      <c r="T559" s="12"/>
      <c r="U559" s="12"/>
      <c r="V559" s="12"/>
      <c r="W559" s="12"/>
      <c r="X559" s="12"/>
      <c r="Y559" s="12"/>
      <c r="Z559" s="12"/>
      <c r="AA559" s="12"/>
    </row>
    <row r="560" ht="13.5" customHeight="1">
      <c r="A560" s="17"/>
      <c r="B560" s="12"/>
      <c r="C560" s="12"/>
      <c r="D560" s="17"/>
      <c r="E560" s="12"/>
      <c r="F560" s="12"/>
      <c r="G560" s="17"/>
      <c r="H560" s="17"/>
      <c r="I560" s="12"/>
      <c r="J560" s="12"/>
      <c r="K560" s="12"/>
      <c r="L560" s="12"/>
      <c r="M560" s="12"/>
      <c r="N560" s="12"/>
      <c r="O560" s="12"/>
      <c r="P560" s="12"/>
      <c r="Q560" s="12"/>
      <c r="R560" s="12"/>
      <c r="S560" s="12"/>
      <c r="T560" s="12"/>
      <c r="U560" s="12"/>
      <c r="V560" s="12"/>
      <c r="W560" s="12"/>
      <c r="X560" s="12"/>
      <c r="Y560" s="12"/>
      <c r="Z560" s="12"/>
      <c r="AA560" s="12"/>
    </row>
    <row r="561" ht="13.5" customHeight="1">
      <c r="A561" s="17"/>
      <c r="B561" s="12"/>
      <c r="C561" s="12"/>
      <c r="D561" s="17"/>
      <c r="E561" s="12"/>
      <c r="F561" s="12"/>
      <c r="G561" s="17"/>
      <c r="H561" s="17"/>
      <c r="I561" s="12"/>
      <c r="J561" s="12"/>
      <c r="K561" s="12"/>
      <c r="L561" s="12"/>
      <c r="M561" s="12"/>
      <c r="N561" s="12"/>
      <c r="O561" s="12"/>
      <c r="P561" s="12"/>
      <c r="Q561" s="12"/>
      <c r="R561" s="12"/>
      <c r="S561" s="12"/>
      <c r="T561" s="12"/>
      <c r="U561" s="12"/>
      <c r="V561" s="12"/>
      <c r="W561" s="12"/>
      <c r="X561" s="12"/>
      <c r="Y561" s="12"/>
      <c r="Z561" s="12"/>
      <c r="AA561" s="12"/>
    </row>
    <row r="562" ht="13.5" customHeight="1">
      <c r="A562" s="17"/>
      <c r="B562" s="12"/>
      <c r="C562" s="12"/>
      <c r="D562" s="17"/>
      <c r="E562" s="12"/>
      <c r="F562" s="12"/>
      <c r="G562" s="17"/>
      <c r="H562" s="17"/>
      <c r="I562" s="12"/>
      <c r="J562" s="12"/>
      <c r="K562" s="12"/>
      <c r="L562" s="12"/>
      <c r="M562" s="12"/>
      <c r="N562" s="12"/>
      <c r="O562" s="12"/>
      <c r="P562" s="12"/>
      <c r="Q562" s="12"/>
      <c r="R562" s="12"/>
      <c r="S562" s="12"/>
      <c r="T562" s="12"/>
      <c r="U562" s="12"/>
      <c r="V562" s="12"/>
      <c r="W562" s="12"/>
      <c r="X562" s="12"/>
      <c r="Y562" s="12"/>
      <c r="Z562" s="12"/>
      <c r="AA562" s="12"/>
    </row>
    <row r="563" ht="13.5" customHeight="1">
      <c r="A563" s="17"/>
      <c r="B563" s="12"/>
      <c r="C563" s="12"/>
      <c r="D563" s="17"/>
      <c r="E563" s="12"/>
      <c r="F563" s="12"/>
      <c r="G563" s="17"/>
      <c r="H563" s="17"/>
      <c r="I563" s="12"/>
      <c r="J563" s="12"/>
      <c r="K563" s="12"/>
      <c r="L563" s="12"/>
      <c r="M563" s="12"/>
      <c r="N563" s="12"/>
      <c r="O563" s="12"/>
      <c r="P563" s="12"/>
      <c r="Q563" s="12"/>
      <c r="R563" s="12"/>
      <c r="S563" s="12"/>
      <c r="T563" s="12"/>
      <c r="U563" s="12"/>
      <c r="V563" s="12"/>
      <c r="W563" s="12"/>
      <c r="X563" s="12"/>
      <c r="Y563" s="12"/>
      <c r="Z563" s="12"/>
      <c r="AA563" s="12"/>
    </row>
    <row r="564" ht="13.5" customHeight="1">
      <c r="A564" s="17"/>
      <c r="B564" s="12"/>
      <c r="C564" s="12"/>
      <c r="D564" s="17"/>
      <c r="E564" s="12"/>
      <c r="F564" s="12"/>
      <c r="G564" s="17"/>
      <c r="H564" s="17"/>
      <c r="I564" s="12"/>
      <c r="J564" s="12"/>
      <c r="K564" s="12"/>
      <c r="L564" s="12"/>
      <c r="M564" s="12"/>
      <c r="N564" s="12"/>
      <c r="O564" s="12"/>
      <c r="P564" s="12"/>
      <c r="Q564" s="12"/>
      <c r="R564" s="12"/>
      <c r="S564" s="12"/>
      <c r="T564" s="12"/>
      <c r="U564" s="12"/>
      <c r="V564" s="12"/>
      <c r="W564" s="12"/>
      <c r="X564" s="12"/>
      <c r="Y564" s="12"/>
      <c r="Z564" s="12"/>
      <c r="AA564" s="12"/>
    </row>
    <row r="565" ht="13.5" customHeight="1">
      <c r="A565" s="17"/>
      <c r="B565" s="12"/>
      <c r="C565" s="12"/>
      <c r="D565" s="17"/>
      <c r="E565" s="12"/>
      <c r="F565" s="12"/>
      <c r="G565" s="17"/>
      <c r="H565" s="17"/>
      <c r="I565" s="12"/>
      <c r="J565" s="12"/>
      <c r="K565" s="12"/>
      <c r="L565" s="12"/>
      <c r="M565" s="12"/>
      <c r="N565" s="12"/>
      <c r="O565" s="12"/>
      <c r="P565" s="12"/>
      <c r="Q565" s="12"/>
      <c r="R565" s="12"/>
      <c r="S565" s="12"/>
      <c r="T565" s="12"/>
      <c r="U565" s="12"/>
      <c r="V565" s="12"/>
      <c r="W565" s="12"/>
      <c r="X565" s="12"/>
      <c r="Y565" s="12"/>
      <c r="Z565" s="12"/>
      <c r="AA565" s="12"/>
    </row>
    <row r="566" ht="13.5" customHeight="1">
      <c r="A566" s="17"/>
      <c r="B566" s="12"/>
      <c r="C566" s="12"/>
      <c r="D566" s="17"/>
      <c r="E566" s="12"/>
      <c r="F566" s="12"/>
      <c r="G566" s="17"/>
      <c r="H566" s="17"/>
      <c r="I566" s="12"/>
      <c r="J566" s="12"/>
      <c r="K566" s="12"/>
      <c r="L566" s="12"/>
      <c r="M566" s="12"/>
      <c r="N566" s="12"/>
      <c r="O566" s="12"/>
      <c r="P566" s="12"/>
      <c r="Q566" s="12"/>
      <c r="R566" s="12"/>
      <c r="S566" s="12"/>
      <c r="T566" s="12"/>
      <c r="U566" s="12"/>
      <c r="V566" s="12"/>
      <c r="W566" s="12"/>
      <c r="X566" s="12"/>
      <c r="Y566" s="12"/>
      <c r="Z566" s="12"/>
      <c r="AA566" s="12"/>
    </row>
    <row r="567" ht="13.5" customHeight="1">
      <c r="A567" s="17"/>
      <c r="B567" s="12"/>
      <c r="C567" s="12"/>
      <c r="D567" s="17"/>
      <c r="E567" s="12"/>
      <c r="F567" s="12"/>
      <c r="G567" s="17"/>
      <c r="H567" s="17"/>
      <c r="I567" s="12"/>
      <c r="J567" s="12"/>
      <c r="K567" s="12"/>
      <c r="L567" s="12"/>
      <c r="M567" s="12"/>
      <c r="N567" s="12"/>
      <c r="O567" s="12"/>
      <c r="P567" s="12"/>
      <c r="Q567" s="12"/>
      <c r="R567" s="12"/>
      <c r="S567" s="12"/>
      <c r="T567" s="12"/>
      <c r="U567" s="12"/>
      <c r="V567" s="12"/>
      <c r="W567" s="12"/>
      <c r="X567" s="12"/>
      <c r="Y567" s="12"/>
      <c r="Z567" s="12"/>
      <c r="AA567" s="12"/>
    </row>
    <row r="568" ht="13.5" customHeight="1">
      <c r="A568" s="17"/>
      <c r="B568" s="12"/>
      <c r="C568" s="12"/>
      <c r="D568" s="17"/>
      <c r="E568" s="12"/>
      <c r="F568" s="12"/>
      <c r="G568" s="17"/>
      <c r="H568" s="17"/>
      <c r="I568" s="12"/>
      <c r="J568" s="12"/>
      <c r="K568" s="12"/>
      <c r="L568" s="12"/>
      <c r="M568" s="12"/>
      <c r="N568" s="12"/>
      <c r="O568" s="12"/>
      <c r="P568" s="12"/>
      <c r="Q568" s="12"/>
      <c r="R568" s="12"/>
      <c r="S568" s="12"/>
      <c r="T568" s="12"/>
      <c r="U568" s="12"/>
      <c r="V568" s="12"/>
      <c r="W568" s="12"/>
      <c r="X568" s="12"/>
      <c r="Y568" s="12"/>
      <c r="Z568" s="12"/>
      <c r="AA568" s="12"/>
    </row>
    <row r="569" ht="13.5" customHeight="1">
      <c r="A569" s="17"/>
      <c r="B569" s="12"/>
      <c r="C569" s="12"/>
      <c r="D569" s="17"/>
      <c r="E569" s="12"/>
      <c r="F569" s="12"/>
      <c r="G569" s="17"/>
      <c r="H569" s="17"/>
      <c r="I569" s="12"/>
      <c r="J569" s="12"/>
      <c r="K569" s="12"/>
      <c r="L569" s="12"/>
      <c r="M569" s="12"/>
      <c r="N569" s="12"/>
      <c r="O569" s="12"/>
      <c r="P569" s="12"/>
      <c r="Q569" s="12"/>
      <c r="R569" s="12"/>
      <c r="S569" s="12"/>
      <c r="T569" s="12"/>
      <c r="U569" s="12"/>
      <c r="V569" s="12"/>
      <c r="W569" s="12"/>
      <c r="X569" s="12"/>
      <c r="Y569" s="12"/>
      <c r="Z569" s="12"/>
      <c r="AA569" s="12"/>
    </row>
    <row r="570" ht="13.5" customHeight="1">
      <c r="A570" s="17"/>
      <c r="B570" s="12"/>
      <c r="C570" s="12"/>
      <c r="D570" s="17"/>
      <c r="E570" s="12"/>
      <c r="F570" s="12"/>
      <c r="G570" s="17"/>
      <c r="H570" s="17"/>
      <c r="I570" s="12"/>
      <c r="J570" s="12"/>
      <c r="K570" s="12"/>
      <c r="L570" s="12"/>
      <c r="M570" s="12"/>
      <c r="N570" s="12"/>
      <c r="O570" s="12"/>
      <c r="P570" s="12"/>
      <c r="Q570" s="12"/>
      <c r="R570" s="12"/>
      <c r="S570" s="12"/>
      <c r="T570" s="12"/>
      <c r="U570" s="12"/>
      <c r="V570" s="12"/>
      <c r="W570" s="12"/>
      <c r="X570" s="12"/>
      <c r="Y570" s="12"/>
      <c r="Z570" s="12"/>
      <c r="AA570" s="12"/>
    </row>
    <row r="571" ht="13.5" customHeight="1">
      <c r="A571" s="17"/>
      <c r="B571" s="12"/>
      <c r="C571" s="12"/>
      <c r="D571" s="17"/>
      <c r="E571" s="12"/>
      <c r="F571" s="12"/>
      <c r="G571" s="17"/>
      <c r="H571" s="17"/>
      <c r="I571" s="12"/>
      <c r="J571" s="12"/>
      <c r="K571" s="12"/>
      <c r="L571" s="12"/>
      <c r="M571" s="12"/>
      <c r="N571" s="12"/>
      <c r="O571" s="12"/>
      <c r="P571" s="12"/>
      <c r="Q571" s="12"/>
      <c r="R571" s="12"/>
      <c r="S571" s="12"/>
      <c r="T571" s="12"/>
      <c r="U571" s="12"/>
      <c r="V571" s="12"/>
      <c r="W571" s="12"/>
      <c r="X571" s="12"/>
      <c r="Y571" s="12"/>
      <c r="Z571" s="12"/>
      <c r="AA571" s="12"/>
    </row>
    <row r="572" ht="13.5" customHeight="1">
      <c r="A572" s="17"/>
      <c r="B572" s="12"/>
      <c r="C572" s="12"/>
      <c r="D572" s="17"/>
      <c r="E572" s="12"/>
      <c r="F572" s="12"/>
      <c r="G572" s="17"/>
      <c r="H572" s="17"/>
      <c r="I572" s="12"/>
      <c r="J572" s="12"/>
      <c r="K572" s="12"/>
      <c r="L572" s="12"/>
      <c r="M572" s="12"/>
      <c r="N572" s="12"/>
      <c r="O572" s="12"/>
      <c r="P572" s="12"/>
      <c r="Q572" s="12"/>
      <c r="R572" s="12"/>
      <c r="S572" s="12"/>
      <c r="T572" s="12"/>
      <c r="U572" s="12"/>
      <c r="V572" s="12"/>
      <c r="W572" s="12"/>
      <c r="X572" s="12"/>
      <c r="Y572" s="12"/>
      <c r="Z572" s="12"/>
      <c r="AA572" s="12"/>
    </row>
    <row r="573" ht="13.5" customHeight="1">
      <c r="A573" s="17"/>
      <c r="B573" s="12"/>
      <c r="C573" s="12"/>
      <c r="D573" s="17"/>
      <c r="E573" s="12"/>
      <c r="F573" s="12"/>
      <c r="G573" s="17"/>
      <c r="H573" s="17"/>
      <c r="I573" s="12"/>
      <c r="J573" s="12"/>
      <c r="K573" s="12"/>
      <c r="L573" s="12"/>
      <c r="M573" s="12"/>
      <c r="N573" s="12"/>
      <c r="O573" s="12"/>
      <c r="P573" s="12"/>
      <c r="Q573" s="12"/>
      <c r="R573" s="12"/>
      <c r="S573" s="12"/>
      <c r="T573" s="12"/>
      <c r="U573" s="12"/>
      <c r="V573" s="12"/>
      <c r="W573" s="12"/>
      <c r="X573" s="12"/>
      <c r="Y573" s="12"/>
      <c r="Z573" s="12"/>
      <c r="AA573" s="12"/>
    </row>
    <row r="574" ht="13.5" customHeight="1">
      <c r="A574" s="17"/>
      <c r="B574" s="12"/>
      <c r="C574" s="12"/>
      <c r="D574" s="17"/>
      <c r="E574" s="12"/>
      <c r="F574" s="12"/>
      <c r="G574" s="17"/>
      <c r="H574" s="17"/>
      <c r="I574" s="12"/>
      <c r="J574" s="12"/>
      <c r="K574" s="12"/>
      <c r="L574" s="12"/>
      <c r="M574" s="12"/>
      <c r="N574" s="12"/>
      <c r="O574" s="12"/>
      <c r="P574" s="12"/>
      <c r="Q574" s="12"/>
      <c r="R574" s="12"/>
      <c r="S574" s="12"/>
      <c r="T574" s="12"/>
      <c r="U574" s="12"/>
      <c r="V574" s="12"/>
      <c r="W574" s="12"/>
      <c r="X574" s="12"/>
      <c r="Y574" s="12"/>
      <c r="Z574" s="12"/>
      <c r="AA574" s="12"/>
    </row>
    <row r="575" ht="13.5" customHeight="1">
      <c r="A575" s="17"/>
      <c r="B575" s="12"/>
      <c r="C575" s="12"/>
      <c r="D575" s="17"/>
      <c r="E575" s="12"/>
      <c r="F575" s="12"/>
      <c r="G575" s="17"/>
      <c r="H575" s="17"/>
      <c r="I575" s="12"/>
      <c r="J575" s="12"/>
      <c r="K575" s="12"/>
      <c r="L575" s="12"/>
      <c r="M575" s="12"/>
      <c r="N575" s="12"/>
      <c r="O575" s="12"/>
      <c r="P575" s="12"/>
      <c r="Q575" s="12"/>
      <c r="R575" s="12"/>
      <c r="S575" s="12"/>
      <c r="T575" s="12"/>
      <c r="U575" s="12"/>
      <c r="V575" s="12"/>
      <c r="W575" s="12"/>
      <c r="X575" s="12"/>
      <c r="Y575" s="12"/>
      <c r="Z575" s="12"/>
      <c r="AA575" s="12"/>
    </row>
    <row r="576" ht="13.5" customHeight="1">
      <c r="A576" s="17"/>
      <c r="B576" s="12"/>
      <c r="C576" s="12"/>
      <c r="D576" s="17"/>
      <c r="E576" s="12"/>
      <c r="F576" s="12"/>
      <c r="G576" s="17"/>
      <c r="H576" s="17"/>
      <c r="I576" s="12"/>
      <c r="J576" s="12"/>
      <c r="K576" s="12"/>
      <c r="L576" s="12"/>
      <c r="M576" s="12"/>
      <c r="N576" s="12"/>
      <c r="O576" s="12"/>
      <c r="P576" s="12"/>
      <c r="Q576" s="12"/>
      <c r="R576" s="12"/>
      <c r="S576" s="12"/>
      <c r="T576" s="12"/>
      <c r="U576" s="12"/>
      <c r="V576" s="12"/>
      <c r="W576" s="12"/>
      <c r="X576" s="12"/>
      <c r="Y576" s="12"/>
      <c r="Z576" s="12"/>
      <c r="AA576" s="12"/>
    </row>
    <row r="577" ht="13.5" customHeight="1">
      <c r="A577" s="17"/>
      <c r="B577" s="12"/>
      <c r="C577" s="12"/>
      <c r="D577" s="17"/>
      <c r="E577" s="12"/>
      <c r="F577" s="12"/>
      <c r="G577" s="17"/>
      <c r="H577" s="17"/>
      <c r="I577" s="12"/>
      <c r="J577" s="12"/>
      <c r="K577" s="12"/>
      <c r="L577" s="12"/>
      <c r="M577" s="12"/>
      <c r="N577" s="12"/>
      <c r="O577" s="12"/>
      <c r="P577" s="12"/>
      <c r="Q577" s="12"/>
      <c r="R577" s="12"/>
      <c r="S577" s="12"/>
      <c r="T577" s="12"/>
      <c r="U577" s="12"/>
      <c r="V577" s="12"/>
      <c r="W577" s="12"/>
      <c r="X577" s="12"/>
      <c r="Y577" s="12"/>
      <c r="Z577" s="12"/>
      <c r="AA577" s="12"/>
    </row>
    <row r="578" ht="13.5" customHeight="1">
      <c r="A578" s="17"/>
      <c r="B578" s="12"/>
      <c r="C578" s="12"/>
      <c r="D578" s="17"/>
      <c r="E578" s="12"/>
      <c r="F578" s="12"/>
      <c r="G578" s="17"/>
      <c r="H578" s="17"/>
      <c r="I578" s="12"/>
      <c r="J578" s="12"/>
      <c r="K578" s="12"/>
      <c r="L578" s="12"/>
      <c r="M578" s="12"/>
      <c r="N578" s="12"/>
      <c r="O578" s="12"/>
      <c r="P578" s="12"/>
      <c r="Q578" s="12"/>
      <c r="R578" s="12"/>
      <c r="S578" s="12"/>
      <c r="T578" s="12"/>
      <c r="U578" s="12"/>
      <c r="V578" s="12"/>
      <c r="W578" s="12"/>
      <c r="X578" s="12"/>
      <c r="Y578" s="12"/>
      <c r="Z578" s="12"/>
      <c r="AA578" s="12"/>
    </row>
    <row r="579" ht="13.5" customHeight="1">
      <c r="A579" s="17"/>
      <c r="B579" s="12"/>
      <c r="C579" s="12"/>
      <c r="D579" s="17"/>
      <c r="E579" s="12"/>
      <c r="F579" s="12"/>
      <c r="G579" s="17"/>
      <c r="H579" s="17"/>
      <c r="I579" s="12"/>
      <c r="J579" s="12"/>
      <c r="K579" s="12"/>
      <c r="L579" s="12"/>
      <c r="M579" s="12"/>
      <c r="N579" s="12"/>
      <c r="O579" s="12"/>
      <c r="P579" s="12"/>
      <c r="Q579" s="12"/>
      <c r="R579" s="12"/>
      <c r="S579" s="12"/>
      <c r="T579" s="12"/>
      <c r="U579" s="12"/>
      <c r="V579" s="12"/>
      <c r="W579" s="12"/>
      <c r="X579" s="12"/>
      <c r="Y579" s="12"/>
      <c r="Z579" s="12"/>
      <c r="AA579" s="12"/>
    </row>
    <row r="580" ht="13.5" customHeight="1">
      <c r="A580" s="17"/>
      <c r="B580" s="12"/>
      <c r="C580" s="12"/>
      <c r="D580" s="17"/>
      <c r="E580" s="12"/>
      <c r="F580" s="12"/>
      <c r="G580" s="17"/>
      <c r="H580" s="17"/>
      <c r="I580" s="12"/>
      <c r="J580" s="12"/>
      <c r="K580" s="12"/>
      <c r="L580" s="12"/>
      <c r="M580" s="12"/>
      <c r="N580" s="12"/>
      <c r="O580" s="12"/>
      <c r="P580" s="12"/>
      <c r="Q580" s="12"/>
      <c r="R580" s="12"/>
      <c r="S580" s="12"/>
      <c r="T580" s="12"/>
      <c r="U580" s="12"/>
      <c r="V580" s="12"/>
      <c r="W580" s="12"/>
      <c r="X580" s="12"/>
      <c r="Y580" s="12"/>
      <c r="Z580" s="12"/>
      <c r="AA580" s="12"/>
    </row>
    <row r="581" ht="13.5" customHeight="1">
      <c r="A581" s="17"/>
      <c r="B581" s="12"/>
      <c r="C581" s="12"/>
      <c r="D581" s="17"/>
      <c r="E581" s="12"/>
      <c r="F581" s="12"/>
      <c r="G581" s="17"/>
      <c r="H581" s="17"/>
      <c r="I581" s="12"/>
      <c r="J581" s="12"/>
      <c r="K581" s="12"/>
      <c r="L581" s="12"/>
      <c r="M581" s="12"/>
      <c r="N581" s="12"/>
      <c r="O581" s="12"/>
      <c r="P581" s="12"/>
      <c r="Q581" s="12"/>
      <c r="R581" s="12"/>
      <c r="S581" s="12"/>
      <c r="T581" s="12"/>
      <c r="U581" s="12"/>
      <c r="V581" s="12"/>
      <c r="W581" s="12"/>
      <c r="X581" s="12"/>
      <c r="Y581" s="12"/>
      <c r="Z581" s="12"/>
      <c r="AA581" s="12"/>
    </row>
    <row r="582" ht="13.5" customHeight="1">
      <c r="A582" s="17"/>
      <c r="B582" s="12"/>
      <c r="C582" s="12"/>
      <c r="D582" s="17"/>
      <c r="E582" s="12"/>
      <c r="F582" s="12"/>
      <c r="G582" s="17"/>
      <c r="H582" s="17"/>
      <c r="I582" s="12"/>
      <c r="J582" s="12"/>
      <c r="K582" s="12"/>
      <c r="L582" s="12"/>
      <c r="M582" s="12"/>
      <c r="N582" s="12"/>
      <c r="O582" s="12"/>
      <c r="P582" s="12"/>
      <c r="Q582" s="12"/>
      <c r="R582" s="12"/>
      <c r="S582" s="12"/>
      <c r="T582" s="12"/>
      <c r="U582" s="12"/>
      <c r="V582" s="12"/>
      <c r="W582" s="12"/>
      <c r="X582" s="12"/>
      <c r="Y582" s="12"/>
      <c r="Z582" s="12"/>
      <c r="AA582" s="12"/>
    </row>
    <row r="583" ht="13.5" customHeight="1">
      <c r="A583" s="17"/>
      <c r="B583" s="12"/>
      <c r="C583" s="12"/>
      <c r="D583" s="17"/>
      <c r="E583" s="12"/>
      <c r="F583" s="12"/>
      <c r="G583" s="17"/>
      <c r="H583" s="17"/>
      <c r="I583" s="12"/>
      <c r="J583" s="12"/>
      <c r="K583" s="12"/>
      <c r="L583" s="12"/>
      <c r="M583" s="12"/>
      <c r="N583" s="12"/>
      <c r="O583" s="12"/>
      <c r="P583" s="12"/>
      <c r="Q583" s="12"/>
      <c r="R583" s="12"/>
      <c r="S583" s="12"/>
      <c r="T583" s="12"/>
      <c r="U583" s="12"/>
      <c r="V583" s="12"/>
      <c r="W583" s="12"/>
      <c r="X583" s="12"/>
      <c r="Y583" s="12"/>
      <c r="Z583" s="12"/>
      <c r="AA583" s="12"/>
    </row>
    <row r="584" ht="13.5" customHeight="1">
      <c r="A584" s="17"/>
      <c r="B584" s="12"/>
      <c r="C584" s="12"/>
      <c r="D584" s="17"/>
      <c r="E584" s="12"/>
      <c r="F584" s="12"/>
      <c r="G584" s="17"/>
      <c r="H584" s="17"/>
      <c r="I584" s="12"/>
      <c r="J584" s="12"/>
      <c r="K584" s="12"/>
      <c r="L584" s="12"/>
      <c r="M584" s="12"/>
      <c r="N584" s="12"/>
      <c r="O584" s="12"/>
      <c r="P584" s="12"/>
      <c r="Q584" s="12"/>
      <c r="R584" s="12"/>
      <c r="S584" s="12"/>
      <c r="T584" s="12"/>
      <c r="U584" s="12"/>
      <c r="V584" s="12"/>
      <c r="W584" s="12"/>
      <c r="X584" s="12"/>
      <c r="Y584" s="12"/>
      <c r="Z584" s="12"/>
      <c r="AA584" s="12"/>
    </row>
    <row r="585" ht="13.5" customHeight="1">
      <c r="A585" s="17"/>
      <c r="B585" s="12"/>
      <c r="C585" s="12"/>
      <c r="D585" s="17"/>
      <c r="E585" s="12"/>
      <c r="F585" s="12"/>
      <c r="G585" s="17"/>
      <c r="H585" s="17"/>
      <c r="I585" s="12"/>
      <c r="J585" s="12"/>
      <c r="K585" s="12"/>
      <c r="L585" s="12"/>
      <c r="M585" s="12"/>
      <c r="N585" s="12"/>
      <c r="O585" s="12"/>
      <c r="P585" s="12"/>
      <c r="Q585" s="12"/>
      <c r="R585" s="12"/>
      <c r="S585" s="12"/>
      <c r="T585" s="12"/>
      <c r="U585" s="12"/>
      <c r="V585" s="12"/>
      <c r="W585" s="12"/>
      <c r="X585" s="12"/>
      <c r="Y585" s="12"/>
      <c r="Z585" s="12"/>
      <c r="AA585" s="12"/>
    </row>
    <row r="586" ht="13.5" customHeight="1">
      <c r="A586" s="17"/>
      <c r="B586" s="12"/>
      <c r="C586" s="12"/>
      <c r="D586" s="17"/>
      <c r="E586" s="12"/>
      <c r="F586" s="12"/>
      <c r="G586" s="17"/>
      <c r="H586" s="17"/>
      <c r="I586" s="12"/>
      <c r="J586" s="12"/>
      <c r="K586" s="12"/>
      <c r="L586" s="12"/>
      <c r="M586" s="12"/>
      <c r="N586" s="12"/>
      <c r="O586" s="12"/>
      <c r="P586" s="12"/>
      <c r="Q586" s="12"/>
      <c r="R586" s="12"/>
      <c r="S586" s="12"/>
      <c r="T586" s="12"/>
      <c r="U586" s="12"/>
      <c r="V586" s="12"/>
      <c r="W586" s="12"/>
      <c r="X586" s="12"/>
      <c r="Y586" s="12"/>
      <c r="Z586" s="12"/>
      <c r="AA586" s="12"/>
    </row>
    <row r="587" ht="13.5" customHeight="1">
      <c r="A587" s="17"/>
      <c r="B587" s="12"/>
      <c r="C587" s="12"/>
      <c r="D587" s="17"/>
      <c r="E587" s="12"/>
      <c r="F587" s="12"/>
      <c r="G587" s="17"/>
      <c r="H587" s="17"/>
      <c r="I587" s="12"/>
      <c r="J587" s="12"/>
      <c r="K587" s="12"/>
      <c r="L587" s="12"/>
      <c r="M587" s="12"/>
      <c r="N587" s="12"/>
      <c r="O587" s="12"/>
      <c r="P587" s="12"/>
      <c r="Q587" s="12"/>
      <c r="R587" s="12"/>
      <c r="S587" s="12"/>
      <c r="T587" s="12"/>
      <c r="U587" s="12"/>
      <c r="V587" s="12"/>
      <c r="W587" s="12"/>
      <c r="X587" s="12"/>
      <c r="Y587" s="12"/>
      <c r="Z587" s="12"/>
      <c r="AA587" s="12"/>
    </row>
    <row r="588" ht="13.5" customHeight="1">
      <c r="A588" s="17"/>
      <c r="B588" s="12"/>
      <c r="C588" s="12"/>
      <c r="D588" s="17"/>
      <c r="E588" s="12"/>
      <c r="F588" s="12"/>
      <c r="G588" s="17"/>
      <c r="H588" s="17"/>
      <c r="I588" s="12"/>
      <c r="J588" s="12"/>
      <c r="K588" s="12"/>
      <c r="L588" s="12"/>
      <c r="M588" s="12"/>
      <c r="N588" s="12"/>
      <c r="O588" s="12"/>
      <c r="P588" s="12"/>
      <c r="Q588" s="12"/>
      <c r="R588" s="12"/>
      <c r="S588" s="12"/>
      <c r="T588" s="12"/>
      <c r="U588" s="12"/>
      <c r="V588" s="12"/>
      <c r="W588" s="12"/>
      <c r="X588" s="12"/>
      <c r="Y588" s="12"/>
      <c r="Z588" s="12"/>
      <c r="AA588" s="12"/>
    </row>
    <row r="589" ht="13.5" customHeight="1">
      <c r="A589" s="17"/>
      <c r="B589" s="12"/>
      <c r="C589" s="12"/>
      <c r="D589" s="17"/>
      <c r="E589" s="12"/>
      <c r="F589" s="12"/>
      <c r="G589" s="17"/>
      <c r="H589" s="17"/>
      <c r="I589" s="12"/>
      <c r="J589" s="12"/>
      <c r="K589" s="12"/>
      <c r="L589" s="12"/>
      <c r="M589" s="12"/>
      <c r="N589" s="12"/>
      <c r="O589" s="12"/>
      <c r="P589" s="12"/>
      <c r="Q589" s="12"/>
      <c r="R589" s="12"/>
      <c r="S589" s="12"/>
      <c r="T589" s="12"/>
      <c r="U589" s="12"/>
      <c r="V589" s="12"/>
      <c r="W589" s="12"/>
      <c r="X589" s="12"/>
      <c r="Y589" s="12"/>
      <c r="Z589" s="12"/>
      <c r="AA589" s="12"/>
    </row>
    <row r="590" ht="13.5" customHeight="1">
      <c r="A590" s="17"/>
      <c r="B590" s="12"/>
      <c r="C590" s="12"/>
      <c r="D590" s="17"/>
      <c r="E590" s="12"/>
      <c r="F590" s="12"/>
      <c r="G590" s="17"/>
      <c r="H590" s="17"/>
      <c r="I590" s="12"/>
      <c r="J590" s="12"/>
      <c r="K590" s="12"/>
      <c r="L590" s="12"/>
      <c r="M590" s="12"/>
      <c r="N590" s="12"/>
      <c r="O590" s="12"/>
      <c r="P590" s="12"/>
      <c r="Q590" s="12"/>
      <c r="R590" s="12"/>
      <c r="S590" s="12"/>
      <c r="T590" s="12"/>
      <c r="U590" s="12"/>
      <c r="V590" s="12"/>
      <c r="W590" s="12"/>
      <c r="X590" s="12"/>
      <c r="Y590" s="12"/>
      <c r="Z590" s="12"/>
      <c r="AA590" s="12"/>
    </row>
    <row r="591" ht="13.5" customHeight="1">
      <c r="A591" s="17"/>
      <c r="B591" s="12"/>
      <c r="C591" s="12"/>
      <c r="D591" s="17"/>
      <c r="E591" s="12"/>
      <c r="F591" s="12"/>
      <c r="G591" s="17"/>
      <c r="H591" s="17"/>
      <c r="I591" s="12"/>
      <c r="J591" s="12"/>
      <c r="K591" s="12"/>
      <c r="L591" s="12"/>
      <c r="M591" s="12"/>
      <c r="N591" s="12"/>
      <c r="O591" s="12"/>
      <c r="P591" s="12"/>
      <c r="Q591" s="12"/>
      <c r="R591" s="12"/>
      <c r="S591" s="12"/>
      <c r="T591" s="12"/>
      <c r="U591" s="12"/>
      <c r="V591" s="12"/>
      <c r="W591" s="12"/>
      <c r="X591" s="12"/>
      <c r="Y591" s="12"/>
      <c r="Z591" s="12"/>
      <c r="AA591" s="12"/>
    </row>
    <row r="592" ht="13.5" customHeight="1">
      <c r="A592" s="17"/>
      <c r="B592" s="12"/>
      <c r="C592" s="12"/>
      <c r="D592" s="17"/>
      <c r="E592" s="12"/>
      <c r="F592" s="12"/>
      <c r="G592" s="17"/>
      <c r="H592" s="17"/>
      <c r="I592" s="12"/>
      <c r="J592" s="12"/>
      <c r="K592" s="12"/>
      <c r="L592" s="12"/>
      <c r="M592" s="12"/>
      <c r="N592" s="12"/>
      <c r="O592" s="12"/>
      <c r="P592" s="12"/>
      <c r="Q592" s="12"/>
      <c r="R592" s="12"/>
      <c r="S592" s="12"/>
      <c r="T592" s="12"/>
      <c r="U592" s="12"/>
      <c r="V592" s="12"/>
      <c r="W592" s="12"/>
      <c r="X592" s="12"/>
      <c r="Y592" s="12"/>
      <c r="Z592" s="12"/>
      <c r="AA592" s="12"/>
    </row>
    <row r="593" ht="13.5" customHeight="1">
      <c r="A593" s="17"/>
      <c r="B593" s="12"/>
      <c r="C593" s="12"/>
      <c r="D593" s="17"/>
      <c r="E593" s="12"/>
      <c r="F593" s="12"/>
      <c r="G593" s="17"/>
      <c r="H593" s="17"/>
      <c r="I593" s="12"/>
      <c r="J593" s="12"/>
      <c r="K593" s="12"/>
      <c r="L593" s="12"/>
      <c r="M593" s="12"/>
      <c r="N593" s="12"/>
      <c r="O593" s="12"/>
      <c r="P593" s="12"/>
      <c r="Q593" s="12"/>
      <c r="R593" s="12"/>
      <c r="S593" s="12"/>
      <c r="T593" s="12"/>
      <c r="U593" s="12"/>
      <c r="V593" s="12"/>
      <c r="W593" s="12"/>
      <c r="X593" s="12"/>
      <c r="Y593" s="12"/>
      <c r="Z593" s="12"/>
      <c r="AA593" s="12"/>
    </row>
    <row r="594" ht="13.5" customHeight="1">
      <c r="A594" s="17"/>
      <c r="B594" s="12"/>
      <c r="C594" s="12"/>
      <c r="D594" s="17"/>
      <c r="E594" s="12"/>
      <c r="F594" s="12"/>
      <c r="G594" s="17"/>
      <c r="H594" s="17"/>
      <c r="I594" s="12"/>
      <c r="J594" s="12"/>
      <c r="K594" s="12"/>
      <c r="L594" s="12"/>
      <c r="M594" s="12"/>
      <c r="N594" s="12"/>
      <c r="O594" s="12"/>
      <c r="P594" s="12"/>
      <c r="Q594" s="12"/>
      <c r="R594" s="12"/>
      <c r="S594" s="12"/>
      <c r="T594" s="12"/>
      <c r="U594" s="12"/>
      <c r="V594" s="12"/>
      <c r="W594" s="12"/>
      <c r="X594" s="12"/>
      <c r="Y594" s="12"/>
      <c r="Z594" s="12"/>
      <c r="AA594" s="12"/>
    </row>
    <row r="595" ht="13.5" customHeight="1">
      <c r="A595" s="17"/>
      <c r="B595" s="12"/>
      <c r="C595" s="12"/>
      <c r="D595" s="17"/>
      <c r="E595" s="12"/>
      <c r="F595" s="12"/>
      <c r="G595" s="17"/>
      <c r="H595" s="17"/>
      <c r="I595" s="12"/>
      <c r="J595" s="12"/>
      <c r="K595" s="12"/>
      <c r="L595" s="12"/>
      <c r="M595" s="12"/>
      <c r="N595" s="12"/>
      <c r="O595" s="12"/>
      <c r="P595" s="12"/>
      <c r="Q595" s="12"/>
      <c r="R595" s="12"/>
      <c r="S595" s="12"/>
      <c r="T595" s="12"/>
      <c r="U595" s="12"/>
      <c r="V595" s="12"/>
      <c r="W595" s="12"/>
      <c r="X595" s="12"/>
      <c r="Y595" s="12"/>
      <c r="Z595" s="12"/>
      <c r="AA595" s="12"/>
    </row>
    <row r="596" ht="13.5" customHeight="1">
      <c r="A596" s="17"/>
      <c r="B596" s="12"/>
      <c r="C596" s="12"/>
      <c r="D596" s="17"/>
      <c r="E596" s="12"/>
      <c r="F596" s="12"/>
      <c r="G596" s="17"/>
      <c r="H596" s="17"/>
      <c r="I596" s="12"/>
      <c r="J596" s="12"/>
      <c r="K596" s="12"/>
      <c r="L596" s="12"/>
      <c r="M596" s="12"/>
      <c r="N596" s="12"/>
      <c r="O596" s="12"/>
      <c r="P596" s="12"/>
      <c r="Q596" s="12"/>
      <c r="R596" s="12"/>
      <c r="S596" s="12"/>
      <c r="T596" s="12"/>
      <c r="U596" s="12"/>
      <c r="V596" s="12"/>
      <c r="W596" s="12"/>
      <c r="X596" s="12"/>
      <c r="Y596" s="12"/>
      <c r="Z596" s="12"/>
      <c r="AA596" s="12"/>
    </row>
    <row r="597" ht="13.5" customHeight="1">
      <c r="A597" s="17"/>
      <c r="B597" s="12"/>
      <c r="C597" s="12"/>
      <c r="D597" s="17"/>
      <c r="E597" s="12"/>
      <c r="F597" s="12"/>
      <c r="G597" s="17"/>
      <c r="H597" s="17"/>
      <c r="I597" s="12"/>
      <c r="J597" s="12"/>
      <c r="K597" s="12"/>
      <c r="L597" s="12"/>
      <c r="M597" s="12"/>
      <c r="N597" s="12"/>
      <c r="O597" s="12"/>
      <c r="P597" s="12"/>
      <c r="Q597" s="12"/>
      <c r="R597" s="12"/>
      <c r="S597" s="12"/>
      <c r="T597" s="12"/>
      <c r="U597" s="12"/>
      <c r="V597" s="12"/>
      <c r="W597" s="12"/>
      <c r="X597" s="12"/>
      <c r="Y597" s="12"/>
      <c r="Z597" s="12"/>
      <c r="AA597" s="12"/>
    </row>
    <row r="598" ht="13.5" customHeight="1">
      <c r="A598" s="17"/>
      <c r="B598" s="12"/>
      <c r="C598" s="12"/>
      <c r="D598" s="17"/>
      <c r="E598" s="12"/>
      <c r="F598" s="12"/>
      <c r="G598" s="17"/>
      <c r="H598" s="17"/>
      <c r="I598" s="12"/>
      <c r="J598" s="12"/>
      <c r="K598" s="12"/>
      <c r="L598" s="12"/>
      <c r="M598" s="12"/>
      <c r="N598" s="12"/>
      <c r="O598" s="12"/>
      <c r="P598" s="12"/>
      <c r="Q598" s="12"/>
      <c r="R598" s="12"/>
      <c r="S598" s="12"/>
      <c r="T598" s="12"/>
      <c r="U598" s="12"/>
      <c r="V598" s="12"/>
      <c r="W598" s="12"/>
      <c r="X598" s="12"/>
      <c r="Y598" s="12"/>
      <c r="Z598" s="12"/>
      <c r="AA598" s="12"/>
    </row>
    <row r="599" ht="13.5" customHeight="1">
      <c r="A599" s="17"/>
      <c r="B599" s="12"/>
      <c r="C599" s="12"/>
      <c r="D599" s="17"/>
      <c r="E599" s="12"/>
      <c r="F599" s="12"/>
      <c r="G599" s="17"/>
      <c r="H599" s="17"/>
      <c r="I599" s="12"/>
      <c r="J599" s="12"/>
      <c r="K599" s="12"/>
      <c r="L599" s="12"/>
      <c r="M599" s="12"/>
      <c r="N599" s="12"/>
      <c r="O599" s="12"/>
      <c r="P599" s="12"/>
      <c r="Q599" s="12"/>
      <c r="R599" s="12"/>
      <c r="S599" s="12"/>
      <c r="T599" s="12"/>
      <c r="U599" s="12"/>
      <c r="V599" s="12"/>
      <c r="W599" s="12"/>
      <c r="X599" s="12"/>
      <c r="Y599" s="12"/>
      <c r="Z599" s="12"/>
      <c r="AA599" s="12"/>
    </row>
    <row r="600" ht="13.5" customHeight="1">
      <c r="A600" s="17"/>
      <c r="B600" s="12"/>
      <c r="C600" s="12"/>
      <c r="D600" s="17"/>
      <c r="E600" s="12"/>
      <c r="F600" s="12"/>
      <c r="G600" s="17"/>
      <c r="H600" s="17"/>
      <c r="I600" s="12"/>
      <c r="J600" s="12"/>
      <c r="K600" s="12"/>
      <c r="L600" s="12"/>
      <c r="M600" s="12"/>
      <c r="N600" s="12"/>
      <c r="O600" s="12"/>
      <c r="P600" s="12"/>
      <c r="Q600" s="12"/>
      <c r="R600" s="12"/>
      <c r="S600" s="12"/>
      <c r="T600" s="12"/>
      <c r="U600" s="12"/>
      <c r="V600" s="12"/>
      <c r="W600" s="12"/>
      <c r="X600" s="12"/>
      <c r="Y600" s="12"/>
      <c r="Z600" s="12"/>
      <c r="AA600" s="12"/>
    </row>
    <row r="601" ht="13.5" customHeight="1">
      <c r="A601" s="17"/>
      <c r="B601" s="12"/>
      <c r="C601" s="12"/>
      <c r="D601" s="17"/>
      <c r="E601" s="12"/>
      <c r="F601" s="12"/>
      <c r="G601" s="17"/>
      <c r="H601" s="17"/>
      <c r="I601" s="12"/>
      <c r="J601" s="12"/>
      <c r="K601" s="12"/>
      <c r="L601" s="12"/>
      <c r="M601" s="12"/>
      <c r="N601" s="12"/>
      <c r="O601" s="12"/>
      <c r="P601" s="12"/>
      <c r="Q601" s="12"/>
      <c r="R601" s="12"/>
      <c r="S601" s="12"/>
      <c r="T601" s="12"/>
      <c r="U601" s="12"/>
      <c r="V601" s="12"/>
      <c r="W601" s="12"/>
      <c r="X601" s="12"/>
      <c r="Y601" s="12"/>
      <c r="Z601" s="12"/>
      <c r="AA601" s="12"/>
    </row>
    <row r="602" ht="13.5" customHeight="1">
      <c r="A602" s="17"/>
      <c r="B602" s="12"/>
      <c r="C602" s="12"/>
      <c r="D602" s="17"/>
      <c r="E602" s="12"/>
      <c r="F602" s="12"/>
      <c r="G602" s="17"/>
      <c r="H602" s="17"/>
      <c r="I602" s="12"/>
      <c r="J602" s="12"/>
      <c r="K602" s="12"/>
      <c r="L602" s="12"/>
      <c r="M602" s="12"/>
      <c r="N602" s="12"/>
      <c r="O602" s="12"/>
      <c r="P602" s="12"/>
      <c r="Q602" s="12"/>
      <c r="R602" s="12"/>
      <c r="S602" s="12"/>
      <c r="T602" s="12"/>
      <c r="U602" s="12"/>
      <c r="V602" s="12"/>
      <c r="W602" s="12"/>
      <c r="X602" s="12"/>
      <c r="Y602" s="12"/>
      <c r="Z602" s="12"/>
      <c r="AA602" s="12"/>
    </row>
    <row r="603" ht="13.5" customHeight="1">
      <c r="A603" s="17"/>
      <c r="B603" s="12"/>
      <c r="C603" s="12"/>
      <c r="D603" s="17"/>
      <c r="E603" s="12"/>
      <c r="F603" s="12"/>
      <c r="G603" s="17"/>
      <c r="H603" s="17"/>
      <c r="I603" s="12"/>
      <c r="J603" s="12"/>
      <c r="K603" s="12"/>
      <c r="L603" s="12"/>
      <c r="M603" s="12"/>
      <c r="N603" s="12"/>
      <c r="O603" s="12"/>
      <c r="P603" s="12"/>
      <c r="Q603" s="12"/>
      <c r="R603" s="12"/>
      <c r="S603" s="12"/>
      <c r="T603" s="12"/>
      <c r="U603" s="12"/>
      <c r="V603" s="12"/>
      <c r="W603" s="12"/>
      <c r="X603" s="12"/>
      <c r="Y603" s="12"/>
      <c r="Z603" s="12"/>
      <c r="AA603" s="12"/>
    </row>
    <row r="604" ht="13.5" customHeight="1">
      <c r="A604" s="17"/>
      <c r="B604" s="12"/>
      <c r="C604" s="12"/>
      <c r="D604" s="17"/>
      <c r="E604" s="12"/>
      <c r="F604" s="12"/>
      <c r="G604" s="17"/>
      <c r="H604" s="17"/>
      <c r="I604" s="12"/>
      <c r="J604" s="12"/>
      <c r="K604" s="12"/>
      <c r="L604" s="12"/>
      <c r="M604" s="12"/>
      <c r="N604" s="12"/>
      <c r="O604" s="12"/>
      <c r="P604" s="12"/>
      <c r="Q604" s="12"/>
      <c r="R604" s="12"/>
      <c r="S604" s="12"/>
      <c r="T604" s="12"/>
      <c r="U604" s="12"/>
      <c r="V604" s="12"/>
      <c r="W604" s="12"/>
      <c r="X604" s="12"/>
      <c r="Y604" s="12"/>
      <c r="Z604" s="12"/>
      <c r="AA604" s="12"/>
    </row>
    <row r="605" ht="13.5" customHeight="1">
      <c r="A605" s="17"/>
      <c r="B605" s="12"/>
      <c r="C605" s="12"/>
      <c r="D605" s="17"/>
      <c r="E605" s="12"/>
      <c r="F605" s="12"/>
      <c r="G605" s="17"/>
      <c r="H605" s="17"/>
      <c r="I605" s="12"/>
      <c r="J605" s="12"/>
      <c r="K605" s="12"/>
      <c r="L605" s="12"/>
      <c r="M605" s="12"/>
      <c r="N605" s="12"/>
      <c r="O605" s="12"/>
      <c r="P605" s="12"/>
      <c r="Q605" s="12"/>
      <c r="R605" s="12"/>
      <c r="S605" s="12"/>
      <c r="T605" s="12"/>
      <c r="U605" s="12"/>
      <c r="V605" s="12"/>
      <c r="W605" s="12"/>
      <c r="X605" s="12"/>
      <c r="Y605" s="12"/>
      <c r="Z605" s="12"/>
      <c r="AA605" s="12"/>
    </row>
    <row r="606" ht="13.5" customHeight="1">
      <c r="A606" s="17"/>
      <c r="B606" s="12"/>
      <c r="C606" s="12"/>
      <c r="D606" s="17"/>
      <c r="E606" s="12"/>
      <c r="F606" s="12"/>
      <c r="G606" s="17"/>
      <c r="H606" s="17"/>
      <c r="I606" s="12"/>
      <c r="J606" s="12"/>
      <c r="K606" s="12"/>
      <c r="L606" s="12"/>
      <c r="M606" s="12"/>
      <c r="N606" s="12"/>
      <c r="O606" s="12"/>
      <c r="P606" s="12"/>
      <c r="Q606" s="12"/>
      <c r="R606" s="12"/>
      <c r="S606" s="12"/>
      <c r="T606" s="12"/>
      <c r="U606" s="12"/>
      <c r="V606" s="12"/>
      <c r="W606" s="12"/>
      <c r="X606" s="12"/>
      <c r="Y606" s="12"/>
      <c r="Z606" s="12"/>
      <c r="AA606" s="12"/>
    </row>
    <row r="607" ht="13.5" customHeight="1">
      <c r="A607" s="17"/>
      <c r="B607" s="12"/>
      <c r="C607" s="12"/>
      <c r="D607" s="17"/>
      <c r="E607" s="12"/>
      <c r="F607" s="12"/>
      <c r="G607" s="17"/>
      <c r="H607" s="17"/>
      <c r="I607" s="12"/>
      <c r="J607" s="12"/>
      <c r="K607" s="12"/>
      <c r="L607" s="12"/>
      <c r="M607" s="12"/>
      <c r="N607" s="12"/>
      <c r="O607" s="12"/>
      <c r="P607" s="12"/>
      <c r="Q607" s="12"/>
      <c r="R607" s="12"/>
      <c r="S607" s="12"/>
      <c r="T607" s="12"/>
      <c r="U607" s="12"/>
      <c r="V607" s="12"/>
      <c r="W607" s="12"/>
      <c r="X607" s="12"/>
      <c r="Y607" s="12"/>
      <c r="Z607" s="12"/>
      <c r="AA607" s="12"/>
    </row>
    <row r="608" ht="13.5" customHeight="1">
      <c r="A608" s="17"/>
      <c r="B608" s="12"/>
      <c r="C608" s="12"/>
      <c r="D608" s="17"/>
      <c r="E608" s="12"/>
      <c r="F608" s="12"/>
      <c r="G608" s="17"/>
      <c r="H608" s="17"/>
      <c r="I608" s="12"/>
      <c r="J608" s="12"/>
      <c r="K608" s="12"/>
      <c r="L608" s="12"/>
      <c r="M608" s="12"/>
      <c r="N608" s="12"/>
      <c r="O608" s="12"/>
      <c r="P608" s="12"/>
      <c r="Q608" s="12"/>
      <c r="R608" s="12"/>
      <c r="S608" s="12"/>
      <c r="T608" s="12"/>
      <c r="U608" s="12"/>
      <c r="V608" s="12"/>
      <c r="W608" s="12"/>
      <c r="X608" s="12"/>
      <c r="Y608" s="12"/>
      <c r="Z608" s="12"/>
      <c r="AA608" s="12"/>
    </row>
    <row r="609" ht="13.5" customHeight="1">
      <c r="A609" s="17"/>
      <c r="B609" s="12"/>
      <c r="C609" s="12"/>
      <c r="D609" s="17"/>
      <c r="E609" s="12"/>
      <c r="F609" s="12"/>
      <c r="G609" s="17"/>
      <c r="H609" s="17"/>
      <c r="I609" s="12"/>
      <c r="J609" s="12"/>
      <c r="K609" s="12"/>
      <c r="L609" s="12"/>
      <c r="M609" s="12"/>
      <c r="N609" s="12"/>
      <c r="O609" s="12"/>
      <c r="P609" s="12"/>
      <c r="Q609" s="12"/>
      <c r="R609" s="12"/>
      <c r="S609" s="12"/>
      <c r="T609" s="12"/>
      <c r="U609" s="12"/>
      <c r="V609" s="12"/>
      <c r="W609" s="12"/>
      <c r="X609" s="12"/>
      <c r="Y609" s="12"/>
      <c r="Z609" s="12"/>
      <c r="AA609" s="12"/>
    </row>
    <row r="610" ht="13.5" customHeight="1">
      <c r="A610" s="17"/>
      <c r="B610" s="12"/>
      <c r="C610" s="12"/>
      <c r="D610" s="17"/>
      <c r="E610" s="12"/>
      <c r="F610" s="12"/>
      <c r="G610" s="17"/>
      <c r="H610" s="17"/>
      <c r="I610" s="12"/>
      <c r="J610" s="12"/>
      <c r="K610" s="12"/>
      <c r="L610" s="12"/>
      <c r="M610" s="12"/>
      <c r="N610" s="12"/>
      <c r="O610" s="12"/>
      <c r="P610" s="12"/>
      <c r="Q610" s="12"/>
      <c r="R610" s="12"/>
      <c r="S610" s="12"/>
      <c r="T610" s="12"/>
      <c r="U610" s="12"/>
      <c r="V610" s="12"/>
      <c r="W610" s="12"/>
      <c r="X610" s="12"/>
      <c r="Y610" s="12"/>
      <c r="Z610" s="12"/>
      <c r="AA610" s="12"/>
    </row>
    <row r="611" ht="13.5" customHeight="1">
      <c r="A611" s="17"/>
      <c r="B611" s="12"/>
      <c r="C611" s="12"/>
      <c r="D611" s="17"/>
      <c r="E611" s="12"/>
      <c r="F611" s="12"/>
      <c r="G611" s="17"/>
      <c r="H611" s="17"/>
      <c r="I611" s="12"/>
      <c r="J611" s="12"/>
      <c r="K611" s="12"/>
      <c r="L611" s="12"/>
      <c r="M611" s="12"/>
      <c r="N611" s="12"/>
      <c r="O611" s="12"/>
      <c r="P611" s="12"/>
      <c r="Q611" s="12"/>
      <c r="R611" s="12"/>
      <c r="S611" s="12"/>
      <c r="T611" s="12"/>
      <c r="U611" s="12"/>
      <c r="V611" s="12"/>
      <c r="W611" s="12"/>
      <c r="X611" s="12"/>
      <c r="Y611" s="12"/>
      <c r="Z611" s="12"/>
      <c r="AA611" s="12"/>
    </row>
    <row r="612" ht="13.5" customHeight="1">
      <c r="A612" s="17"/>
      <c r="B612" s="12"/>
      <c r="C612" s="12"/>
      <c r="D612" s="17"/>
      <c r="E612" s="12"/>
      <c r="F612" s="12"/>
      <c r="G612" s="17"/>
      <c r="H612" s="17"/>
      <c r="I612" s="12"/>
      <c r="J612" s="12"/>
      <c r="K612" s="12"/>
      <c r="L612" s="12"/>
      <c r="M612" s="12"/>
      <c r="N612" s="12"/>
      <c r="O612" s="12"/>
      <c r="P612" s="12"/>
      <c r="Q612" s="12"/>
      <c r="R612" s="12"/>
      <c r="S612" s="12"/>
      <c r="T612" s="12"/>
      <c r="U612" s="12"/>
      <c r="V612" s="12"/>
      <c r="W612" s="12"/>
      <c r="X612" s="12"/>
      <c r="Y612" s="12"/>
      <c r="Z612" s="12"/>
      <c r="AA612" s="12"/>
    </row>
    <row r="613" ht="13.5" customHeight="1">
      <c r="A613" s="17"/>
      <c r="B613" s="12"/>
      <c r="C613" s="12"/>
      <c r="D613" s="17"/>
      <c r="E613" s="12"/>
      <c r="F613" s="12"/>
      <c r="G613" s="17"/>
      <c r="H613" s="17"/>
      <c r="I613" s="12"/>
      <c r="J613" s="12"/>
      <c r="K613" s="12"/>
      <c r="L613" s="12"/>
      <c r="M613" s="12"/>
      <c r="N613" s="12"/>
      <c r="O613" s="12"/>
      <c r="P613" s="12"/>
      <c r="Q613" s="12"/>
      <c r="R613" s="12"/>
      <c r="S613" s="12"/>
      <c r="T613" s="12"/>
      <c r="U613" s="12"/>
      <c r="V613" s="12"/>
      <c r="W613" s="12"/>
      <c r="X613" s="12"/>
      <c r="Y613" s="12"/>
      <c r="Z613" s="12"/>
      <c r="AA613" s="12"/>
    </row>
    <row r="614" ht="13.5" customHeight="1">
      <c r="A614" s="17"/>
      <c r="B614" s="12"/>
      <c r="C614" s="12"/>
      <c r="D614" s="17"/>
      <c r="E614" s="12"/>
      <c r="F614" s="12"/>
      <c r="G614" s="17"/>
      <c r="H614" s="17"/>
      <c r="I614" s="12"/>
      <c r="J614" s="12"/>
      <c r="K614" s="12"/>
      <c r="L614" s="12"/>
      <c r="M614" s="12"/>
      <c r="N614" s="12"/>
      <c r="O614" s="12"/>
      <c r="P614" s="12"/>
      <c r="Q614" s="12"/>
      <c r="R614" s="12"/>
      <c r="S614" s="12"/>
      <c r="T614" s="12"/>
      <c r="U614" s="12"/>
      <c r="V614" s="12"/>
      <c r="W614" s="12"/>
      <c r="X614" s="12"/>
      <c r="Y614" s="12"/>
      <c r="Z614" s="12"/>
      <c r="AA614" s="12"/>
    </row>
    <row r="615" ht="13.5" customHeight="1">
      <c r="A615" s="17"/>
      <c r="B615" s="12"/>
      <c r="C615" s="12"/>
      <c r="D615" s="17"/>
      <c r="E615" s="12"/>
      <c r="F615" s="12"/>
      <c r="G615" s="17"/>
      <c r="H615" s="17"/>
      <c r="I615" s="12"/>
      <c r="J615" s="12"/>
      <c r="K615" s="12"/>
      <c r="L615" s="12"/>
      <c r="M615" s="12"/>
      <c r="N615" s="12"/>
      <c r="O615" s="12"/>
      <c r="P615" s="12"/>
      <c r="Q615" s="12"/>
      <c r="R615" s="12"/>
      <c r="S615" s="12"/>
      <c r="T615" s="12"/>
      <c r="U615" s="12"/>
      <c r="V615" s="12"/>
      <c r="W615" s="12"/>
      <c r="X615" s="12"/>
      <c r="Y615" s="12"/>
      <c r="Z615" s="12"/>
      <c r="AA615" s="12"/>
    </row>
    <row r="616" ht="13.5" customHeight="1">
      <c r="A616" s="17"/>
      <c r="B616" s="12"/>
      <c r="C616" s="12"/>
      <c r="D616" s="17"/>
      <c r="E616" s="12"/>
      <c r="F616" s="12"/>
      <c r="G616" s="17"/>
      <c r="H616" s="17"/>
      <c r="I616" s="12"/>
      <c r="J616" s="12"/>
      <c r="K616" s="12"/>
      <c r="L616" s="12"/>
      <c r="M616" s="12"/>
      <c r="N616" s="12"/>
      <c r="O616" s="12"/>
      <c r="P616" s="12"/>
      <c r="Q616" s="12"/>
      <c r="R616" s="12"/>
      <c r="S616" s="12"/>
      <c r="T616" s="12"/>
      <c r="U616" s="12"/>
      <c r="V616" s="12"/>
      <c r="W616" s="12"/>
      <c r="X616" s="12"/>
      <c r="Y616" s="12"/>
      <c r="Z616" s="12"/>
      <c r="AA616" s="12"/>
    </row>
    <row r="617" ht="13.5" customHeight="1">
      <c r="A617" s="17"/>
      <c r="B617" s="12"/>
      <c r="C617" s="12"/>
      <c r="D617" s="17"/>
      <c r="E617" s="12"/>
      <c r="F617" s="12"/>
      <c r="G617" s="17"/>
      <c r="H617" s="17"/>
      <c r="I617" s="12"/>
      <c r="J617" s="12"/>
      <c r="K617" s="12"/>
      <c r="L617" s="12"/>
      <c r="M617" s="12"/>
      <c r="N617" s="12"/>
      <c r="O617" s="12"/>
      <c r="P617" s="12"/>
      <c r="Q617" s="12"/>
      <c r="R617" s="12"/>
      <c r="S617" s="12"/>
      <c r="T617" s="12"/>
      <c r="U617" s="12"/>
      <c r="V617" s="12"/>
      <c r="W617" s="12"/>
      <c r="X617" s="12"/>
      <c r="Y617" s="12"/>
      <c r="Z617" s="12"/>
      <c r="AA617" s="12"/>
    </row>
    <row r="618" ht="13.5" customHeight="1">
      <c r="A618" s="17"/>
      <c r="B618" s="12"/>
      <c r="C618" s="12"/>
      <c r="D618" s="17"/>
      <c r="E618" s="12"/>
      <c r="F618" s="12"/>
      <c r="G618" s="17"/>
      <c r="H618" s="17"/>
      <c r="I618" s="12"/>
      <c r="J618" s="12"/>
      <c r="K618" s="12"/>
      <c r="L618" s="12"/>
      <c r="M618" s="12"/>
      <c r="N618" s="12"/>
      <c r="O618" s="12"/>
      <c r="P618" s="12"/>
      <c r="Q618" s="12"/>
      <c r="R618" s="12"/>
      <c r="S618" s="12"/>
      <c r="T618" s="12"/>
      <c r="U618" s="12"/>
      <c r="V618" s="12"/>
      <c r="W618" s="12"/>
      <c r="X618" s="12"/>
      <c r="Y618" s="12"/>
      <c r="Z618" s="12"/>
      <c r="AA618" s="12"/>
    </row>
    <row r="619" ht="13.5" customHeight="1">
      <c r="A619" s="17"/>
      <c r="B619" s="12"/>
      <c r="C619" s="12"/>
      <c r="D619" s="17"/>
      <c r="E619" s="12"/>
      <c r="F619" s="12"/>
      <c r="G619" s="17"/>
      <c r="H619" s="17"/>
      <c r="I619" s="12"/>
      <c r="J619" s="12"/>
      <c r="K619" s="12"/>
      <c r="L619" s="12"/>
      <c r="M619" s="12"/>
      <c r="N619" s="12"/>
      <c r="O619" s="12"/>
      <c r="P619" s="12"/>
      <c r="Q619" s="12"/>
      <c r="R619" s="12"/>
      <c r="S619" s="12"/>
      <c r="T619" s="12"/>
      <c r="U619" s="12"/>
      <c r="V619" s="12"/>
      <c r="W619" s="12"/>
      <c r="X619" s="12"/>
      <c r="Y619" s="12"/>
      <c r="Z619" s="12"/>
      <c r="AA619" s="12"/>
    </row>
    <row r="620" ht="13.5" customHeight="1">
      <c r="A620" s="17"/>
      <c r="B620" s="12"/>
      <c r="C620" s="12"/>
      <c r="D620" s="17"/>
      <c r="E620" s="12"/>
      <c r="F620" s="12"/>
      <c r="G620" s="17"/>
      <c r="H620" s="17"/>
      <c r="I620" s="12"/>
      <c r="J620" s="12"/>
      <c r="K620" s="12"/>
      <c r="L620" s="12"/>
      <c r="M620" s="12"/>
      <c r="N620" s="12"/>
      <c r="O620" s="12"/>
      <c r="P620" s="12"/>
      <c r="Q620" s="12"/>
      <c r="R620" s="12"/>
      <c r="S620" s="12"/>
      <c r="T620" s="12"/>
      <c r="U620" s="12"/>
      <c r="V620" s="12"/>
      <c r="W620" s="12"/>
      <c r="X620" s="12"/>
      <c r="Y620" s="12"/>
      <c r="Z620" s="12"/>
      <c r="AA620" s="12"/>
    </row>
    <row r="621" ht="13.5" customHeight="1">
      <c r="A621" s="17"/>
      <c r="B621" s="12"/>
      <c r="C621" s="12"/>
      <c r="D621" s="17"/>
      <c r="E621" s="12"/>
      <c r="F621" s="12"/>
      <c r="G621" s="17"/>
      <c r="H621" s="17"/>
      <c r="I621" s="12"/>
      <c r="J621" s="12"/>
      <c r="K621" s="12"/>
      <c r="L621" s="12"/>
      <c r="M621" s="12"/>
      <c r="N621" s="12"/>
      <c r="O621" s="12"/>
      <c r="P621" s="12"/>
      <c r="Q621" s="12"/>
      <c r="R621" s="12"/>
      <c r="S621" s="12"/>
      <c r="T621" s="12"/>
      <c r="U621" s="12"/>
      <c r="V621" s="12"/>
      <c r="W621" s="12"/>
      <c r="X621" s="12"/>
      <c r="Y621" s="12"/>
      <c r="Z621" s="12"/>
      <c r="AA621" s="12"/>
    </row>
    <row r="622" ht="13.5" customHeight="1">
      <c r="A622" s="17"/>
      <c r="B622" s="12"/>
      <c r="C622" s="12"/>
      <c r="D622" s="17"/>
      <c r="E622" s="12"/>
      <c r="F622" s="12"/>
      <c r="G622" s="17"/>
      <c r="H622" s="17"/>
      <c r="I622" s="12"/>
      <c r="J622" s="12"/>
      <c r="K622" s="12"/>
      <c r="L622" s="12"/>
      <c r="M622" s="12"/>
      <c r="N622" s="12"/>
      <c r="O622" s="12"/>
      <c r="P622" s="12"/>
      <c r="Q622" s="12"/>
      <c r="R622" s="12"/>
      <c r="S622" s="12"/>
      <c r="T622" s="12"/>
      <c r="U622" s="12"/>
      <c r="V622" s="12"/>
      <c r="W622" s="12"/>
      <c r="X622" s="12"/>
      <c r="Y622" s="12"/>
      <c r="Z622" s="12"/>
      <c r="AA622" s="12"/>
    </row>
    <row r="623" ht="13.5" customHeight="1">
      <c r="A623" s="17"/>
      <c r="B623" s="12"/>
      <c r="C623" s="12"/>
      <c r="D623" s="17"/>
      <c r="E623" s="12"/>
      <c r="F623" s="12"/>
      <c r="G623" s="17"/>
      <c r="H623" s="17"/>
      <c r="I623" s="12"/>
      <c r="J623" s="12"/>
      <c r="K623" s="12"/>
      <c r="L623" s="12"/>
      <c r="M623" s="12"/>
      <c r="N623" s="12"/>
      <c r="O623" s="12"/>
      <c r="P623" s="12"/>
      <c r="Q623" s="12"/>
      <c r="R623" s="12"/>
      <c r="S623" s="12"/>
      <c r="T623" s="12"/>
      <c r="U623" s="12"/>
      <c r="V623" s="12"/>
      <c r="W623" s="12"/>
      <c r="X623" s="12"/>
      <c r="Y623" s="12"/>
      <c r="Z623" s="12"/>
      <c r="AA623" s="12"/>
    </row>
    <row r="624" ht="13.5" customHeight="1">
      <c r="A624" s="17"/>
      <c r="B624" s="12"/>
      <c r="C624" s="12"/>
      <c r="D624" s="17"/>
      <c r="E624" s="12"/>
      <c r="F624" s="12"/>
      <c r="G624" s="17"/>
      <c r="H624" s="17"/>
      <c r="I624" s="12"/>
      <c r="J624" s="12"/>
      <c r="K624" s="12"/>
      <c r="L624" s="12"/>
      <c r="M624" s="12"/>
      <c r="N624" s="12"/>
      <c r="O624" s="12"/>
      <c r="P624" s="12"/>
      <c r="Q624" s="12"/>
      <c r="R624" s="12"/>
      <c r="S624" s="12"/>
      <c r="T624" s="12"/>
      <c r="U624" s="12"/>
      <c r="V624" s="12"/>
      <c r="W624" s="12"/>
      <c r="X624" s="12"/>
      <c r="Y624" s="12"/>
      <c r="Z624" s="12"/>
      <c r="AA624" s="12"/>
    </row>
    <row r="625" ht="13.5" customHeight="1">
      <c r="A625" s="17"/>
      <c r="B625" s="12"/>
      <c r="C625" s="12"/>
      <c r="D625" s="17"/>
      <c r="E625" s="12"/>
      <c r="F625" s="12"/>
      <c r="G625" s="17"/>
      <c r="H625" s="17"/>
      <c r="I625" s="12"/>
      <c r="J625" s="12"/>
      <c r="K625" s="12"/>
      <c r="L625" s="12"/>
      <c r="M625" s="12"/>
      <c r="N625" s="12"/>
      <c r="O625" s="12"/>
      <c r="P625" s="12"/>
      <c r="Q625" s="12"/>
      <c r="R625" s="12"/>
      <c r="S625" s="12"/>
      <c r="T625" s="12"/>
      <c r="U625" s="12"/>
      <c r="V625" s="12"/>
      <c r="W625" s="12"/>
      <c r="X625" s="12"/>
      <c r="Y625" s="12"/>
      <c r="Z625" s="12"/>
      <c r="AA625" s="12"/>
    </row>
    <row r="626" ht="13.5" customHeight="1">
      <c r="A626" s="17"/>
      <c r="B626" s="12"/>
      <c r="C626" s="12"/>
      <c r="D626" s="17"/>
      <c r="E626" s="12"/>
      <c r="F626" s="12"/>
      <c r="G626" s="17"/>
      <c r="H626" s="17"/>
      <c r="I626" s="12"/>
      <c r="J626" s="12"/>
      <c r="K626" s="12"/>
      <c r="L626" s="12"/>
      <c r="M626" s="12"/>
      <c r="N626" s="12"/>
      <c r="O626" s="12"/>
      <c r="P626" s="12"/>
      <c r="Q626" s="12"/>
      <c r="R626" s="12"/>
      <c r="S626" s="12"/>
      <c r="T626" s="12"/>
      <c r="U626" s="12"/>
      <c r="V626" s="12"/>
      <c r="W626" s="12"/>
      <c r="X626" s="12"/>
      <c r="Y626" s="12"/>
      <c r="Z626" s="12"/>
      <c r="AA626" s="12"/>
    </row>
    <row r="627" ht="13.5" customHeight="1">
      <c r="A627" s="17"/>
      <c r="B627" s="12"/>
      <c r="C627" s="12"/>
      <c r="D627" s="17"/>
      <c r="E627" s="12"/>
      <c r="F627" s="12"/>
      <c r="G627" s="17"/>
      <c r="H627" s="17"/>
      <c r="I627" s="12"/>
      <c r="J627" s="12"/>
      <c r="K627" s="12"/>
      <c r="L627" s="12"/>
      <c r="M627" s="12"/>
      <c r="N627" s="12"/>
      <c r="O627" s="12"/>
      <c r="P627" s="12"/>
      <c r="Q627" s="12"/>
      <c r="R627" s="12"/>
      <c r="S627" s="12"/>
      <c r="T627" s="12"/>
      <c r="U627" s="12"/>
      <c r="V627" s="12"/>
      <c r="W627" s="12"/>
      <c r="X627" s="12"/>
      <c r="Y627" s="12"/>
      <c r="Z627" s="12"/>
      <c r="AA627" s="12"/>
    </row>
    <row r="628" ht="13.5" customHeight="1">
      <c r="A628" s="17"/>
      <c r="B628" s="12"/>
      <c r="C628" s="12"/>
      <c r="D628" s="17"/>
      <c r="E628" s="12"/>
      <c r="F628" s="12"/>
      <c r="G628" s="17"/>
      <c r="H628" s="17"/>
      <c r="I628" s="12"/>
      <c r="J628" s="12"/>
      <c r="K628" s="12"/>
      <c r="L628" s="12"/>
      <c r="M628" s="12"/>
      <c r="N628" s="12"/>
      <c r="O628" s="12"/>
      <c r="P628" s="12"/>
      <c r="Q628" s="12"/>
      <c r="R628" s="12"/>
      <c r="S628" s="12"/>
      <c r="T628" s="12"/>
      <c r="U628" s="12"/>
      <c r="V628" s="12"/>
      <c r="W628" s="12"/>
      <c r="X628" s="12"/>
      <c r="Y628" s="12"/>
      <c r="Z628" s="12"/>
      <c r="AA628" s="12"/>
    </row>
    <row r="629" ht="13.5" customHeight="1">
      <c r="A629" s="17"/>
      <c r="B629" s="12"/>
      <c r="C629" s="12"/>
      <c r="D629" s="17"/>
      <c r="E629" s="12"/>
      <c r="F629" s="12"/>
      <c r="G629" s="17"/>
      <c r="H629" s="17"/>
      <c r="I629" s="12"/>
      <c r="J629" s="12"/>
      <c r="K629" s="12"/>
      <c r="L629" s="12"/>
      <c r="M629" s="12"/>
      <c r="N629" s="12"/>
      <c r="O629" s="12"/>
      <c r="P629" s="12"/>
      <c r="Q629" s="12"/>
      <c r="R629" s="12"/>
      <c r="S629" s="12"/>
      <c r="T629" s="12"/>
      <c r="U629" s="12"/>
      <c r="V629" s="12"/>
      <c r="W629" s="12"/>
      <c r="X629" s="12"/>
      <c r="Y629" s="12"/>
      <c r="Z629" s="12"/>
      <c r="AA629" s="12"/>
    </row>
    <row r="630" ht="13.5" customHeight="1">
      <c r="A630" s="17"/>
      <c r="B630" s="12"/>
      <c r="C630" s="12"/>
      <c r="D630" s="17"/>
      <c r="E630" s="12"/>
      <c r="F630" s="12"/>
      <c r="G630" s="17"/>
      <c r="H630" s="17"/>
      <c r="I630" s="12"/>
      <c r="J630" s="12"/>
      <c r="K630" s="12"/>
      <c r="L630" s="12"/>
      <c r="M630" s="12"/>
      <c r="N630" s="12"/>
      <c r="O630" s="12"/>
      <c r="P630" s="12"/>
      <c r="Q630" s="12"/>
      <c r="R630" s="12"/>
      <c r="S630" s="12"/>
      <c r="T630" s="12"/>
      <c r="U630" s="12"/>
      <c r="V630" s="12"/>
      <c r="W630" s="12"/>
      <c r="X630" s="12"/>
      <c r="Y630" s="12"/>
      <c r="Z630" s="12"/>
      <c r="AA630" s="12"/>
    </row>
    <row r="631" ht="13.5" customHeight="1">
      <c r="A631" s="17"/>
      <c r="B631" s="12"/>
      <c r="C631" s="12"/>
      <c r="D631" s="17"/>
      <c r="E631" s="12"/>
      <c r="F631" s="12"/>
      <c r="G631" s="17"/>
      <c r="H631" s="17"/>
      <c r="I631" s="12"/>
      <c r="J631" s="12"/>
      <c r="K631" s="12"/>
      <c r="L631" s="12"/>
      <c r="M631" s="12"/>
      <c r="N631" s="12"/>
      <c r="O631" s="12"/>
      <c r="P631" s="12"/>
      <c r="Q631" s="12"/>
      <c r="R631" s="12"/>
      <c r="S631" s="12"/>
      <c r="T631" s="12"/>
      <c r="U631" s="12"/>
      <c r="V631" s="12"/>
      <c r="W631" s="12"/>
      <c r="X631" s="12"/>
      <c r="Y631" s="12"/>
      <c r="Z631" s="12"/>
      <c r="AA631" s="12"/>
    </row>
    <row r="632" ht="13.5" customHeight="1">
      <c r="A632" s="17"/>
      <c r="B632" s="12"/>
      <c r="C632" s="12"/>
      <c r="D632" s="17"/>
      <c r="E632" s="12"/>
      <c r="F632" s="12"/>
      <c r="G632" s="17"/>
      <c r="H632" s="17"/>
      <c r="I632" s="12"/>
      <c r="J632" s="12"/>
      <c r="K632" s="12"/>
      <c r="L632" s="12"/>
      <c r="M632" s="12"/>
      <c r="N632" s="12"/>
      <c r="O632" s="12"/>
      <c r="P632" s="12"/>
      <c r="Q632" s="12"/>
      <c r="R632" s="12"/>
      <c r="S632" s="12"/>
      <c r="T632" s="12"/>
      <c r="U632" s="12"/>
      <c r="V632" s="12"/>
      <c r="W632" s="12"/>
      <c r="X632" s="12"/>
      <c r="Y632" s="12"/>
      <c r="Z632" s="12"/>
      <c r="AA632" s="12"/>
    </row>
    <row r="633" ht="13.5" customHeight="1">
      <c r="A633" s="17"/>
      <c r="B633" s="12"/>
      <c r="C633" s="12"/>
      <c r="D633" s="17"/>
      <c r="E633" s="12"/>
      <c r="F633" s="12"/>
      <c r="G633" s="17"/>
      <c r="H633" s="17"/>
      <c r="I633" s="12"/>
      <c r="J633" s="12"/>
      <c r="K633" s="12"/>
      <c r="L633" s="12"/>
      <c r="M633" s="12"/>
      <c r="N633" s="12"/>
      <c r="O633" s="12"/>
      <c r="P633" s="12"/>
      <c r="Q633" s="12"/>
      <c r="R633" s="12"/>
      <c r="S633" s="12"/>
      <c r="T633" s="12"/>
      <c r="U633" s="12"/>
      <c r="V633" s="12"/>
      <c r="W633" s="12"/>
      <c r="X633" s="12"/>
      <c r="Y633" s="12"/>
      <c r="Z633" s="12"/>
      <c r="AA633" s="12"/>
    </row>
    <row r="634" ht="13.5" customHeight="1">
      <c r="A634" s="17"/>
      <c r="B634" s="12"/>
      <c r="C634" s="12"/>
      <c r="D634" s="17"/>
      <c r="E634" s="12"/>
      <c r="F634" s="12"/>
      <c r="G634" s="17"/>
      <c r="H634" s="17"/>
      <c r="I634" s="12"/>
      <c r="J634" s="12"/>
      <c r="K634" s="12"/>
      <c r="L634" s="12"/>
      <c r="M634" s="12"/>
      <c r="N634" s="12"/>
      <c r="O634" s="12"/>
      <c r="P634" s="12"/>
      <c r="Q634" s="12"/>
      <c r="R634" s="12"/>
      <c r="S634" s="12"/>
      <c r="T634" s="12"/>
      <c r="U634" s="12"/>
      <c r="V634" s="12"/>
      <c r="W634" s="12"/>
      <c r="X634" s="12"/>
      <c r="Y634" s="12"/>
      <c r="Z634" s="12"/>
      <c r="AA634" s="12"/>
    </row>
    <row r="635" ht="13.5" customHeight="1">
      <c r="A635" s="17"/>
      <c r="B635" s="12"/>
      <c r="C635" s="12"/>
      <c r="D635" s="17"/>
      <c r="E635" s="12"/>
      <c r="F635" s="12"/>
      <c r="G635" s="17"/>
      <c r="H635" s="17"/>
      <c r="I635" s="12"/>
      <c r="J635" s="12"/>
      <c r="K635" s="12"/>
      <c r="L635" s="12"/>
      <c r="M635" s="12"/>
      <c r="N635" s="12"/>
      <c r="O635" s="12"/>
      <c r="P635" s="12"/>
      <c r="Q635" s="12"/>
      <c r="R635" s="12"/>
      <c r="S635" s="12"/>
      <c r="T635" s="12"/>
      <c r="U635" s="12"/>
      <c r="V635" s="12"/>
      <c r="W635" s="12"/>
      <c r="X635" s="12"/>
      <c r="Y635" s="12"/>
      <c r="Z635" s="12"/>
      <c r="AA635" s="12"/>
    </row>
    <row r="636" ht="13.5" customHeight="1">
      <c r="A636" s="17"/>
      <c r="B636" s="12"/>
      <c r="C636" s="12"/>
      <c r="D636" s="17"/>
      <c r="E636" s="12"/>
      <c r="F636" s="12"/>
      <c r="G636" s="17"/>
      <c r="H636" s="17"/>
      <c r="I636" s="12"/>
      <c r="J636" s="12"/>
      <c r="K636" s="12"/>
      <c r="L636" s="12"/>
      <c r="M636" s="12"/>
      <c r="N636" s="12"/>
      <c r="O636" s="12"/>
      <c r="P636" s="12"/>
      <c r="Q636" s="12"/>
      <c r="R636" s="12"/>
      <c r="S636" s="12"/>
      <c r="T636" s="12"/>
      <c r="U636" s="12"/>
      <c r="V636" s="12"/>
      <c r="W636" s="12"/>
      <c r="X636" s="12"/>
      <c r="Y636" s="12"/>
      <c r="Z636" s="12"/>
      <c r="AA636" s="12"/>
    </row>
    <row r="637" ht="13.5" customHeight="1">
      <c r="A637" s="17"/>
      <c r="B637" s="12"/>
      <c r="C637" s="12"/>
      <c r="D637" s="17"/>
      <c r="E637" s="12"/>
      <c r="F637" s="12"/>
      <c r="G637" s="17"/>
      <c r="H637" s="17"/>
      <c r="I637" s="12"/>
      <c r="J637" s="12"/>
      <c r="K637" s="12"/>
      <c r="L637" s="12"/>
      <c r="M637" s="12"/>
      <c r="N637" s="12"/>
      <c r="O637" s="12"/>
      <c r="P637" s="12"/>
      <c r="Q637" s="12"/>
      <c r="R637" s="12"/>
      <c r="S637" s="12"/>
      <c r="T637" s="12"/>
      <c r="U637" s="12"/>
      <c r="V637" s="12"/>
      <c r="W637" s="12"/>
      <c r="X637" s="12"/>
      <c r="Y637" s="12"/>
      <c r="Z637" s="12"/>
      <c r="AA637" s="12"/>
    </row>
    <row r="638" ht="13.5" customHeight="1">
      <c r="A638" s="17"/>
      <c r="B638" s="12"/>
      <c r="C638" s="12"/>
      <c r="D638" s="17"/>
      <c r="E638" s="12"/>
      <c r="F638" s="12"/>
      <c r="G638" s="17"/>
      <c r="H638" s="17"/>
      <c r="I638" s="12"/>
      <c r="J638" s="12"/>
      <c r="K638" s="12"/>
      <c r="L638" s="12"/>
      <c r="M638" s="12"/>
      <c r="N638" s="12"/>
      <c r="O638" s="12"/>
      <c r="P638" s="12"/>
      <c r="Q638" s="12"/>
      <c r="R638" s="12"/>
      <c r="S638" s="12"/>
      <c r="T638" s="12"/>
      <c r="U638" s="12"/>
      <c r="V638" s="12"/>
      <c r="W638" s="12"/>
      <c r="X638" s="12"/>
      <c r="Y638" s="12"/>
      <c r="Z638" s="12"/>
      <c r="AA638" s="12"/>
    </row>
    <row r="639" ht="13.5" customHeight="1">
      <c r="A639" s="17"/>
      <c r="B639" s="12"/>
      <c r="C639" s="12"/>
      <c r="D639" s="17"/>
      <c r="E639" s="12"/>
      <c r="F639" s="12"/>
      <c r="G639" s="17"/>
      <c r="H639" s="17"/>
      <c r="I639" s="12"/>
      <c r="J639" s="12"/>
      <c r="K639" s="12"/>
      <c r="L639" s="12"/>
      <c r="M639" s="12"/>
      <c r="N639" s="12"/>
      <c r="O639" s="12"/>
      <c r="P639" s="12"/>
      <c r="Q639" s="12"/>
      <c r="R639" s="12"/>
      <c r="S639" s="12"/>
      <c r="T639" s="12"/>
      <c r="U639" s="12"/>
      <c r="V639" s="12"/>
      <c r="W639" s="12"/>
      <c r="X639" s="12"/>
      <c r="Y639" s="12"/>
      <c r="Z639" s="12"/>
      <c r="AA639" s="12"/>
    </row>
    <row r="640" ht="13.5" customHeight="1">
      <c r="A640" s="17"/>
      <c r="B640" s="12"/>
      <c r="C640" s="12"/>
      <c r="D640" s="17"/>
      <c r="E640" s="12"/>
      <c r="F640" s="12"/>
      <c r="G640" s="17"/>
      <c r="H640" s="17"/>
      <c r="I640" s="12"/>
      <c r="J640" s="12"/>
      <c r="K640" s="12"/>
      <c r="L640" s="12"/>
      <c r="M640" s="12"/>
      <c r="N640" s="12"/>
      <c r="O640" s="12"/>
      <c r="P640" s="12"/>
      <c r="Q640" s="12"/>
      <c r="R640" s="12"/>
      <c r="S640" s="12"/>
      <c r="T640" s="12"/>
      <c r="U640" s="12"/>
      <c r="V640" s="12"/>
      <c r="W640" s="12"/>
      <c r="X640" s="12"/>
      <c r="Y640" s="12"/>
      <c r="Z640" s="12"/>
      <c r="AA640" s="12"/>
    </row>
    <row r="641" ht="13.5" customHeight="1">
      <c r="A641" s="17"/>
      <c r="B641" s="12"/>
      <c r="C641" s="12"/>
      <c r="D641" s="17"/>
      <c r="E641" s="12"/>
      <c r="F641" s="12"/>
      <c r="G641" s="17"/>
      <c r="H641" s="17"/>
      <c r="I641" s="12"/>
      <c r="J641" s="12"/>
      <c r="K641" s="12"/>
      <c r="L641" s="12"/>
      <c r="M641" s="12"/>
      <c r="N641" s="12"/>
      <c r="O641" s="12"/>
      <c r="P641" s="12"/>
      <c r="Q641" s="12"/>
      <c r="R641" s="12"/>
      <c r="S641" s="12"/>
      <c r="T641" s="12"/>
      <c r="U641" s="12"/>
      <c r="V641" s="12"/>
      <c r="W641" s="12"/>
      <c r="X641" s="12"/>
      <c r="Y641" s="12"/>
      <c r="Z641" s="12"/>
      <c r="AA641" s="12"/>
    </row>
    <row r="642" ht="13.5" customHeight="1">
      <c r="A642" s="17"/>
      <c r="B642" s="12"/>
      <c r="C642" s="12"/>
      <c r="D642" s="17"/>
      <c r="E642" s="12"/>
      <c r="F642" s="12"/>
      <c r="G642" s="17"/>
      <c r="H642" s="17"/>
      <c r="I642" s="12"/>
      <c r="J642" s="12"/>
      <c r="K642" s="12"/>
      <c r="L642" s="12"/>
      <c r="M642" s="12"/>
      <c r="N642" s="12"/>
      <c r="O642" s="12"/>
      <c r="P642" s="12"/>
      <c r="Q642" s="12"/>
      <c r="R642" s="12"/>
      <c r="S642" s="12"/>
      <c r="T642" s="12"/>
      <c r="U642" s="12"/>
      <c r="V642" s="12"/>
      <c r="W642" s="12"/>
      <c r="X642" s="12"/>
      <c r="Y642" s="12"/>
      <c r="Z642" s="12"/>
      <c r="AA642" s="12"/>
    </row>
    <row r="643" ht="13.5" customHeight="1">
      <c r="A643" s="17"/>
      <c r="B643" s="12"/>
      <c r="C643" s="12"/>
      <c r="D643" s="17"/>
      <c r="E643" s="12"/>
      <c r="F643" s="12"/>
      <c r="G643" s="17"/>
      <c r="H643" s="17"/>
      <c r="I643" s="12"/>
      <c r="J643" s="12"/>
      <c r="K643" s="12"/>
      <c r="L643" s="12"/>
      <c r="M643" s="12"/>
      <c r="N643" s="12"/>
      <c r="O643" s="12"/>
      <c r="P643" s="12"/>
      <c r="Q643" s="12"/>
      <c r="R643" s="12"/>
      <c r="S643" s="12"/>
      <c r="T643" s="12"/>
      <c r="U643" s="12"/>
      <c r="V643" s="12"/>
      <c r="W643" s="12"/>
      <c r="X643" s="12"/>
      <c r="Y643" s="12"/>
      <c r="Z643" s="12"/>
      <c r="AA643" s="12"/>
    </row>
    <row r="644" ht="13.5" customHeight="1">
      <c r="A644" s="17"/>
      <c r="B644" s="12"/>
      <c r="C644" s="12"/>
      <c r="D644" s="17"/>
      <c r="E644" s="12"/>
      <c r="F644" s="12"/>
      <c r="G644" s="17"/>
      <c r="H644" s="17"/>
      <c r="I644" s="12"/>
      <c r="J644" s="12"/>
      <c r="K644" s="12"/>
      <c r="L644" s="12"/>
      <c r="M644" s="12"/>
      <c r="N644" s="12"/>
      <c r="O644" s="12"/>
      <c r="P644" s="12"/>
      <c r="Q644" s="12"/>
      <c r="R644" s="12"/>
      <c r="S644" s="12"/>
      <c r="T644" s="12"/>
      <c r="U644" s="12"/>
      <c r="V644" s="12"/>
      <c r="W644" s="12"/>
      <c r="X644" s="12"/>
      <c r="Y644" s="12"/>
      <c r="Z644" s="12"/>
      <c r="AA644" s="12"/>
    </row>
    <row r="645" ht="13.5" customHeight="1">
      <c r="A645" s="17"/>
      <c r="B645" s="12"/>
      <c r="C645" s="12"/>
      <c r="D645" s="17"/>
      <c r="E645" s="12"/>
      <c r="F645" s="12"/>
      <c r="G645" s="17"/>
      <c r="H645" s="17"/>
      <c r="I645" s="12"/>
      <c r="J645" s="12"/>
      <c r="K645" s="12"/>
      <c r="L645" s="12"/>
      <c r="M645" s="12"/>
      <c r="N645" s="12"/>
      <c r="O645" s="12"/>
      <c r="P645" s="12"/>
      <c r="Q645" s="12"/>
      <c r="R645" s="12"/>
      <c r="S645" s="12"/>
      <c r="T645" s="12"/>
      <c r="U645" s="12"/>
      <c r="V645" s="12"/>
      <c r="W645" s="12"/>
      <c r="X645" s="12"/>
      <c r="Y645" s="12"/>
      <c r="Z645" s="12"/>
      <c r="AA645" s="12"/>
    </row>
    <row r="646" ht="13.5" customHeight="1">
      <c r="A646" s="17"/>
      <c r="B646" s="12"/>
      <c r="C646" s="12"/>
      <c r="D646" s="17"/>
      <c r="E646" s="12"/>
      <c r="F646" s="12"/>
      <c r="G646" s="17"/>
      <c r="H646" s="17"/>
      <c r="I646" s="12"/>
      <c r="J646" s="12"/>
      <c r="K646" s="12"/>
      <c r="L646" s="12"/>
      <c r="M646" s="12"/>
      <c r="N646" s="12"/>
      <c r="O646" s="12"/>
      <c r="P646" s="12"/>
      <c r="Q646" s="12"/>
      <c r="R646" s="12"/>
      <c r="S646" s="12"/>
      <c r="T646" s="12"/>
      <c r="U646" s="12"/>
      <c r="V646" s="12"/>
      <c r="W646" s="12"/>
      <c r="X646" s="12"/>
      <c r="Y646" s="12"/>
      <c r="Z646" s="12"/>
      <c r="AA646" s="12"/>
    </row>
    <row r="647" ht="13.5" customHeight="1">
      <c r="A647" s="17"/>
      <c r="B647" s="12"/>
      <c r="C647" s="12"/>
      <c r="D647" s="17"/>
      <c r="E647" s="12"/>
      <c r="F647" s="12"/>
      <c r="G647" s="17"/>
      <c r="H647" s="17"/>
      <c r="I647" s="12"/>
      <c r="J647" s="12"/>
      <c r="K647" s="12"/>
      <c r="L647" s="12"/>
      <c r="M647" s="12"/>
      <c r="N647" s="12"/>
      <c r="O647" s="12"/>
      <c r="P647" s="12"/>
      <c r="Q647" s="12"/>
      <c r="R647" s="12"/>
      <c r="S647" s="12"/>
      <c r="T647" s="12"/>
      <c r="U647" s="12"/>
      <c r="V647" s="12"/>
      <c r="W647" s="12"/>
      <c r="X647" s="12"/>
      <c r="Y647" s="12"/>
      <c r="Z647" s="12"/>
      <c r="AA647" s="12"/>
    </row>
    <row r="648" ht="13.5" customHeight="1">
      <c r="A648" s="17"/>
      <c r="B648" s="12"/>
      <c r="C648" s="12"/>
      <c r="D648" s="17"/>
      <c r="E648" s="12"/>
      <c r="F648" s="12"/>
      <c r="G648" s="17"/>
      <c r="H648" s="17"/>
      <c r="I648" s="12"/>
      <c r="J648" s="12"/>
      <c r="K648" s="12"/>
      <c r="L648" s="12"/>
      <c r="M648" s="12"/>
      <c r="N648" s="12"/>
      <c r="O648" s="12"/>
      <c r="P648" s="12"/>
      <c r="Q648" s="12"/>
      <c r="R648" s="12"/>
      <c r="S648" s="12"/>
      <c r="T648" s="12"/>
      <c r="U648" s="12"/>
      <c r="V648" s="12"/>
      <c r="W648" s="12"/>
      <c r="X648" s="12"/>
      <c r="Y648" s="12"/>
      <c r="Z648" s="12"/>
      <c r="AA648" s="12"/>
    </row>
    <row r="649" ht="13.5" customHeight="1">
      <c r="A649" s="17"/>
      <c r="B649" s="12"/>
      <c r="C649" s="12"/>
      <c r="D649" s="17"/>
      <c r="E649" s="12"/>
      <c r="F649" s="12"/>
      <c r="G649" s="17"/>
      <c r="H649" s="17"/>
      <c r="I649" s="12"/>
      <c r="J649" s="12"/>
      <c r="K649" s="12"/>
      <c r="L649" s="12"/>
      <c r="M649" s="12"/>
      <c r="N649" s="12"/>
      <c r="O649" s="12"/>
      <c r="P649" s="12"/>
      <c r="Q649" s="12"/>
      <c r="R649" s="12"/>
      <c r="S649" s="12"/>
      <c r="T649" s="12"/>
      <c r="U649" s="12"/>
      <c r="V649" s="12"/>
      <c r="W649" s="12"/>
      <c r="X649" s="12"/>
      <c r="Y649" s="12"/>
      <c r="Z649" s="12"/>
      <c r="AA649" s="12"/>
    </row>
    <row r="650" ht="13.5" customHeight="1">
      <c r="A650" s="17"/>
      <c r="B650" s="12"/>
      <c r="C650" s="12"/>
      <c r="D650" s="17"/>
      <c r="E650" s="12"/>
      <c r="F650" s="12"/>
      <c r="G650" s="17"/>
      <c r="H650" s="17"/>
      <c r="I650" s="12"/>
      <c r="J650" s="12"/>
      <c r="K650" s="12"/>
      <c r="L650" s="12"/>
      <c r="M650" s="12"/>
      <c r="N650" s="12"/>
      <c r="O650" s="12"/>
      <c r="P650" s="12"/>
      <c r="Q650" s="12"/>
      <c r="R650" s="12"/>
      <c r="S650" s="12"/>
      <c r="T650" s="12"/>
      <c r="U650" s="12"/>
      <c r="V650" s="12"/>
      <c r="W650" s="12"/>
      <c r="X650" s="12"/>
      <c r="Y650" s="12"/>
      <c r="Z650" s="12"/>
      <c r="AA650" s="12"/>
    </row>
    <row r="651" ht="13.5" customHeight="1">
      <c r="A651" s="17"/>
      <c r="B651" s="12"/>
      <c r="C651" s="12"/>
      <c r="D651" s="17"/>
      <c r="E651" s="12"/>
      <c r="F651" s="12"/>
      <c r="G651" s="17"/>
      <c r="H651" s="17"/>
      <c r="I651" s="12"/>
      <c r="J651" s="12"/>
      <c r="K651" s="12"/>
      <c r="L651" s="12"/>
      <c r="M651" s="12"/>
      <c r="N651" s="12"/>
      <c r="O651" s="12"/>
      <c r="P651" s="12"/>
      <c r="Q651" s="12"/>
      <c r="R651" s="12"/>
      <c r="S651" s="12"/>
      <c r="T651" s="12"/>
      <c r="U651" s="12"/>
      <c r="V651" s="12"/>
      <c r="W651" s="12"/>
      <c r="X651" s="12"/>
      <c r="Y651" s="12"/>
      <c r="Z651" s="12"/>
      <c r="AA651" s="12"/>
    </row>
    <row r="652" ht="13.5" customHeight="1">
      <c r="A652" s="17"/>
      <c r="B652" s="12"/>
      <c r="C652" s="12"/>
      <c r="D652" s="17"/>
      <c r="E652" s="12"/>
      <c r="F652" s="12"/>
      <c r="G652" s="17"/>
      <c r="H652" s="17"/>
      <c r="I652" s="12"/>
      <c r="J652" s="12"/>
      <c r="K652" s="12"/>
      <c r="L652" s="12"/>
      <c r="M652" s="12"/>
      <c r="N652" s="12"/>
      <c r="O652" s="12"/>
      <c r="P652" s="12"/>
      <c r="Q652" s="12"/>
      <c r="R652" s="12"/>
      <c r="S652" s="12"/>
      <c r="T652" s="12"/>
      <c r="U652" s="12"/>
      <c r="V652" s="12"/>
      <c r="W652" s="12"/>
      <c r="X652" s="12"/>
      <c r="Y652" s="12"/>
      <c r="Z652" s="12"/>
      <c r="AA652" s="12"/>
    </row>
    <row r="653" ht="13.5" customHeight="1">
      <c r="A653" s="17"/>
      <c r="B653" s="12"/>
      <c r="C653" s="12"/>
      <c r="D653" s="17"/>
      <c r="E653" s="12"/>
      <c r="F653" s="12"/>
      <c r="G653" s="17"/>
      <c r="H653" s="17"/>
      <c r="I653" s="12"/>
      <c r="J653" s="12"/>
      <c r="K653" s="12"/>
      <c r="L653" s="12"/>
      <c r="M653" s="12"/>
      <c r="N653" s="12"/>
      <c r="O653" s="12"/>
      <c r="P653" s="12"/>
      <c r="Q653" s="12"/>
      <c r="R653" s="12"/>
      <c r="S653" s="12"/>
      <c r="T653" s="12"/>
      <c r="U653" s="12"/>
      <c r="V653" s="12"/>
      <c r="W653" s="12"/>
      <c r="X653" s="12"/>
      <c r="Y653" s="12"/>
      <c r="Z653" s="12"/>
      <c r="AA653" s="12"/>
    </row>
    <row r="654" ht="13.5" customHeight="1">
      <c r="A654" s="17"/>
      <c r="B654" s="12"/>
      <c r="C654" s="12"/>
      <c r="D654" s="17"/>
      <c r="E654" s="12"/>
      <c r="F654" s="12"/>
      <c r="G654" s="17"/>
      <c r="H654" s="17"/>
      <c r="I654" s="12"/>
      <c r="J654" s="12"/>
      <c r="K654" s="12"/>
      <c r="L654" s="12"/>
      <c r="M654" s="12"/>
      <c r="N654" s="12"/>
      <c r="O654" s="12"/>
      <c r="P654" s="12"/>
      <c r="Q654" s="12"/>
      <c r="R654" s="12"/>
      <c r="S654" s="12"/>
      <c r="T654" s="12"/>
      <c r="U654" s="12"/>
      <c r="V654" s="12"/>
      <c r="W654" s="12"/>
      <c r="X654" s="12"/>
      <c r="Y654" s="12"/>
      <c r="Z654" s="12"/>
      <c r="AA654" s="12"/>
    </row>
    <row r="655" ht="13.5" customHeight="1">
      <c r="A655" s="17"/>
      <c r="B655" s="12"/>
      <c r="C655" s="12"/>
      <c r="D655" s="17"/>
      <c r="E655" s="12"/>
      <c r="F655" s="12"/>
      <c r="G655" s="17"/>
      <c r="H655" s="17"/>
      <c r="I655" s="12"/>
      <c r="J655" s="12"/>
      <c r="K655" s="12"/>
      <c r="L655" s="12"/>
      <c r="M655" s="12"/>
      <c r="N655" s="12"/>
      <c r="O655" s="12"/>
      <c r="P655" s="12"/>
      <c r="Q655" s="12"/>
      <c r="R655" s="12"/>
      <c r="S655" s="12"/>
      <c r="T655" s="12"/>
      <c r="U655" s="12"/>
      <c r="V655" s="12"/>
      <c r="W655" s="12"/>
      <c r="X655" s="12"/>
      <c r="Y655" s="12"/>
      <c r="Z655" s="12"/>
      <c r="AA655" s="12"/>
    </row>
    <row r="656" ht="13.5" customHeight="1">
      <c r="A656" s="17"/>
      <c r="B656" s="12"/>
      <c r="C656" s="12"/>
      <c r="D656" s="17"/>
      <c r="E656" s="12"/>
      <c r="F656" s="12"/>
      <c r="G656" s="17"/>
      <c r="H656" s="17"/>
      <c r="I656" s="12"/>
      <c r="J656" s="12"/>
      <c r="K656" s="12"/>
      <c r="L656" s="12"/>
      <c r="M656" s="12"/>
      <c r="N656" s="12"/>
      <c r="O656" s="12"/>
      <c r="P656" s="12"/>
      <c r="Q656" s="12"/>
      <c r="R656" s="12"/>
      <c r="S656" s="12"/>
      <c r="T656" s="12"/>
      <c r="U656" s="12"/>
      <c r="V656" s="12"/>
      <c r="W656" s="12"/>
      <c r="X656" s="12"/>
      <c r="Y656" s="12"/>
      <c r="Z656" s="12"/>
      <c r="AA656" s="12"/>
    </row>
    <row r="657" ht="13.5" customHeight="1">
      <c r="A657" s="17"/>
      <c r="B657" s="12"/>
      <c r="C657" s="12"/>
      <c r="D657" s="17"/>
      <c r="E657" s="12"/>
      <c r="F657" s="12"/>
      <c r="G657" s="17"/>
      <c r="H657" s="17"/>
      <c r="I657" s="12"/>
      <c r="J657" s="12"/>
      <c r="K657" s="12"/>
      <c r="L657" s="12"/>
      <c r="M657" s="12"/>
      <c r="N657" s="12"/>
      <c r="O657" s="12"/>
      <c r="P657" s="12"/>
      <c r="Q657" s="12"/>
      <c r="R657" s="12"/>
      <c r="S657" s="12"/>
      <c r="T657" s="12"/>
      <c r="U657" s="12"/>
      <c r="V657" s="12"/>
      <c r="W657" s="12"/>
      <c r="X657" s="12"/>
      <c r="Y657" s="12"/>
      <c r="Z657" s="12"/>
      <c r="AA657" s="12"/>
    </row>
    <row r="658" ht="13.5" customHeight="1">
      <c r="A658" s="17"/>
      <c r="B658" s="12"/>
      <c r="C658" s="12"/>
      <c r="D658" s="17"/>
      <c r="E658" s="12"/>
      <c r="F658" s="12"/>
      <c r="G658" s="17"/>
      <c r="H658" s="17"/>
      <c r="I658" s="12"/>
      <c r="J658" s="12"/>
      <c r="K658" s="12"/>
      <c r="L658" s="12"/>
      <c r="M658" s="12"/>
      <c r="N658" s="12"/>
      <c r="O658" s="12"/>
      <c r="P658" s="12"/>
      <c r="Q658" s="12"/>
      <c r="R658" s="12"/>
      <c r="S658" s="12"/>
      <c r="T658" s="12"/>
      <c r="U658" s="12"/>
      <c r="V658" s="12"/>
      <c r="W658" s="12"/>
      <c r="X658" s="12"/>
      <c r="Y658" s="12"/>
      <c r="Z658" s="12"/>
      <c r="AA658" s="12"/>
    </row>
    <row r="659" ht="13.5" customHeight="1">
      <c r="A659" s="17"/>
      <c r="B659" s="12"/>
      <c r="C659" s="12"/>
      <c r="D659" s="17"/>
      <c r="E659" s="12"/>
      <c r="F659" s="12"/>
      <c r="G659" s="17"/>
      <c r="H659" s="17"/>
      <c r="I659" s="12"/>
      <c r="J659" s="12"/>
      <c r="K659" s="12"/>
      <c r="L659" s="12"/>
      <c r="M659" s="12"/>
      <c r="N659" s="12"/>
      <c r="O659" s="12"/>
      <c r="P659" s="12"/>
      <c r="Q659" s="12"/>
      <c r="R659" s="12"/>
      <c r="S659" s="12"/>
      <c r="T659" s="12"/>
      <c r="U659" s="12"/>
      <c r="V659" s="12"/>
      <c r="W659" s="12"/>
      <c r="X659" s="12"/>
      <c r="Y659" s="12"/>
      <c r="Z659" s="12"/>
      <c r="AA659" s="12"/>
    </row>
    <row r="660" ht="13.5" customHeight="1">
      <c r="A660" s="17"/>
      <c r="B660" s="12"/>
      <c r="C660" s="12"/>
      <c r="D660" s="17"/>
      <c r="E660" s="12"/>
      <c r="F660" s="12"/>
      <c r="G660" s="17"/>
      <c r="H660" s="17"/>
      <c r="I660" s="12"/>
      <c r="J660" s="12"/>
      <c r="K660" s="12"/>
      <c r="L660" s="12"/>
      <c r="M660" s="12"/>
      <c r="N660" s="12"/>
      <c r="O660" s="12"/>
      <c r="P660" s="12"/>
      <c r="Q660" s="12"/>
      <c r="R660" s="12"/>
      <c r="S660" s="12"/>
      <c r="T660" s="12"/>
      <c r="U660" s="12"/>
      <c r="V660" s="12"/>
      <c r="W660" s="12"/>
      <c r="X660" s="12"/>
      <c r="Y660" s="12"/>
      <c r="Z660" s="12"/>
      <c r="AA660" s="12"/>
    </row>
    <row r="661" ht="13.5" customHeight="1">
      <c r="A661" s="17"/>
      <c r="B661" s="12"/>
      <c r="C661" s="12"/>
      <c r="D661" s="17"/>
      <c r="E661" s="12"/>
      <c r="F661" s="12"/>
      <c r="G661" s="17"/>
      <c r="H661" s="17"/>
      <c r="I661" s="12"/>
      <c r="J661" s="12"/>
      <c r="K661" s="12"/>
      <c r="L661" s="12"/>
      <c r="M661" s="12"/>
      <c r="N661" s="12"/>
      <c r="O661" s="12"/>
      <c r="P661" s="12"/>
      <c r="Q661" s="12"/>
      <c r="R661" s="12"/>
      <c r="S661" s="12"/>
      <c r="T661" s="12"/>
      <c r="U661" s="12"/>
      <c r="V661" s="12"/>
      <c r="W661" s="12"/>
      <c r="X661" s="12"/>
      <c r="Y661" s="12"/>
      <c r="Z661" s="12"/>
      <c r="AA661" s="12"/>
    </row>
    <row r="662" ht="13.5" customHeight="1">
      <c r="A662" s="17"/>
      <c r="B662" s="12"/>
      <c r="C662" s="12"/>
      <c r="D662" s="17"/>
      <c r="E662" s="12"/>
      <c r="F662" s="12"/>
      <c r="G662" s="17"/>
      <c r="H662" s="17"/>
      <c r="I662" s="12"/>
      <c r="J662" s="12"/>
      <c r="K662" s="12"/>
      <c r="L662" s="12"/>
      <c r="M662" s="12"/>
      <c r="N662" s="12"/>
      <c r="O662" s="12"/>
      <c r="P662" s="12"/>
      <c r="Q662" s="12"/>
      <c r="R662" s="12"/>
      <c r="S662" s="12"/>
      <c r="T662" s="12"/>
      <c r="U662" s="12"/>
      <c r="V662" s="12"/>
      <c r="W662" s="12"/>
      <c r="X662" s="12"/>
      <c r="Y662" s="12"/>
      <c r="Z662" s="12"/>
      <c r="AA662" s="12"/>
    </row>
    <row r="663" ht="13.5" customHeight="1">
      <c r="A663" s="17"/>
      <c r="B663" s="12"/>
      <c r="C663" s="12"/>
      <c r="D663" s="17"/>
      <c r="E663" s="12"/>
      <c r="F663" s="12"/>
      <c r="G663" s="17"/>
      <c r="H663" s="17"/>
      <c r="I663" s="12"/>
      <c r="J663" s="12"/>
      <c r="K663" s="12"/>
      <c r="L663" s="12"/>
      <c r="M663" s="12"/>
      <c r="N663" s="12"/>
      <c r="O663" s="12"/>
      <c r="P663" s="12"/>
      <c r="Q663" s="12"/>
      <c r="R663" s="12"/>
      <c r="S663" s="12"/>
      <c r="T663" s="12"/>
      <c r="U663" s="12"/>
      <c r="V663" s="12"/>
      <c r="W663" s="12"/>
      <c r="X663" s="12"/>
      <c r="Y663" s="12"/>
      <c r="Z663" s="12"/>
      <c r="AA663" s="12"/>
    </row>
    <row r="664" ht="13.5" customHeight="1">
      <c r="A664" s="17"/>
      <c r="B664" s="12"/>
      <c r="C664" s="12"/>
      <c r="D664" s="17"/>
      <c r="E664" s="12"/>
      <c r="F664" s="12"/>
      <c r="G664" s="17"/>
      <c r="H664" s="17"/>
      <c r="I664" s="12"/>
      <c r="J664" s="12"/>
      <c r="K664" s="12"/>
      <c r="L664" s="12"/>
      <c r="M664" s="12"/>
      <c r="N664" s="12"/>
      <c r="O664" s="12"/>
      <c r="P664" s="12"/>
      <c r="Q664" s="12"/>
      <c r="R664" s="12"/>
      <c r="S664" s="12"/>
      <c r="T664" s="12"/>
      <c r="U664" s="12"/>
      <c r="V664" s="12"/>
      <c r="W664" s="12"/>
      <c r="X664" s="12"/>
      <c r="Y664" s="12"/>
      <c r="Z664" s="12"/>
      <c r="AA664" s="12"/>
    </row>
    <row r="665" ht="13.5" customHeight="1">
      <c r="A665" s="17"/>
      <c r="B665" s="12"/>
      <c r="C665" s="12"/>
      <c r="D665" s="17"/>
      <c r="E665" s="12"/>
      <c r="F665" s="12"/>
      <c r="G665" s="17"/>
      <c r="H665" s="17"/>
      <c r="I665" s="12"/>
      <c r="J665" s="12"/>
      <c r="K665" s="12"/>
      <c r="L665" s="12"/>
      <c r="M665" s="12"/>
      <c r="N665" s="12"/>
      <c r="O665" s="12"/>
      <c r="P665" s="12"/>
      <c r="Q665" s="12"/>
      <c r="R665" s="12"/>
      <c r="S665" s="12"/>
      <c r="T665" s="12"/>
      <c r="U665" s="12"/>
      <c r="V665" s="12"/>
      <c r="W665" s="12"/>
      <c r="X665" s="12"/>
      <c r="Y665" s="12"/>
      <c r="Z665" s="12"/>
      <c r="AA665" s="12"/>
    </row>
    <row r="666" ht="13.5" customHeight="1">
      <c r="A666" s="17"/>
      <c r="B666" s="12"/>
      <c r="C666" s="12"/>
      <c r="D666" s="17"/>
      <c r="E666" s="12"/>
      <c r="F666" s="12"/>
      <c r="G666" s="17"/>
      <c r="H666" s="17"/>
      <c r="I666" s="12"/>
      <c r="J666" s="12"/>
      <c r="K666" s="12"/>
      <c r="L666" s="12"/>
      <c r="M666" s="12"/>
      <c r="N666" s="12"/>
      <c r="O666" s="12"/>
      <c r="P666" s="12"/>
      <c r="Q666" s="12"/>
      <c r="R666" s="12"/>
      <c r="S666" s="12"/>
      <c r="T666" s="12"/>
      <c r="U666" s="12"/>
      <c r="V666" s="12"/>
      <c r="W666" s="12"/>
      <c r="X666" s="12"/>
      <c r="Y666" s="12"/>
      <c r="Z666" s="12"/>
      <c r="AA666" s="12"/>
    </row>
    <row r="667" ht="13.5" customHeight="1">
      <c r="A667" s="17"/>
      <c r="B667" s="12"/>
      <c r="C667" s="12"/>
      <c r="D667" s="17"/>
      <c r="E667" s="12"/>
      <c r="F667" s="12"/>
      <c r="G667" s="17"/>
      <c r="H667" s="17"/>
      <c r="I667" s="12"/>
      <c r="J667" s="12"/>
      <c r="K667" s="12"/>
      <c r="L667" s="12"/>
      <c r="M667" s="12"/>
      <c r="N667" s="12"/>
      <c r="O667" s="12"/>
      <c r="P667" s="12"/>
      <c r="Q667" s="12"/>
      <c r="R667" s="12"/>
      <c r="S667" s="12"/>
      <c r="T667" s="12"/>
      <c r="U667" s="12"/>
      <c r="V667" s="12"/>
      <c r="W667" s="12"/>
      <c r="X667" s="12"/>
      <c r="Y667" s="12"/>
      <c r="Z667" s="12"/>
      <c r="AA667" s="12"/>
    </row>
    <row r="668" ht="13.5" customHeight="1">
      <c r="A668" s="17"/>
      <c r="B668" s="12"/>
      <c r="C668" s="12"/>
      <c r="D668" s="17"/>
      <c r="E668" s="12"/>
      <c r="F668" s="12"/>
      <c r="G668" s="17"/>
      <c r="H668" s="17"/>
      <c r="I668" s="12"/>
      <c r="J668" s="12"/>
      <c r="K668" s="12"/>
      <c r="L668" s="12"/>
      <c r="M668" s="12"/>
      <c r="N668" s="12"/>
      <c r="O668" s="12"/>
      <c r="P668" s="12"/>
      <c r="Q668" s="12"/>
      <c r="R668" s="12"/>
      <c r="S668" s="12"/>
      <c r="T668" s="12"/>
      <c r="U668" s="12"/>
      <c r="V668" s="12"/>
      <c r="W668" s="12"/>
      <c r="X668" s="12"/>
      <c r="Y668" s="12"/>
      <c r="Z668" s="12"/>
      <c r="AA668" s="12"/>
    </row>
    <row r="669" ht="13.5" customHeight="1">
      <c r="A669" s="17"/>
      <c r="B669" s="12"/>
      <c r="C669" s="12"/>
      <c r="D669" s="17"/>
      <c r="E669" s="12"/>
      <c r="F669" s="12"/>
      <c r="G669" s="17"/>
      <c r="H669" s="17"/>
      <c r="I669" s="12"/>
      <c r="J669" s="12"/>
      <c r="K669" s="12"/>
      <c r="L669" s="12"/>
      <c r="M669" s="12"/>
      <c r="N669" s="12"/>
      <c r="O669" s="12"/>
      <c r="P669" s="12"/>
      <c r="Q669" s="12"/>
      <c r="R669" s="12"/>
      <c r="S669" s="12"/>
      <c r="T669" s="12"/>
      <c r="U669" s="12"/>
      <c r="V669" s="12"/>
      <c r="W669" s="12"/>
      <c r="X669" s="12"/>
      <c r="Y669" s="12"/>
      <c r="Z669" s="12"/>
      <c r="AA669" s="12"/>
    </row>
    <row r="670" ht="13.5" customHeight="1">
      <c r="A670" s="17"/>
      <c r="B670" s="12"/>
      <c r="C670" s="12"/>
      <c r="D670" s="17"/>
      <c r="E670" s="12"/>
      <c r="F670" s="12"/>
      <c r="G670" s="17"/>
      <c r="H670" s="17"/>
      <c r="I670" s="12"/>
      <c r="J670" s="12"/>
      <c r="K670" s="12"/>
      <c r="L670" s="12"/>
      <c r="M670" s="12"/>
      <c r="N670" s="12"/>
      <c r="O670" s="12"/>
      <c r="P670" s="12"/>
      <c r="Q670" s="12"/>
      <c r="R670" s="12"/>
      <c r="S670" s="12"/>
      <c r="T670" s="12"/>
      <c r="U670" s="12"/>
      <c r="V670" s="12"/>
      <c r="W670" s="12"/>
      <c r="X670" s="12"/>
      <c r="Y670" s="12"/>
      <c r="Z670" s="12"/>
      <c r="AA670" s="12"/>
    </row>
    <row r="671" ht="13.5" customHeight="1">
      <c r="A671" s="17"/>
      <c r="B671" s="12"/>
      <c r="C671" s="12"/>
      <c r="D671" s="17"/>
      <c r="E671" s="12"/>
      <c r="F671" s="12"/>
      <c r="G671" s="17"/>
      <c r="H671" s="17"/>
      <c r="I671" s="12"/>
      <c r="J671" s="12"/>
      <c r="K671" s="12"/>
      <c r="L671" s="12"/>
      <c r="M671" s="12"/>
      <c r="N671" s="12"/>
      <c r="O671" s="12"/>
      <c r="P671" s="12"/>
      <c r="Q671" s="12"/>
      <c r="R671" s="12"/>
      <c r="S671" s="12"/>
      <c r="T671" s="12"/>
      <c r="U671" s="12"/>
      <c r="V671" s="12"/>
      <c r="W671" s="12"/>
      <c r="X671" s="12"/>
      <c r="Y671" s="12"/>
      <c r="Z671" s="12"/>
      <c r="AA671" s="12"/>
    </row>
    <row r="672" ht="13.5" customHeight="1">
      <c r="A672" s="17"/>
      <c r="B672" s="12"/>
      <c r="C672" s="12"/>
      <c r="D672" s="17"/>
      <c r="E672" s="12"/>
      <c r="F672" s="12"/>
      <c r="G672" s="17"/>
      <c r="H672" s="17"/>
      <c r="I672" s="12"/>
      <c r="J672" s="12"/>
      <c r="K672" s="12"/>
      <c r="L672" s="12"/>
      <c r="M672" s="12"/>
      <c r="N672" s="12"/>
      <c r="O672" s="12"/>
      <c r="P672" s="12"/>
      <c r="Q672" s="12"/>
      <c r="R672" s="12"/>
      <c r="S672" s="12"/>
      <c r="T672" s="12"/>
      <c r="U672" s="12"/>
      <c r="V672" s="12"/>
      <c r="W672" s="12"/>
      <c r="X672" s="12"/>
      <c r="Y672" s="12"/>
      <c r="Z672" s="12"/>
      <c r="AA672" s="12"/>
    </row>
    <row r="673" ht="13.5" customHeight="1">
      <c r="A673" s="17"/>
      <c r="B673" s="12"/>
      <c r="C673" s="12"/>
      <c r="D673" s="17"/>
      <c r="E673" s="12"/>
      <c r="F673" s="12"/>
      <c r="G673" s="17"/>
      <c r="H673" s="17"/>
      <c r="I673" s="12"/>
      <c r="J673" s="12"/>
      <c r="K673" s="12"/>
      <c r="L673" s="12"/>
      <c r="M673" s="12"/>
      <c r="N673" s="12"/>
      <c r="O673" s="12"/>
      <c r="P673" s="12"/>
      <c r="Q673" s="12"/>
      <c r="R673" s="12"/>
      <c r="S673" s="12"/>
      <c r="T673" s="12"/>
      <c r="U673" s="12"/>
      <c r="V673" s="12"/>
      <c r="W673" s="12"/>
      <c r="X673" s="12"/>
      <c r="Y673" s="12"/>
      <c r="Z673" s="12"/>
      <c r="AA673" s="12"/>
    </row>
    <row r="674" ht="13.5" customHeight="1">
      <c r="A674" s="17"/>
      <c r="B674" s="12"/>
      <c r="C674" s="12"/>
      <c r="D674" s="17"/>
      <c r="E674" s="12"/>
      <c r="F674" s="12"/>
      <c r="G674" s="17"/>
      <c r="H674" s="17"/>
      <c r="I674" s="12"/>
      <c r="J674" s="12"/>
      <c r="K674" s="12"/>
      <c r="L674" s="12"/>
      <c r="M674" s="12"/>
      <c r="N674" s="12"/>
      <c r="O674" s="12"/>
      <c r="P674" s="12"/>
      <c r="Q674" s="12"/>
      <c r="R674" s="12"/>
      <c r="S674" s="12"/>
      <c r="T674" s="12"/>
      <c r="U674" s="12"/>
      <c r="V674" s="12"/>
      <c r="W674" s="12"/>
      <c r="X674" s="12"/>
      <c r="Y674" s="12"/>
      <c r="Z674" s="12"/>
      <c r="AA674" s="12"/>
    </row>
    <row r="675" ht="13.5" customHeight="1">
      <c r="A675" s="17"/>
      <c r="B675" s="12"/>
      <c r="C675" s="12"/>
      <c r="D675" s="17"/>
      <c r="E675" s="12"/>
      <c r="F675" s="12"/>
      <c r="G675" s="17"/>
      <c r="H675" s="17"/>
      <c r="I675" s="12"/>
      <c r="J675" s="12"/>
      <c r="K675" s="12"/>
      <c r="L675" s="12"/>
      <c r="M675" s="12"/>
      <c r="N675" s="12"/>
      <c r="O675" s="12"/>
      <c r="P675" s="12"/>
      <c r="Q675" s="12"/>
      <c r="R675" s="12"/>
      <c r="S675" s="12"/>
      <c r="T675" s="12"/>
      <c r="U675" s="12"/>
      <c r="V675" s="12"/>
      <c r="W675" s="12"/>
      <c r="X675" s="12"/>
      <c r="Y675" s="12"/>
      <c r="Z675" s="12"/>
      <c r="AA675" s="12"/>
    </row>
    <row r="676" ht="13.5" customHeight="1">
      <c r="A676" s="17"/>
      <c r="B676" s="12"/>
      <c r="C676" s="12"/>
      <c r="D676" s="17"/>
      <c r="E676" s="12"/>
      <c r="F676" s="12"/>
      <c r="G676" s="17"/>
      <c r="H676" s="17"/>
      <c r="I676" s="12"/>
      <c r="J676" s="12"/>
      <c r="K676" s="12"/>
      <c r="L676" s="12"/>
      <c r="M676" s="12"/>
      <c r="N676" s="12"/>
      <c r="O676" s="12"/>
      <c r="P676" s="12"/>
      <c r="Q676" s="12"/>
      <c r="R676" s="12"/>
      <c r="S676" s="12"/>
      <c r="T676" s="12"/>
      <c r="U676" s="12"/>
      <c r="V676" s="12"/>
      <c r="W676" s="12"/>
      <c r="X676" s="12"/>
      <c r="Y676" s="12"/>
      <c r="Z676" s="12"/>
      <c r="AA676" s="12"/>
    </row>
    <row r="677" ht="13.5" customHeight="1">
      <c r="A677" s="17"/>
      <c r="B677" s="12"/>
      <c r="C677" s="12"/>
      <c r="D677" s="17"/>
      <c r="E677" s="12"/>
      <c r="F677" s="12"/>
      <c r="G677" s="17"/>
      <c r="H677" s="17"/>
      <c r="I677" s="12"/>
      <c r="J677" s="12"/>
      <c r="K677" s="12"/>
      <c r="L677" s="12"/>
      <c r="M677" s="12"/>
      <c r="N677" s="12"/>
      <c r="O677" s="12"/>
      <c r="P677" s="12"/>
      <c r="Q677" s="12"/>
      <c r="R677" s="12"/>
      <c r="S677" s="12"/>
      <c r="T677" s="12"/>
      <c r="U677" s="12"/>
      <c r="V677" s="12"/>
      <c r="W677" s="12"/>
      <c r="X677" s="12"/>
      <c r="Y677" s="12"/>
      <c r="Z677" s="12"/>
      <c r="AA677" s="12"/>
    </row>
    <row r="678" ht="13.5" customHeight="1">
      <c r="A678" s="17"/>
      <c r="B678" s="12"/>
      <c r="C678" s="12"/>
      <c r="D678" s="17"/>
      <c r="E678" s="12"/>
      <c r="F678" s="12"/>
      <c r="G678" s="17"/>
      <c r="H678" s="17"/>
      <c r="I678" s="12"/>
      <c r="J678" s="12"/>
      <c r="K678" s="12"/>
      <c r="L678" s="12"/>
      <c r="M678" s="12"/>
      <c r="N678" s="12"/>
      <c r="O678" s="12"/>
      <c r="P678" s="12"/>
      <c r="Q678" s="12"/>
      <c r="R678" s="12"/>
      <c r="S678" s="12"/>
      <c r="T678" s="12"/>
      <c r="U678" s="12"/>
      <c r="V678" s="12"/>
      <c r="W678" s="12"/>
      <c r="X678" s="12"/>
      <c r="Y678" s="12"/>
      <c r="Z678" s="12"/>
      <c r="AA678" s="12"/>
    </row>
    <row r="679" ht="13.5" customHeight="1">
      <c r="A679" s="17"/>
      <c r="B679" s="12"/>
      <c r="C679" s="12"/>
      <c r="D679" s="17"/>
      <c r="E679" s="12"/>
      <c r="F679" s="12"/>
      <c r="G679" s="17"/>
      <c r="H679" s="17"/>
      <c r="I679" s="12"/>
      <c r="J679" s="12"/>
      <c r="K679" s="12"/>
      <c r="L679" s="12"/>
      <c r="M679" s="12"/>
      <c r="N679" s="12"/>
      <c r="O679" s="12"/>
      <c r="P679" s="12"/>
      <c r="Q679" s="12"/>
      <c r="R679" s="12"/>
      <c r="S679" s="12"/>
      <c r="T679" s="12"/>
      <c r="U679" s="12"/>
      <c r="V679" s="12"/>
      <c r="W679" s="12"/>
      <c r="X679" s="12"/>
      <c r="Y679" s="12"/>
      <c r="Z679" s="12"/>
      <c r="AA679" s="12"/>
    </row>
    <row r="680" ht="13.5" customHeight="1">
      <c r="A680" s="17"/>
      <c r="B680" s="12"/>
      <c r="C680" s="12"/>
      <c r="D680" s="17"/>
      <c r="E680" s="12"/>
      <c r="F680" s="12"/>
      <c r="G680" s="17"/>
      <c r="H680" s="17"/>
      <c r="I680" s="12"/>
      <c r="J680" s="12"/>
      <c r="K680" s="12"/>
      <c r="L680" s="12"/>
      <c r="M680" s="12"/>
      <c r="N680" s="12"/>
      <c r="O680" s="12"/>
      <c r="P680" s="12"/>
      <c r="Q680" s="12"/>
      <c r="R680" s="12"/>
      <c r="S680" s="12"/>
      <c r="T680" s="12"/>
      <c r="U680" s="12"/>
      <c r="V680" s="12"/>
      <c r="W680" s="12"/>
      <c r="X680" s="12"/>
      <c r="Y680" s="12"/>
      <c r="Z680" s="12"/>
      <c r="AA680" s="12"/>
    </row>
    <row r="681" ht="13.5" customHeight="1">
      <c r="A681" s="17"/>
      <c r="B681" s="12"/>
      <c r="C681" s="12"/>
      <c r="D681" s="17"/>
      <c r="E681" s="12"/>
      <c r="F681" s="12"/>
      <c r="G681" s="17"/>
      <c r="H681" s="17"/>
      <c r="I681" s="12"/>
      <c r="J681" s="12"/>
      <c r="K681" s="12"/>
      <c r="L681" s="12"/>
      <c r="M681" s="12"/>
      <c r="N681" s="12"/>
      <c r="O681" s="12"/>
      <c r="P681" s="12"/>
      <c r="Q681" s="12"/>
      <c r="R681" s="12"/>
      <c r="S681" s="12"/>
      <c r="T681" s="12"/>
      <c r="U681" s="12"/>
      <c r="V681" s="12"/>
      <c r="W681" s="12"/>
      <c r="X681" s="12"/>
      <c r="Y681" s="12"/>
      <c r="Z681" s="12"/>
      <c r="AA681" s="12"/>
    </row>
    <row r="682" ht="13.5" customHeight="1">
      <c r="A682" s="17"/>
      <c r="B682" s="12"/>
      <c r="C682" s="12"/>
      <c r="D682" s="17"/>
      <c r="E682" s="12"/>
      <c r="F682" s="12"/>
      <c r="G682" s="17"/>
      <c r="H682" s="17"/>
      <c r="I682" s="12"/>
      <c r="J682" s="12"/>
      <c r="K682" s="12"/>
      <c r="L682" s="12"/>
      <c r="M682" s="12"/>
      <c r="N682" s="12"/>
      <c r="O682" s="12"/>
      <c r="P682" s="12"/>
      <c r="Q682" s="12"/>
      <c r="R682" s="12"/>
      <c r="S682" s="12"/>
      <c r="T682" s="12"/>
      <c r="U682" s="12"/>
      <c r="V682" s="12"/>
      <c r="W682" s="12"/>
      <c r="X682" s="12"/>
      <c r="Y682" s="12"/>
      <c r="Z682" s="12"/>
      <c r="AA682" s="12"/>
    </row>
    <row r="683" ht="13.5" customHeight="1">
      <c r="A683" s="17"/>
      <c r="B683" s="12"/>
      <c r="C683" s="12"/>
      <c r="D683" s="17"/>
      <c r="E683" s="12"/>
      <c r="F683" s="12"/>
      <c r="G683" s="17"/>
      <c r="H683" s="17"/>
      <c r="I683" s="12"/>
      <c r="J683" s="12"/>
      <c r="K683" s="12"/>
      <c r="L683" s="12"/>
      <c r="M683" s="12"/>
      <c r="N683" s="12"/>
      <c r="O683" s="12"/>
      <c r="P683" s="12"/>
      <c r="Q683" s="12"/>
      <c r="R683" s="12"/>
      <c r="S683" s="12"/>
      <c r="T683" s="12"/>
      <c r="U683" s="12"/>
      <c r="V683" s="12"/>
      <c r="W683" s="12"/>
      <c r="X683" s="12"/>
      <c r="Y683" s="12"/>
      <c r="Z683" s="12"/>
      <c r="AA683" s="12"/>
    </row>
    <row r="684" ht="13.5" customHeight="1">
      <c r="A684" s="17"/>
      <c r="B684" s="12"/>
      <c r="C684" s="12"/>
      <c r="D684" s="17"/>
      <c r="E684" s="12"/>
      <c r="F684" s="12"/>
      <c r="G684" s="17"/>
      <c r="H684" s="17"/>
      <c r="I684" s="12"/>
      <c r="J684" s="12"/>
      <c r="K684" s="12"/>
      <c r="L684" s="12"/>
      <c r="M684" s="12"/>
      <c r="N684" s="12"/>
      <c r="O684" s="12"/>
      <c r="P684" s="12"/>
      <c r="Q684" s="12"/>
      <c r="R684" s="12"/>
      <c r="S684" s="12"/>
      <c r="T684" s="12"/>
      <c r="U684" s="12"/>
      <c r="V684" s="12"/>
      <c r="W684" s="12"/>
      <c r="X684" s="12"/>
      <c r="Y684" s="12"/>
      <c r="Z684" s="12"/>
      <c r="AA684" s="12"/>
    </row>
    <row r="685" ht="13.5" customHeight="1">
      <c r="A685" s="17"/>
      <c r="B685" s="12"/>
      <c r="C685" s="12"/>
      <c r="D685" s="17"/>
      <c r="E685" s="12"/>
      <c r="F685" s="12"/>
      <c r="G685" s="17"/>
      <c r="H685" s="17"/>
      <c r="I685" s="12"/>
      <c r="J685" s="12"/>
      <c r="K685" s="12"/>
      <c r="L685" s="12"/>
      <c r="M685" s="12"/>
      <c r="N685" s="12"/>
      <c r="O685" s="12"/>
      <c r="P685" s="12"/>
      <c r="Q685" s="12"/>
      <c r="R685" s="12"/>
      <c r="S685" s="12"/>
      <c r="T685" s="12"/>
      <c r="U685" s="12"/>
      <c r="V685" s="12"/>
      <c r="W685" s="12"/>
      <c r="X685" s="12"/>
      <c r="Y685" s="12"/>
      <c r="Z685" s="12"/>
      <c r="AA685" s="12"/>
    </row>
    <row r="686" ht="13.5" customHeight="1">
      <c r="A686" s="17"/>
      <c r="B686" s="12"/>
      <c r="C686" s="12"/>
      <c r="D686" s="17"/>
      <c r="E686" s="12"/>
      <c r="F686" s="12"/>
      <c r="G686" s="17"/>
      <c r="H686" s="17"/>
      <c r="I686" s="12"/>
      <c r="J686" s="12"/>
      <c r="K686" s="12"/>
      <c r="L686" s="12"/>
      <c r="M686" s="12"/>
      <c r="N686" s="12"/>
      <c r="O686" s="12"/>
      <c r="P686" s="12"/>
      <c r="Q686" s="12"/>
      <c r="R686" s="12"/>
      <c r="S686" s="12"/>
      <c r="T686" s="12"/>
      <c r="U686" s="12"/>
      <c r="V686" s="12"/>
      <c r="W686" s="12"/>
      <c r="X686" s="12"/>
      <c r="Y686" s="12"/>
      <c r="Z686" s="12"/>
      <c r="AA686" s="12"/>
    </row>
    <row r="687" ht="13.5" customHeight="1">
      <c r="A687" s="17"/>
      <c r="B687" s="12"/>
      <c r="C687" s="12"/>
      <c r="D687" s="17"/>
      <c r="E687" s="12"/>
      <c r="F687" s="12"/>
      <c r="G687" s="17"/>
      <c r="H687" s="17"/>
      <c r="I687" s="12"/>
      <c r="J687" s="12"/>
      <c r="K687" s="12"/>
      <c r="L687" s="12"/>
      <c r="M687" s="12"/>
      <c r="N687" s="12"/>
      <c r="O687" s="12"/>
      <c r="P687" s="12"/>
      <c r="Q687" s="12"/>
      <c r="R687" s="12"/>
      <c r="S687" s="12"/>
      <c r="T687" s="12"/>
      <c r="U687" s="12"/>
      <c r="V687" s="12"/>
      <c r="W687" s="12"/>
      <c r="X687" s="12"/>
      <c r="Y687" s="12"/>
      <c r="Z687" s="12"/>
      <c r="AA687" s="12"/>
    </row>
    <row r="688" ht="13.5" customHeight="1">
      <c r="A688" s="17"/>
      <c r="B688" s="12"/>
      <c r="C688" s="12"/>
      <c r="D688" s="17"/>
      <c r="E688" s="12"/>
      <c r="F688" s="12"/>
      <c r="G688" s="17"/>
      <c r="H688" s="17"/>
      <c r="I688" s="12"/>
      <c r="J688" s="12"/>
      <c r="K688" s="12"/>
      <c r="L688" s="12"/>
      <c r="M688" s="12"/>
      <c r="N688" s="12"/>
      <c r="O688" s="12"/>
      <c r="P688" s="12"/>
      <c r="Q688" s="12"/>
      <c r="R688" s="12"/>
      <c r="S688" s="12"/>
      <c r="T688" s="12"/>
      <c r="U688" s="12"/>
      <c r="V688" s="12"/>
      <c r="W688" s="12"/>
      <c r="X688" s="12"/>
      <c r="Y688" s="12"/>
      <c r="Z688" s="12"/>
      <c r="AA688" s="12"/>
    </row>
    <row r="689" ht="13.5" customHeight="1">
      <c r="A689" s="17"/>
      <c r="B689" s="12"/>
      <c r="C689" s="12"/>
      <c r="D689" s="17"/>
      <c r="E689" s="12"/>
      <c r="F689" s="12"/>
      <c r="G689" s="17"/>
      <c r="H689" s="17"/>
      <c r="I689" s="12"/>
      <c r="J689" s="12"/>
      <c r="K689" s="12"/>
      <c r="L689" s="12"/>
      <c r="M689" s="12"/>
      <c r="N689" s="12"/>
      <c r="O689" s="12"/>
      <c r="P689" s="12"/>
      <c r="Q689" s="12"/>
      <c r="R689" s="12"/>
      <c r="S689" s="12"/>
      <c r="T689" s="12"/>
      <c r="U689" s="12"/>
      <c r="V689" s="12"/>
      <c r="W689" s="12"/>
      <c r="X689" s="12"/>
      <c r="Y689" s="12"/>
      <c r="Z689" s="12"/>
      <c r="AA689" s="12"/>
    </row>
    <row r="690" ht="13.5" customHeight="1">
      <c r="A690" s="17"/>
      <c r="B690" s="12"/>
      <c r="C690" s="12"/>
      <c r="D690" s="17"/>
      <c r="E690" s="12"/>
      <c r="F690" s="12"/>
      <c r="G690" s="17"/>
      <c r="H690" s="17"/>
      <c r="I690" s="12"/>
      <c r="J690" s="12"/>
      <c r="K690" s="12"/>
      <c r="L690" s="12"/>
      <c r="M690" s="12"/>
      <c r="N690" s="12"/>
      <c r="O690" s="12"/>
      <c r="P690" s="12"/>
      <c r="Q690" s="12"/>
      <c r="R690" s="12"/>
      <c r="S690" s="12"/>
      <c r="T690" s="12"/>
      <c r="U690" s="12"/>
      <c r="V690" s="12"/>
      <c r="W690" s="12"/>
      <c r="X690" s="12"/>
      <c r="Y690" s="12"/>
      <c r="Z690" s="12"/>
      <c r="AA690" s="12"/>
    </row>
    <row r="691" ht="13.5" customHeight="1">
      <c r="A691" s="17"/>
      <c r="B691" s="12"/>
      <c r="C691" s="12"/>
      <c r="D691" s="17"/>
      <c r="E691" s="12"/>
      <c r="F691" s="12"/>
      <c r="G691" s="17"/>
      <c r="H691" s="17"/>
      <c r="I691" s="12"/>
      <c r="J691" s="12"/>
      <c r="K691" s="12"/>
      <c r="L691" s="12"/>
      <c r="M691" s="12"/>
      <c r="N691" s="12"/>
      <c r="O691" s="12"/>
      <c r="P691" s="12"/>
      <c r="Q691" s="12"/>
      <c r="R691" s="12"/>
      <c r="S691" s="12"/>
      <c r="T691" s="12"/>
      <c r="U691" s="12"/>
      <c r="V691" s="12"/>
      <c r="W691" s="12"/>
      <c r="X691" s="12"/>
      <c r="Y691" s="12"/>
      <c r="Z691" s="12"/>
      <c r="AA691" s="12"/>
    </row>
    <row r="692" ht="13.5" customHeight="1">
      <c r="A692" s="17"/>
      <c r="B692" s="12"/>
      <c r="C692" s="12"/>
      <c r="D692" s="17"/>
      <c r="E692" s="12"/>
      <c r="F692" s="12"/>
      <c r="G692" s="17"/>
      <c r="H692" s="17"/>
      <c r="I692" s="12"/>
      <c r="J692" s="12"/>
      <c r="K692" s="12"/>
      <c r="L692" s="12"/>
      <c r="M692" s="12"/>
      <c r="N692" s="12"/>
      <c r="O692" s="12"/>
      <c r="P692" s="12"/>
      <c r="Q692" s="12"/>
      <c r="R692" s="12"/>
      <c r="S692" s="12"/>
      <c r="T692" s="12"/>
      <c r="U692" s="12"/>
      <c r="V692" s="12"/>
      <c r="W692" s="12"/>
      <c r="X692" s="12"/>
      <c r="Y692" s="12"/>
      <c r="Z692" s="12"/>
      <c r="AA692" s="12"/>
    </row>
    <row r="693" ht="13.5" customHeight="1">
      <c r="A693" s="17"/>
      <c r="B693" s="12"/>
      <c r="C693" s="12"/>
      <c r="D693" s="17"/>
      <c r="E693" s="12"/>
      <c r="F693" s="12"/>
      <c r="G693" s="17"/>
      <c r="H693" s="17"/>
      <c r="I693" s="12"/>
      <c r="J693" s="12"/>
      <c r="K693" s="12"/>
      <c r="L693" s="12"/>
      <c r="M693" s="12"/>
      <c r="N693" s="12"/>
      <c r="O693" s="12"/>
      <c r="P693" s="12"/>
      <c r="Q693" s="12"/>
      <c r="R693" s="12"/>
      <c r="S693" s="12"/>
      <c r="T693" s="12"/>
      <c r="U693" s="12"/>
      <c r="V693" s="12"/>
      <c r="W693" s="12"/>
      <c r="X693" s="12"/>
      <c r="Y693" s="12"/>
      <c r="Z693" s="12"/>
      <c r="AA693" s="12"/>
    </row>
    <row r="694" ht="13.5" customHeight="1">
      <c r="A694" s="17"/>
      <c r="B694" s="12"/>
      <c r="C694" s="12"/>
      <c r="D694" s="17"/>
      <c r="E694" s="12"/>
      <c r="F694" s="12"/>
      <c r="G694" s="17"/>
      <c r="H694" s="17"/>
      <c r="I694" s="12"/>
      <c r="J694" s="12"/>
      <c r="K694" s="12"/>
      <c r="L694" s="12"/>
      <c r="M694" s="12"/>
      <c r="N694" s="12"/>
      <c r="O694" s="12"/>
      <c r="P694" s="12"/>
      <c r="Q694" s="12"/>
      <c r="R694" s="12"/>
      <c r="S694" s="12"/>
      <c r="T694" s="12"/>
      <c r="U694" s="12"/>
      <c r="V694" s="12"/>
      <c r="W694" s="12"/>
      <c r="X694" s="12"/>
      <c r="Y694" s="12"/>
      <c r="Z694" s="12"/>
      <c r="AA694" s="12"/>
    </row>
    <row r="695" ht="13.5" customHeight="1">
      <c r="A695" s="17"/>
      <c r="B695" s="12"/>
      <c r="C695" s="12"/>
      <c r="D695" s="17"/>
      <c r="E695" s="12"/>
      <c r="F695" s="12"/>
      <c r="G695" s="17"/>
      <c r="H695" s="17"/>
      <c r="I695" s="12"/>
      <c r="J695" s="12"/>
      <c r="K695" s="12"/>
      <c r="L695" s="12"/>
      <c r="M695" s="12"/>
      <c r="N695" s="12"/>
      <c r="O695" s="12"/>
      <c r="P695" s="12"/>
      <c r="Q695" s="12"/>
      <c r="R695" s="12"/>
      <c r="S695" s="12"/>
      <c r="T695" s="12"/>
      <c r="U695" s="12"/>
      <c r="V695" s="12"/>
      <c r="W695" s="12"/>
      <c r="X695" s="12"/>
      <c r="Y695" s="12"/>
      <c r="Z695" s="12"/>
      <c r="AA695" s="12"/>
    </row>
    <row r="696" ht="13.5" customHeight="1">
      <c r="A696" s="17"/>
      <c r="B696" s="12"/>
      <c r="C696" s="12"/>
      <c r="D696" s="17"/>
      <c r="E696" s="12"/>
      <c r="F696" s="12"/>
      <c r="G696" s="17"/>
      <c r="H696" s="17"/>
      <c r="I696" s="12"/>
      <c r="J696" s="12"/>
      <c r="K696" s="12"/>
      <c r="L696" s="12"/>
      <c r="M696" s="12"/>
      <c r="N696" s="12"/>
      <c r="O696" s="12"/>
      <c r="P696" s="12"/>
      <c r="Q696" s="12"/>
      <c r="R696" s="12"/>
      <c r="S696" s="12"/>
      <c r="T696" s="12"/>
      <c r="U696" s="12"/>
      <c r="V696" s="12"/>
      <c r="W696" s="12"/>
      <c r="X696" s="12"/>
      <c r="Y696" s="12"/>
      <c r="Z696" s="12"/>
      <c r="AA696" s="12"/>
    </row>
    <row r="697" ht="13.5" customHeight="1">
      <c r="A697" s="17"/>
      <c r="B697" s="12"/>
      <c r="C697" s="12"/>
      <c r="D697" s="17"/>
      <c r="E697" s="12"/>
      <c r="F697" s="12"/>
      <c r="G697" s="17"/>
      <c r="H697" s="17"/>
      <c r="I697" s="12"/>
      <c r="J697" s="12"/>
      <c r="K697" s="12"/>
      <c r="L697" s="12"/>
      <c r="M697" s="12"/>
      <c r="N697" s="12"/>
      <c r="O697" s="12"/>
      <c r="P697" s="12"/>
      <c r="Q697" s="12"/>
      <c r="R697" s="12"/>
      <c r="S697" s="12"/>
      <c r="T697" s="12"/>
      <c r="U697" s="12"/>
      <c r="V697" s="12"/>
      <c r="W697" s="12"/>
      <c r="X697" s="12"/>
      <c r="Y697" s="12"/>
      <c r="Z697" s="12"/>
      <c r="AA697" s="12"/>
    </row>
    <row r="698" ht="13.5" customHeight="1">
      <c r="A698" s="17"/>
      <c r="B698" s="12"/>
      <c r="C698" s="12"/>
      <c r="D698" s="17"/>
      <c r="E698" s="12"/>
      <c r="F698" s="12"/>
      <c r="G698" s="17"/>
      <c r="H698" s="17"/>
      <c r="I698" s="12"/>
      <c r="J698" s="12"/>
      <c r="K698" s="12"/>
      <c r="L698" s="12"/>
      <c r="M698" s="12"/>
      <c r="N698" s="12"/>
      <c r="O698" s="12"/>
      <c r="P698" s="12"/>
      <c r="Q698" s="12"/>
      <c r="R698" s="12"/>
      <c r="S698" s="12"/>
      <c r="T698" s="12"/>
      <c r="U698" s="12"/>
      <c r="V698" s="12"/>
      <c r="W698" s="12"/>
      <c r="X698" s="12"/>
      <c r="Y698" s="12"/>
      <c r="Z698" s="12"/>
      <c r="AA698" s="12"/>
    </row>
    <row r="699" ht="13.5" customHeight="1">
      <c r="A699" s="17"/>
      <c r="B699" s="12"/>
      <c r="C699" s="12"/>
      <c r="D699" s="17"/>
      <c r="E699" s="12"/>
      <c r="F699" s="12"/>
      <c r="G699" s="17"/>
      <c r="H699" s="17"/>
      <c r="I699" s="12"/>
      <c r="J699" s="12"/>
      <c r="K699" s="12"/>
      <c r="L699" s="12"/>
      <c r="M699" s="12"/>
      <c r="N699" s="12"/>
      <c r="O699" s="12"/>
      <c r="P699" s="12"/>
      <c r="Q699" s="12"/>
      <c r="R699" s="12"/>
      <c r="S699" s="12"/>
      <c r="T699" s="12"/>
      <c r="U699" s="12"/>
      <c r="V699" s="12"/>
      <c r="W699" s="12"/>
      <c r="X699" s="12"/>
      <c r="Y699" s="12"/>
      <c r="Z699" s="12"/>
      <c r="AA699" s="12"/>
    </row>
    <row r="700" ht="13.5" customHeight="1">
      <c r="A700" s="17"/>
      <c r="B700" s="12"/>
      <c r="C700" s="12"/>
      <c r="D700" s="17"/>
      <c r="E700" s="12"/>
      <c r="F700" s="12"/>
      <c r="G700" s="17"/>
      <c r="H700" s="17"/>
      <c r="I700" s="12"/>
      <c r="J700" s="12"/>
      <c r="K700" s="12"/>
      <c r="L700" s="12"/>
      <c r="M700" s="12"/>
      <c r="N700" s="12"/>
      <c r="O700" s="12"/>
      <c r="P700" s="12"/>
      <c r="Q700" s="12"/>
      <c r="R700" s="12"/>
      <c r="S700" s="12"/>
      <c r="T700" s="12"/>
      <c r="U700" s="12"/>
      <c r="V700" s="12"/>
      <c r="W700" s="12"/>
      <c r="X700" s="12"/>
      <c r="Y700" s="12"/>
      <c r="Z700" s="12"/>
      <c r="AA700" s="12"/>
    </row>
    <row r="701" ht="13.5" customHeight="1">
      <c r="A701" s="17"/>
      <c r="B701" s="12"/>
      <c r="C701" s="12"/>
      <c r="D701" s="17"/>
      <c r="E701" s="12"/>
      <c r="F701" s="12"/>
      <c r="G701" s="17"/>
      <c r="H701" s="17"/>
      <c r="I701" s="12"/>
      <c r="J701" s="12"/>
      <c r="K701" s="12"/>
      <c r="L701" s="12"/>
      <c r="M701" s="12"/>
      <c r="N701" s="12"/>
      <c r="O701" s="12"/>
      <c r="P701" s="12"/>
      <c r="Q701" s="12"/>
      <c r="R701" s="12"/>
      <c r="S701" s="12"/>
      <c r="T701" s="12"/>
      <c r="U701" s="12"/>
      <c r="V701" s="12"/>
      <c r="W701" s="12"/>
      <c r="X701" s="12"/>
      <c r="Y701" s="12"/>
      <c r="Z701" s="12"/>
      <c r="AA701" s="12"/>
    </row>
    <row r="702" ht="13.5" customHeight="1">
      <c r="A702" s="17"/>
      <c r="B702" s="12"/>
      <c r="C702" s="12"/>
      <c r="D702" s="17"/>
      <c r="E702" s="12"/>
      <c r="F702" s="12"/>
      <c r="G702" s="17"/>
      <c r="H702" s="17"/>
      <c r="I702" s="12"/>
      <c r="J702" s="12"/>
      <c r="K702" s="12"/>
      <c r="L702" s="12"/>
      <c r="M702" s="12"/>
      <c r="N702" s="12"/>
      <c r="O702" s="12"/>
      <c r="P702" s="12"/>
      <c r="Q702" s="12"/>
      <c r="R702" s="12"/>
      <c r="S702" s="12"/>
      <c r="T702" s="12"/>
      <c r="U702" s="12"/>
      <c r="V702" s="12"/>
      <c r="W702" s="12"/>
      <c r="X702" s="12"/>
      <c r="Y702" s="12"/>
      <c r="Z702" s="12"/>
      <c r="AA702" s="12"/>
    </row>
    <row r="703" ht="13.5" customHeight="1">
      <c r="A703" s="17"/>
      <c r="B703" s="12"/>
      <c r="C703" s="12"/>
      <c r="D703" s="17"/>
      <c r="E703" s="12"/>
      <c r="F703" s="12"/>
      <c r="G703" s="17"/>
      <c r="H703" s="17"/>
      <c r="I703" s="12"/>
      <c r="J703" s="12"/>
      <c r="K703" s="12"/>
      <c r="L703" s="12"/>
      <c r="M703" s="12"/>
      <c r="N703" s="12"/>
      <c r="O703" s="12"/>
      <c r="P703" s="12"/>
      <c r="Q703" s="12"/>
      <c r="R703" s="12"/>
      <c r="S703" s="12"/>
      <c r="T703" s="12"/>
      <c r="U703" s="12"/>
      <c r="V703" s="12"/>
      <c r="W703" s="12"/>
      <c r="X703" s="12"/>
      <c r="Y703" s="12"/>
      <c r="Z703" s="12"/>
      <c r="AA703" s="12"/>
    </row>
    <row r="704" ht="13.5" customHeight="1">
      <c r="A704" s="17"/>
      <c r="B704" s="12"/>
      <c r="C704" s="12"/>
      <c r="D704" s="17"/>
      <c r="E704" s="12"/>
      <c r="F704" s="12"/>
      <c r="G704" s="17"/>
      <c r="H704" s="17"/>
      <c r="I704" s="12"/>
      <c r="J704" s="12"/>
      <c r="K704" s="12"/>
      <c r="L704" s="12"/>
      <c r="M704" s="12"/>
      <c r="N704" s="12"/>
      <c r="O704" s="12"/>
      <c r="P704" s="12"/>
      <c r="Q704" s="12"/>
      <c r="R704" s="12"/>
      <c r="S704" s="12"/>
      <c r="T704" s="12"/>
      <c r="U704" s="12"/>
      <c r="V704" s="12"/>
      <c r="W704" s="12"/>
      <c r="X704" s="12"/>
      <c r="Y704" s="12"/>
      <c r="Z704" s="12"/>
      <c r="AA704" s="12"/>
    </row>
    <row r="705" ht="13.5" customHeight="1">
      <c r="A705" s="17"/>
      <c r="B705" s="12"/>
      <c r="C705" s="12"/>
      <c r="D705" s="17"/>
      <c r="E705" s="12"/>
      <c r="F705" s="12"/>
      <c r="G705" s="17"/>
      <c r="H705" s="17"/>
      <c r="I705" s="12"/>
      <c r="J705" s="12"/>
      <c r="K705" s="12"/>
      <c r="L705" s="12"/>
      <c r="M705" s="12"/>
      <c r="N705" s="12"/>
      <c r="O705" s="12"/>
      <c r="P705" s="12"/>
      <c r="Q705" s="12"/>
      <c r="R705" s="12"/>
      <c r="S705" s="12"/>
      <c r="T705" s="12"/>
      <c r="U705" s="12"/>
      <c r="V705" s="12"/>
      <c r="W705" s="12"/>
      <c r="X705" s="12"/>
      <c r="Y705" s="12"/>
      <c r="Z705" s="12"/>
      <c r="AA705" s="12"/>
    </row>
    <row r="706" ht="13.5" customHeight="1">
      <c r="A706" s="17"/>
      <c r="B706" s="12"/>
      <c r="C706" s="12"/>
      <c r="D706" s="17"/>
      <c r="E706" s="12"/>
      <c r="F706" s="12"/>
      <c r="G706" s="17"/>
      <c r="H706" s="17"/>
      <c r="I706" s="12"/>
      <c r="J706" s="12"/>
      <c r="K706" s="12"/>
      <c r="L706" s="12"/>
      <c r="M706" s="12"/>
      <c r="N706" s="12"/>
      <c r="O706" s="12"/>
      <c r="P706" s="12"/>
      <c r="Q706" s="12"/>
      <c r="R706" s="12"/>
      <c r="S706" s="12"/>
      <c r="T706" s="12"/>
      <c r="U706" s="12"/>
      <c r="V706" s="12"/>
      <c r="W706" s="12"/>
      <c r="X706" s="12"/>
      <c r="Y706" s="12"/>
      <c r="Z706" s="12"/>
      <c r="AA706" s="12"/>
    </row>
    <row r="707" ht="13.5" customHeight="1">
      <c r="A707" s="17"/>
      <c r="B707" s="12"/>
      <c r="C707" s="12"/>
      <c r="D707" s="17"/>
      <c r="E707" s="12"/>
      <c r="F707" s="12"/>
      <c r="G707" s="17"/>
      <c r="H707" s="17"/>
      <c r="I707" s="12"/>
      <c r="J707" s="12"/>
      <c r="K707" s="12"/>
      <c r="L707" s="12"/>
      <c r="M707" s="12"/>
      <c r="N707" s="12"/>
      <c r="O707" s="12"/>
      <c r="P707" s="12"/>
      <c r="Q707" s="12"/>
      <c r="R707" s="12"/>
      <c r="S707" s="12"/>
      <c r="T707" s="12"/>
      <c r="U707" s="12"/>
      <c r="V707" s="12"/>
      <c r="W707" s="12"/>
      <c r="X707" s="12"/>
      <c r="Y707" s="12"/>
      <c r="Z707" s="12"/>
      <c r="AA707" s="12"/>
    </row>
    <row r="708" ht="13.5" customHeight="1">
      <c r="A708" s="17"/>
      <c r="B708" s="12"/>
      <c r="C708" s="12"/>
      <c r="D708" s="17"/>
      <c r="E708" s="12"/>
      <c r="F708" s="12"/>
      <c r="G708" s="17"/>
      <c r="H708" s="17"/>
      <c r="I708" s="12"/>
      <c r="J708" s="12"/>
      <c r="K708" s="12"/>
      <c r="L708" s="12"/>
      <c r="M708" s="12"/>
      <c r="N708" s="12"/>
      <c r="O708" s="12"/>
      <c r="P708" s="12"/>
      <c r="Q708" s="12"/>
      <c r="R708" s="12"/>
      <c r="S708" s="12"/>
      <c r="T708" s="12"/>
      <c r="U708" s="12"/>
      <c r="V708" s="12"/>
      <c r="W708" s="12"/>
      <c r="X708" s="12"/>
      <c r="Y708" s="12"/>
      <c r="Z708" s="12"/>
      <c r="AA708" s="12"/>
    </row>
    <row r="709" ht="13.5" customHeight="1">
      <c r="A709" s="17"/>
      <c r="B709" s="12"/>
      <c r="C709" s="12"/>
      <c r="D709" s="17"/>
      <c r="E709" s="12"/>
      <c r="F709" s="12"/>
      <c r="G709" s="17"/>
      <c r="H709" s="17"/>
      <c r="I709" s="12"/>
      <c r="J709" s="12"/>
      <c r="K709" s="12"/>
      <c r="L709" s="12"/>
      <c r="M709" s="12"/>
      <c r="N709" s="12"/>
      <c r="O709" s="12"/>
      <c r="P709" s="12"/>
      <c r="Q709" s="12"/>
      <c r="R709" s="12"/>
      <c r="S709" s="12"/>
      <c r="T709" s="12"/>
      <c r="U709" s="12"/>
      <c r="V709" s="12"/>
      <c r="W709" s="12"/>
      <c r="X709" s="12"/>
      <c r="Y709" s="12"/>
      <c r="Z709" s="12"/>
      <c r="AA709" s="12"/>
    </row>
    <row r="710" ht="13.5" customHeight="1">
      <c r="A710" s="17"/>
      <c r="B710" s="12"/>
      <c r="C710" s="12"/>
      <c r="D710" s="17"/>
      <c r="E710" s="12"/>
      <c r="F710" s="12"/>
      <c r="G710" s="17"/>
      <c r="H710" s="17"/>
      <c r="I710" s="12"/>
      <c r="J710" s="12"/>
      <c r="K710" s="12"/>
      <c r="L710" s="12"/>
      <c r="M710" s="12"/>
      <c r="N710" s="12"/>
      <c r="O710" s="12"/>
      <c r="P710" s="12"/>
      <c r="Q710" s="12"/>
      <c r="R710" s="12"/>
      <c r="S710" s="12"/>
      <c r="T710" s="12"/>
      <c r="U710" s="12"/>
      <c r="V710" s="12"/>
      <c r="W710" s="12"/>
      <c r="X710" s="12"/>
      <c r="Y710" s="12"/>
      <c r="Z710" s="12"/>
      <c r="AA710" s="12"/>
    </row>
    <row r="711" ht="13.5" customHeight="1">
      <c r="A711" s="17"/>
      <c r="B711" s="12"/>
      <c r="C711" s="12"/>
      <c r="D711" s="17"/>
      <c r="E711" s="12"/>
      <c r="F711" s="12"/>
      <c r="G711" s="17"/>
      <c r="H711" s="17"/>
      <c r="I711" s="12"/>
      <c r="J711" s="12"/>
      <c r="K711" s="12"/>
      <c r="L711" s="12"/>
      <c r="M711" s="12"/>
      <c r="N711" s="12"/>
      <c r="O711" s="12"/>
      <c r="P711" s="12"/>
      <c r="Q711" s="12"/>
      <c r="R711" s="12"/>
      <c r="S711" s="12"/>
      <c r="T711" s="12"/>
      <c r="U711" s="12"/>
      <c r="V711" s="12"/>
      <c r="W711" s="12"/>
      <c r="X711" s="12"/>
      <c r="Y711" s="12"/>
      <c r="Z711" s="12"/>
      <c r="AA711" s="12"/>
    </row>
    <row r="712" ht="13.5" customHeight="1">
      <c r="A712" s="17"/>
      <c r="B712" s="12"/>
      <c r="C712" s="12"/>
      <c r="D712" s="17"/>
      <c r="E712" s="12"/>
      <c r="F712" s="12"/>
      <c r="G712" s="17"/>
      <c r="H712" s="17"/>
      <c r="I712" s="12"/>
      <c r="J712" s="12"/>
      <c r="K712" s="12"/>
      <c r="L712" s="12"/>
      <c r="M712" s="12"/>
      <c r="N712" s="12"/>
      <c r="O712" s="12"/>
      <c r="P712" s="12"/>
      <c r="Q712" s="12"/>
      <c r="R712" s="12"/>
      <c r="S712" s="12"/>
      <c r="T712" s="12"/>
      <c r="U712" s="12"/>
      <c r="V712" s="12"/>
      <c r="W712" s="12"/>
      <c r="X712" s="12"/>
      <c r="Y712" s="12"/>
      <c r="Z712" s="12"/>
      <c r="AA712" s="12"/>
    </row>
    <row r="713" ht="13.5" customHeight="1">
      <c r="A713" s="17"/>
      <c r="B713" s="12"/>
      <c r="C713" s="12"/>
      <c r="D713" s="17"/>
      <c r="E713" s="12"/>
      <c r="F713" s="12"/>
      <c r="G713" s="17"/>
      <c r="H713" s="17"/>
      <c r="I713" s="12"/>
      <c r="J713" s="12"/>
      <c r="K713" s="12"/>
      <c r="L713" s="12"/>
      <c r="M713" s="12"/>
      <c r="N713" s="12"/>
      <c r="O713" s="12"/>
      <c r="P713" s="12"/>
      <c r="Q713" s="12"/>
      <c r="R713" s="12"/>
      <c r="S713" s="12"/>
      <c r="T713" s="12"/>
      <c r="U713" s="12"/>
      <c r="V713" s="12"/>
      <c r="W713" s="12"/>
      <c r="X713" s="12"/>
      <c r="Y713" s="12"/>
      <c r="Z713" s="12"/>
      <c r="AA713" s="12"/>
    </row>
    <row r="714" ht="13.5" customHeight="1">
      <c r="A714" s="17"/>
      <c r="B714" s="12"/>
      <c r="C714" s="12"/>
      <c r="D714" s="17"/>
      <c r="E714" s="12"/>
      <c r="F714" s="12"/>
      <c r="G714" s="17"/>
      <c r="H714" s="17"/>
      <c r="I714" s="12"/>
      <c r="J714" s="12"/>
      <c r="K714" s="12"/>
      <c r="L714" s="12"/>
      <c r="M714" s="12"/>
      <c r="N714" s="12"/>
      <c r="O714" s="12"/>
      <c r="P714" s="12"/>
      <c r="Q714" s="12"/>
      <c r="R714" s="12"/>
      <c r="S714" s="12"/>
      <c r="T714" s="12"/>
      <c r="U714" s="12"/>
      <c r="V714" s="12"/>
      <c r="W714" s="12"/>
      <c r="X714" s="12"/>
      <c r="Y714" s="12"/>
      <c r="Z714" s="12"/>
      <c r="AA714" s="12"/>
    </row>
    <row r="715" ht="13.5" customHeight="1">
      <c r="A715" s="17"/>
      <c r="B715" s="12"/>
      <c r="C715" s="12"/>
      <c r="D715" s="17"/>
      <c r="E715" s="12"/>
      <c r="F715" s="12"/>
      <c r="G715" s="17"/>
      <c r="H715" s="17"/>
      <c r="I715" s="12"/>
      <c r="J715" s="12"/>
      <c r="K715" s="12"/>
      <c r="L715" s="12"/>
      <c r="M715" s="12"/>
      <c r="N715" s="12"/>
      <c r="O715" s="12"/>
      <c r="P715" s="12"/>
      <c r="Q715" s="12"/>
      <c r="R715" s="12"/>
      <c r="S715" s="12"/>
      <c r="T715" s="12"/>
      <c r="U715" s="12"/>
      <c r="V715" s="12"/>
      <c r="W715" s="12"/>
      <c r="X715" s="12"/>
      <c r="Y715" s="12"/>
      <c r="Z715" s="12"/>
      <c r="AA715" s="12"/>
    </row>
    <row r="716" ht="13.5" customHeight="1">
      <c r="A716" s="17"/>
      <c r="B716" s="12"/>
      <c r="C716" s="12"/>
      <c r="D716" s="17"/>
      <c r="E716" s="12"/>
      <c r="F716" s="12"/>
      <c r="G716" s="17"/>
      <c r="H716" s="17"/>
      <c r="I716" s="12"/>
      <c r="J716" s="12"/>
      <c r="K716" s="12"/>
      <c r="L716" s="12"/>
      <c r="M716" s="12"/>
      <c r="N716" s="12"/>
      <c r="O716" s="12"/>
      <c r="P716" s="12"/>
      <c r="Q716" s="12"/>
      <c r="R716" s="12"/>
      <c r="S716" s="12"/>
      <c r="T716" s="12"/>
      <c r="U716" s="12"/>
      <c r="V716" s="12"/>
      <c r="W716" s="12"/>
      <c r="X716" s="12"/>
      <c r="Y716" s="12"/>
      <c r="Z716" s="12"/>
      <c r="AA716" s="12"/>
    </row>
    <row r="717" ht="13.5" customHeight="1">
      <c r="A717" s="17"/>
      <c r="B717" s="12"/>
      <c r="C717" s="12"/>
      <c r="D717" s="17"/>
      <c r="E717" s="12"/>
      <c r="F717" s="12"/>
      <c r="G717" s="17"/>
      <c r="H717" s="17"/>
      <c r="I717" s="12"/>
      <c r="J717" s="12"/>
      <c r="K717" s="12"/>
      <c r="L717" s="12"/>
      <c r="M717" s="12"/>
      <c r="N717" s="12"/>
      <c r="O717" s="12"/>
      <c r="P717" s="12"/>
      <c r="Q717" s="12"/>
      <c r="R717" s="12"/>
      <c r="S717" s="12"/>
      <c r="T717" s="12"/>
      <c r="U717" s="12"/>
      <c r="V717" s="12"/>
      <c r="W717" s="12"/>
      <c r="X717" s="12"/>
      <c r="Y717" s="12"/>
      <c r="Z717" s="12"/>
      <c r="AA717" s="12"/>
    </row>
    <row r="718" ht="13.5" customHeight="1">
      <c r="A718" s="17"/>
      <c r="B718" s="12"/>
      <c r="C718" s="12"/>
      <c r="D718" s="17"/>
      <c r="E718" s="12"/>
      <c r="F718" s="12"/>
      <c r="G718" s="17"/>
      <c r="H718" s="17"/>
      <c r="I718" s="12"/>
      <c r="J718" s="12"/>
      <c r="K718" s="12"/>
      <c r="L718" s="12"/>
      <c r="M718" s="12"/>
      <c r="N718" s="12"/>
      <c r="O718" s="12"/>
      <c r="P718" s="12"/>
      <c r="Q718" s="12"/>
      <c r="R718" s="12"/>
      <c r="S718" s="12"/>
      <c r="T718" s="12"/>
      <c r="U718" s="12"/>
      <c r="V718" s="12"/>
      <c r="W718" s="12"/>
      <c r="X718" s="12"/>
      <c r="Y718" s="12"/>
      <c r="Z718" s="12"/>
      <c r="AA718" s="12"/>
    </row>
    <row r="719" ht="13.5" customHeight="1">
      <c r="A719" s="17"/>
      <c r="B719" s="12"/>
      <c r="C719" s="12"/>
      <c r="D719" s="17"/>
      <c r="E719" s="12"/>
      <c r="F719" s="12"/>
      <c r="G719" s="17"/>
      <c r="H719" s="17"/>
      <c r="I719" s="12"/>
      <c r="J719" s="12"/>
      <c r="K719" s="12"/>
      <c r="L719" s="12"/>
      <c r="M719" s="12"/>
      <c r="N719" s="12"/>
      <c r="O719" s="12"/>
      <c r="P719" s="12"/>
      <c r="Q719" s="12"/>
      <c r="R719" s="12"/>
      <c r="S719" s="12"/>
      <c r="T719" s="12"/>
      <c r="U719" s="12"/>
      <c r="V719" s="12"/>
      <c r="W719" s="12"/>
      <c r="X719" s="12"/>
      <c r="Y719" s="12"/>
      <c r="Z719" s="12"/>
      <c r="AA719" s="12"/>
    </row>
    <row r="720" ht="13.5" customHeight="1">
      <c r="A720" s="17"/>
      <c r="B720" s="12"/>
      <c r="C720" s="12"/>
      <c r="D720" s="17"/>
      <c r="E720" s="12"/>
      <c r="F720" s="12"/>
      <c r="G720" s="17"/>
      <c r="H720" s="17"/>
      <c r="I720" s="12"/>
      <c r="J720" s="12"/>
      <c r="K720" s="12"/>
      <c r="L720" s="12"/>
      <c r="M720" s="12"/>
      <c r="N720" s="12"/>
      <c r="O720" s="12"/>
      <c r="P720" s="12"/>
      <c r="Q720" s="12"/>
      <c r="R720" s="12"/>
      <c r="S720" s="12"/>
      <c r="T720" s="12"/>
      <c r="U720" s="12"/>
      <c r="V720" s="12"/>
      <c r="W720" s="12"/>
      <c r="X720" s="12"/>
      <c r="Y720" s="12"/>
      <c r="Z720" s="12"/>
      <c r="AA720" s="12"/>
    </row>
    <row r="721" ht="13.5" customHeight="1">
      <c r="A721" s="17"/>
      <c r="B721" s="12"/>
      <c r="C721" s="12"/>
      <c r="D721" s="17"/>
      <c r="E721" s="12"/>
      <c r="F721" s="12"/>
      <c r="G721" s="17"/>
      <c r="H721" s="17"/>
      <c r="I721" s="12"/>
      <c r="J721" s="12"/>
      <c r="K721" s="12"/>
      <c r="L721" s="12"/>
      <c r="M721" s="12"/>
      <c r="N721" s="12"/>
      <c r="O721" s="12"/>
      <c r="P721" s="12"/>
      <c r="Q721" s="12"/>
      <c r="R721" s="12"/>
      <c r="S721" s="12"/>
      <c r="T721" s="12"/>
      <c r="U721" s="12"/>
      <c r="V721" s="12"/>
      <c r="W721" s="12"/>
      <c r="X721" s="12"/>
      <c r="Y721" s="12"/>
      <c r="Z721" s="12"/>
      <c r="AA721" s="12"/>
    </row>
    <row r="722" ht="13.5" customHeight="1">
      <c r="A722" s="17"/>
      <c r="B722" s="12"/>
      <c r="C722" s="12"/>
      <c r="D722" s="17"/>
      <c r="E722" s="12"/>
      <c r="F722" s="12"/>
      <c r="G722" s="17"/>
      <c r="H722" s="17"/>
      <c r="I722" s="12"/>
      <c r="J722" s="12"/>
      <c r="K722" s="12"/>
      <c r="L722" s="12"/>
      <c r="M722" s="12"/>
      <c r="N722" s="12"/>
      <c r="O722" s="12"/>
      <c r="P722" s="12"/>
      <c r="Q722" s="12"/>
      <c r="R722" s="12"/>
      <c r="S722" s="12"/>
      <c r="T722" s="12"/>
      <c r="U722" s="12"/>
      <c r="V722" s="12"/>
      <c r="W722" s="12"/>
      <c r="X722" s="12"/>
      <c r="Y722" s="12"/>
      <c r="Z722" s="12"/>
      <c r="AA722" s="12"/>
    </row>
    <row r="723" ht="13.5" customHeight="1">
      <c r="A723" s="17"/>
      <c r="B723" s="12"/>
      <c r="C723" s="12"/>
      <c r="D723" s="17"/>
      <c r="E723" s="12"/>
      <c r="F723" s="12"/>
      <c r="G723" s="17"/>
      <c r="H723" s="17"/>
      <c r="I723" s="12"/>
      <c r="J723" s="12"/>
      <c r="K723" s="12"/>
      <c r="L723" s="12"/>
      <c r="M723" s="12"/>
      <c r="N723" s="12"/>
      <c r="O723" s="12"/>
      <c r="P723" s="12"/>
      <c r="Q723" s="12"/>
      <c r="R723" s="12"/>
      <c r="S723" s="12"/>
      <c r="T723" s="12"/>
      <c r="U723" s="12"/>
      <c r="V723" s="12"/>
      <c r="W723" s="12"/>
      <c r="X723" s="12"/>
      <c r="Y723" s="12"/>
      <c r="Z723" s="12"/>
      <c r="AA723" s="12"/>
    </row>
    <row r="724" ht="13.5" customHeight="1">
      <c r="A724" s="17"/>
      <c r="B724" s="12"/>
      <c r="C724" s="12"/>
      <c r="D724" s="17"/>
      <c r="E724" s="12"/>
      <c r="F724" s="12"/>
      <c r="G724" s="17"/>
      <c r="H724" s="17"/>
      <c r="I724" s="12"/>
      <c r="J724" s="12"/>
      <c r="K724" s="12"/>
      <c r="L724" s="12"/>
      <c r="M724" s="12"/>
      <c r="N724" s="12"/>
      <c r="O724" s="12"/>
      <c r="P724" s="12"/>
      <c r="Q724" s="12"/>
      <c r="R724" s="12"/>
      <c r="S724" s="12"/>
      <c r="T724" s="12"/>
      <c r="U724" s="12"/>
      <c r="V724" s="12"/>
      <c r="W724" s="12"/>
      <c r="X724" s="12"/>
      <c r="Y724" s="12"/>
      <c r="Z724" s="12"/>
      <c r="AA724" s="12"/>
    </row>
    <row r="725" ht="13.5" customHeight="1">
      <c r="A725" s="17"/>
      <c r="B725" s="12"/>
      <c r="C725" s="12"/>
      <c r="D725" s="17"/>
      <c r="E725" s="12"/>
      <c r="F725" s="12"/>
      <c r="G725" s="17"/>
      <c r="H725" s="17"/>
      <c r="I725" s="12"/>
      <c r="J725" s="12"/>
      <c r="K725" s="12"/>
      <c r="L725" s="12"/>
      <c r="M725" s="12"/>
      <c r="N725" s="12"/>
      <c r="O725" s="12"/>
      <c r="P725" s="12"/>
      <c r="Q725" s="12"/>
      <c r="R725" s="12"/>
      <c r="S725" s="12"/>
      <c r="T725" s="12"/>
      <c r="U725" s="12"/>
      <c r="V725" s="12"/>
      <c r="W725" s="12"/>
      <c r="X725" s="12"/>
      <c r="Y725" s="12"/>
      <c r="Z725" s="12"/>
      <c r="AA725" s="12"/>
    </row>
    <row r="726" ht="13.5" customHeight="1">
      <c r="A726" s="17"/>
      <c r="B726" s="12"/>
      <c r="C726" s="12"/>
      <c r="D726" s="17"/>
      <c r="E726" s="12"/>
      <c r="F726" s="12"/>
      <c r="G726" s="17"/>
      <c r="H726" s="17"/>
      <c r="I726" s="12"/>
      <c r="J726" s="12"/>
      <c r="K726" s="12"/>
      <c r="L726" s="12"/>
      <c r="M726" s="12"/>
      <c r="N726" s="12"/>
      <c r="O726" s="12"/>
      <c r="P726" s="12"/>
      <c r="Q726" s="12"/>
      <c r="R726" s="12"/>
      <c r="S726" s="12"/>
      <c r="T726" s="12"/>
      <c r="U726" s="12"/>
      <c r="V726" s="12"/>
      <c r="W726" s="12"/>
      <c r="X726" s="12"/>
      <c r="Y726" s="12"/>
      <c r="Z726" s="12"/>
      <c r="AA726" s="12"/>
    </row>
    <row r="727" ht="13.5" customHeight="1">
      <c r="A727" s="17"/>
      <c r="B727" s="12"/>
      <c r="C727" s="12"/>
      <c r="D727" s="17"/>
      <c r="E727" s="12"/>
      <c r="F727" s="12"/>
      <c r="G727" s="17"/>
      <c r="H727" s="17"/>
      <c r="I727" s="12"/>
      <c r="J727" s="12"/>
      <c r="K727" s="12"/>
      <c r="L727" s="12"/>
      <c r="M727" s="12"/>
      <c r="N727" s="12"/>
      <c r="O727" s="12"/>
      <c r="P727" s="12"/>
      <c r="Q727" s="12"/>
      <c r="R727" s="12"/>
      <c r="S727" s="12"/>
      <c r="T727" s="12"/>
      <c r="U727" s="12"/>
      <c r="V727" s="12"/>
      <c r="W727" s="12"/>
      <c r="X727" s="12"/>
      <c r="Y727" s="12"/>
      <c r="Z727" s="12"/>
      <c r="AA727" s="12"/>
    </row>
    <row r="728" ht="13.5" customHeight="1">
      <c r="A728" s="17"/>
      <c r="B728" s="12"/>
      <c r="C728" s="12"/>
      <c r="D728" s="17"/>
      <c r="E728" s="12"/>
      <c r="F728" s="12"/>
      <c r="G728" s="17"/>
      <c r="H728" s="17"/>
      <c r="I728" s="12"/>
      <c r="J728" s="12"/>
      <c r="K728" s="12"/>
      <c r="L728" s="12"/>
      <c r="M728" s="12"/>
      <c r="N728" s="12"/>
      <c r="O728" s="12"/>
      <c r="P728" s="12"/>
      <c r="Q728" s="12"/>
      <c r="R728" s="12"/>
      <c r="S728" s="12"/>
      <c r="T728" s="12"/>
      <c r="U728" s="12"/>
      <c r="V728" s="12"/>
      <c r="W728" s="12"/>
      <c r="X728" s="12"/>
      <c r="Y728" s="12"/>
      <c r="Z728" s="12"/>
      <c r="AA728" s="12"/>
    </row>
    <row r="729" ht="13.5" customHeight="1">
      <c r="A729" s="17"/>
      <c r="B729" s="12"/>
      <c r="C729" s="12"/>
      <c r="D729" s="17"/>
      <c r="E729" s="12"/>
      <c r="F729" s="12"/>
      <c r="G729" s="17"/>
      <c r="H729" s="17"/>
      <c r="I729" s="12"/>
      <c r="J729" s="12"/>
      <c r="K729" s="12"/>
      <c r="L729" s="12"/>
      <c r="M729" s="12"/>
      <c r="N729" s="12"/>
      <c r="O729" s="12"/>
      <c r="P729" s="12"/>
      <c r="Q729" s="12"/>
      <c r="R729" s="12"/>
      <c r="S729" s="12"/>
      <c r="T729" s="12"/>
      <c r="U729" s="12"/>
      <c r="V729" s="12"/>
      <c r="W729" s="12"/>
      <c r="X729" s="12"/>
      <c r="Y729" s="12"/>
      <c r="Z729" s="12"/>
      <c r="AA729" s="12"/>
    </row>
    <row r="730" ht="13.5" customHeight="1">
      <c r="A730" s="17"/>
      <c r="B730" s="12"/>
      <c r="C730" s="12"/>
      <c r="D730" s="17"/>
      <c r="E730" s="12"/>
      <c r="F730" s="12"/>
      <c r="G730" s="17"/>
      <c r="H730" s="17"/>
      <c r="I730" s="12"/>
      <c r="J730" s="12"/>
      <c r="K730" s="12"/>
      <c r="L730" s="12"/>
      <c r="M730" s="12"/>
      <c r="N730" s="12"/>
      <c r="O730" s="12"/>
      <c r="P730" s="12"/>
      <c r="Q730" s="12"/>
      <c r="R730" s="12"/>
      <c r="S730" s="12"/>
      <c r="T730" s="12"/>
      <c r="U730" s="12"/>
      <c r="V730" s="12"/>
      <c r="W730" s="12"/>
      <c r="X730" s="12"/>
      <c r="Y730" s="12"/>
      <c r="Z730" s="12"/>
      <c r="AA730" s="12"/>
    </row>
    <row r="731" ht="13.5" customHeight="1">
      <c r="A731" s="17"/>
      <c r="B731" s="12"/>
      <c r="C731" s="12"/>
      <c r="D731" s="17"/>
      <c r="E731" s="12"/>
      <c r="F731" s="12"/>
      <c r="G731" s="17"/>
      <c r="H731" s="17"/>
      <c r="I731" s="12"/>
      <c r="J731" s="12"/>
      <c r="K731" s="12"/>
      <c r="L731" s="12"/>
      <c r="M731" s="12"/>
      <c r="N731" s="12"/>
      <c r="O731" s="12"/>
      <c r="P731" s="12"/>
      <c r="Q731" s="12"/>
      <c r="R731" s="12"/>
      <c r="S731" s="12"/>
      <c r="T731" s="12"/>
      <c r="U731" s="12"/>
      <c r="V731" s="12"/>
      <c r="W731" s="12"/>
      <c r="X731" s="12"/>
      <c r="Y731" s="12"/>
      <c r="Z731" s="12"/>
      <c r="AA731" s="12"/>
    </row>
    <row r="732" ht="13.5" customHeight="1">
      <c r="A732" s="17"/>
      <c r="B732" s="12"/>
      <c r="C732" s="12"/>
      <c r="D732" s="17"/>
      <c r="E732" s="12"/>
      <c r="F732" s="12"/>
      <c r="G732" s="17"/>
      <c r="H732" s="17"/>
      <c r="I732" s="12"/>
      <c r="J732" s="12"/>
      <c r="K732" s="12"/>
      <c r="L732" s="12"/>
      <c r="M732" s="12"/>
      <c r="N732" s="12"/>
      <c r="O732" s="12"/>
      <c r="P732" s="12"/>
      <c r="Q732" s="12"/>
      <c r="R732" s="12"/>
      <c r="S732" s="12"/>
      <c r="T732" s="12"/>
      <c r="U732" s="12"/>
      <c r="V732" s="12"/>
      <c r="W732" s="12"/>
      <c r="X732" s="12"/>
      <c r="Y732" s="12"/>
      <c r="Z732" s="12"/>
      <c r="AA732" s="12"/>
    </row>
    <row r="733" ht="13.5" customHeight="1">
      <c r="A733" s="17"/>
      <c r="B733" s="12"/>
      <c r="C733" s="12"/>
      <c r="D733" s="17"/>
      <c r="E733" s="12"/>
      <c r="F733" s="12"/>
      <c r="G733" s="17"/>
      <c r="H733" s="17"/>
      <c r="I733" s="12"/>
      <c r="J733" s="12"/>
      <c r="K733" s="12"/>
      <c r="L733" s="12"/>
      <c r="M733" s="12"/>
      <c r="N733" s="12"/>
      <c r="O733" s="12"/>
      <c r="P733" s="12"/>
      <c r="Q733" s="12"/>
      <c r="R733" s="12"/>
      <c r="S733" s="12"/>
      <c r="T733" s="12"/>
      <c r="U733" s="12"/>
      <c r="V733" s="12"/>
      <c r="W733" s="12"/>
      <c r="X733" s="12"/>
      <c r="Y733" s="12"/>
      <c r="Z733" s="12"/>
      <c r="AA733" s="12"/>
    </row>
    <row r="734" ht="13.5" customHeight="1">
      <c r="A734" s="17"/>
      <c r="B734" s="12"/>
      <c r="C734" s="12"/>
      <c r="D734" s="17"/>
      <c r="E734" s="12"/>
      <c r="F734" s="12"/>
      <c r="G734" s="17"/>
      <c r="H734" s="17"/>
      <c r="I734" s="12"/>
      <c r="J734" s="12"/>
      <c r="K734" s="12"/>
      <c r="L734" s="12"/>
      <c r="M734" s="12"/>
      <c r="N734" s="12"/>
      <c r="O734" s="12"/>
      <c r="P734" s="12"/>
      <c r="Q734" s="12"/>
      <c r="R734" s="12"/>
      <c r="S734" s="12"/>
      <c r="T734" s="12"/>
      <c r="U734" s="12"/>
      <c r="V734" s="12"/>
      <c r="W734" s="12"/>
      <c r="X734" s="12"/>
      <c r="Y734" s="12"/>
      <c r="Z734" s="12"/>
      <c r="AA734" s="12"/>
    </row>
    <row r="735" ht="13.5" customHeight="1">
      <c r="A735" s="17"/>
      <c r="B735" s="12"/>
      <c r="C735" s="12"/>
      <c r="D735" s="17"/>
      <c r="E735" s="12"/>
      <c r="F735" s="12"/>
      <c r="G735" s="17"/>
      <c r="H735" s="17"/>
      <c r="I735" s="12"/>
      <c r="J735" s="12"/>
      <c r="K735" s="12"/>
      <c r="L735" s="12"/>
      <c r="M735" s="12"/>
      <c r="N735" s="12"/>
      <c r="O735" s="12"/>
      <c r="P735" s="12"/>
      <c r="Q735" s="12"/>
      <c r="R735" s="12"/>
      <c r="S735" s="12"/>
      <c r="T735" s="12"/>
      <c r="U735" s="12"/>
      <c r="V735" s="12"/>
      <c r="W735" s="12"/>
      <c r="X735" s="12"/>
      <c r="Y735" s="12"/>
      <c r="Z735" s="12"/>
      <c r="AA735" s="12"/>
    </row>
    <row r="736" ht="13.5" customHeight="1">
      <c r="A736" s="17"/>
      <c r="B736" s="12"/>
      <c r="C736" s="12"/>
      <c r="D736" s="17"/>
      <c r="E736" s="12"/>
      <c r="F736" s="12"/>
      <c r="G736" s="17"/>
      <c r="H736" s="17"/>
      <c r="I736" s="12"/>
      <c r="J736" s="12"/>
      <c r="K736" s="12"/>
      <c r="L736" s="12"/>
      <c r="M736" s="12"/>
      <c r="N736" s="12"/>
      <c r="O736" s="12"/>
      <c r="P736" s="12"/>
      <c r="Q736" s="12"/>
      <c r="R736" s="12"/>
      <c r="S736" s="12"/>
      <c r="T736" s="12"/>
      <c r="U736" s="12"/>
      <c r="V736" s="12"/>
      <c r="W736" s="12"/>
      <c r="X736" s="12"/>
      <c r="Y736" s="12"/>
      <c r="Z736" s="12"/>
      <c r="AA736" s="12"/>
    </row>
    <row r="737" ht="13.5" customHeight="1">
      <c r="A737" s="17"/>
      <c r="B737" s="12"/>
      <c r="C737" s="12"/>
      <c r="D737" s="17"/>
      <c r="E737" s="12"/>
      <c r="F737" s="12"/>
      <c r="G737" s="17"/>
      <c r="H737" s="17"/>
      <c r="I737" s="12"/>
      <c r="J737" s="12"/>
      <c r="K737" s="12"/>
      <c r="L737" s="12"/>
      <c r="M737" s="12"/>
      <c r="N737" s="12"/>
      <c r="O737" s="12"/>
      <c r="P737" s="12"/>
      <c r="Q737" s="12"/>
      <c r="R737" s="12"/>
      <c r="S737" s="12"/>
      <c r="T737" s="12"/>
      <c r="U737" s="12"/>
      <c r="V737" s="12"/>
      <c r="W737" s="12"/>
      <c r="X737" s="12"/>
      <c r="Y737" s="12"/>
      <c r="Z737" s="12"/>
      <c r="AA737" s="12"/>
    </row>
    <row r="738" ht="13.5" customHeight="1">
      <c r="A738" s="17"/>
      <c r="B738" s="12"/>
      <c r="C738" s="12"/>
      <c r="D738" s="17"/>
      <c r="E738" s="12"/>
      <c r="F738" s="12"/>
      <c r="G738" s="17"/>
      <c r="H738" s="17"/>
      <c r="I738" s="12"/>
      <c r="J738" s="12"/>
      <c r="K738" s="12"/>
      <c r="L738" s="12"/>
      <c r="M738" s="12"/>
      <c r="N738" s="12"/>
      <c r="O738" s="12"/>
      <c r="P738" s="12"/>
      <c r="Q738" s="12"/>
      <c r="R738" s="12"/>
      <c r="S738" s="12"/>
      <c r="T738" s="12"/>
      <c r="U738" s="12"/>
      <c r="V738" s="12"/>
      <c r="W738" s="12"/>
      <c r="X738" s="12"/>
      <c r="Y738" s="12"/>
      <c r="Z738" s="12"/>
      <c r="AA738" s="12"/>
    </row>
    <row r="739" ht="13.5" customHeight="1">
      <c r="A739" s="17"/>
      <c r="B739" s="12"/>
      <c r="C739" s="12"/>
      <c r="D739" s="17"/>
      <c r="E739" s="12"/>
      <c r="F739" s="12"/>
      <c r="G739" s="17"/>
      <c r="H739" s="17"/>
      <c r="I739" s="12"/>
      <c r="J739" s="12"/>
      <c r="K739" s="12"/>
      <c r="L739" s="12"/>
      <c r="M739" s="12"/>
      <c r="N739" s="12"/>
      <c r="O739" s="12"/>
      <c r="P739" s="12"/>
      <c r="Q739" s="12"/>
      <c r="R739" s="12"/>
      <c r="S739" s="12"/>
      <c r="T739" s="12"/>
      <c r="U739" s="12"/>
      <c r="V739" s="12"/>
      <c r="W739" s="12"/>
      <c r="X739" s="12"/>
      <c r="Y739" s="12"/>
      <c r="Z739" s="12"/>
      <c r="AA739" s="12"/>
    </row>
    <row r="740" ht="13.5" customHeight="1">
      <c r="A740" s="17"/>
      <c r="B740" s="12"/>
      <c r="C740" s="12"/>
      <c r="D740" s="17"/>
      <c r="E740" s="12"/>
      <c r="F740" s="12"/>
      <c r="G740" s="17"/>
      <c r="H740" s="17"/>
      <c r="I740" s="12"/>
      <c r="J740" s="12"/>
      <c r="K740" s="12"/>
      <c r="L740" s="12"/>
      <c r="M740" s="12"/>
      <c r="N740" s="12"/>
      <c r="O740" s="12"/>
      <c r="P740" s="12"/>
      <c r="Q740" s="12"/>
      <c r="R740" s="12"/>
      <c r="S740" s="12"/>
      <c r="T740" s="12"/>
      <c r="U740" s="12"/>
      <c r="V740" s="12"/>
      <c r="W740" s="12"/>
      <c r="X740" s="12"/>
      <c r="Y740" s="12"/>
      <c r="Z740" s="12"/>
      <c r="AA740" s="12"/>
    </row>
    <row r="741" ht="13.5" customHeight="1">
      <c r="A741" s="17"/>
      <c r="B741" s="12"/>
      <c r="C741" s="12"/>
      <c r="D741" s="17"/>
      <c r="E741" s="12"/>
      <c r="F741" s="12"/>
      <c r="G741" s="17"/>
      <c r="H741" s="17"/>
      <c r="I741" s="12"/>
      <c r="J741" s="12"/>
      <c r="K741" s="12"/>
      <c r="L741" s="12"/>
      <c r="M741" s="12"/>
      <c r="N741" s="12"/>
      <c r="O741" s="12"/>
      <c r="P741" s="12"/>
      <c r="Q741" s="12"/>
      <c r="R741" s="12"/>
      <c r="S741" s="12"/>
      <c r="T741" s="12"/>
      <c r="U741" s="12"/>
      <c r="V741" s="12"/>
      <c r="W741" s="12"/>
      <c r="X741" s="12"/>
      <c r="Y741" s="12"/>
      <c r="Z741" s="12"/>
      <c r="AA741" s="12"/>
    </row>
    <row r="742" ht="13.5" customHeight="1">
      <c r="A742" s="17"/>
      <c r="B742" s="12"/>
      <c r="C742" s="12"/>
      <c r="D742" s="17"/>
      <c r="E742" s="12"/>
      <c r="F742" s="12"/>
      <c r="G742" s="17"/>
      <c r="H742" s="17"/>
      <c r="I742" s="12"/>
      <c r="J742" s="12"/>
      <c r="K742" s="12"/>
      <c r="L742" s="12"/>
      <c r="M742" s="12"/>
      <c r="N742" s="12"/>
      <c r="O742" s="12"/>
      <c r="P742" s="12"/>
      <c r="Q742" s="12"/>
      <c r="R742" s="12"/>
      <c r="S742" s="12"/>
      <c r="T742" s="12"/>
      <c r="U742" s="12"/>
      <c r="V742" s="12"/>
      <c r="W742" s="12"/>
      <c r="X742" s="12"/>
      <c r="Y742" s="12"/>
      <c r="Z742" s="12"/>
      <c r="AA742" s="12"/>
    </row>
    <row r="743" ht="13.5" customHeight="1">
      <c r="A743" s="17"/>
      <c r="B743" s="12"/>
      <c r="C743" s="12"/>
      <c r="D743" s="17"/>
      <c r="E743" s="12"/>
      <c r="F743" s="12"/>
      <c r="G743" s="17"/>
      <c r="H743" s="17"/>
      <c r="I743" s="12"/>
      <c r="J743" s="12"/>
      <c r="K743" s="12"/>
      <c r="L743" s="12"/>
      <c r="M743" s="12"/>
      <c r="N743" s="12"/>
      <c r="O743" s="12"/>
      <c r="P743" s="12"/>
      <c r="Q743" s="12"/>
      <c r="R743" s="12"/>
      <c r="S743" s="12"/>
      <c r="T743" s="12"/>
      <c r="U743" s="12"/>
      <c r="V743" s="12"/>
      <c r="W743" s="12"/>
      <c r="X743" s="12"/>
      <c r="Y743" s="12"/>
      <c r="Z743" s="12"/>
      <c r="AA743" s="12"/>
    </row>
    <row r="744" ht="13.5" customHeight="1">
      <c r="A744" s="17"/>
      <c r="B744" s="12"/>
      <c r="C744" s="12"/>
      <c r="D744" s="17"/>
      <c r="E744" s="12"/>
      <c r="F744" s="12"/>
      <c r="G744" s="17"/>
      <c r="H744" s="17"/>
      <c r="I744" s="12"/>
      <c r="J744" s="12"/>
      <c r="K744" s="12"/>
      <c r="L744" s="12"/>
      <c r="M744" s="12"/>
      <c r="N744" s="12"/>
      <c r="O744" s="12"/>
      <c r="P744" s="12"/>
      <c r="Q744" s="12"/>
      <c r="R744" s="12"/>
      <c r="S744" s="12"/>
      <c r="T744" s="12"/>
      <c r="U744" s="12"/>
      <c r="V744" s="12"/>
      <c r="W744" s="12"/>
      <c r="X744" s="12"/>
      <c r="Y744" s="12"/>
      <c r="Z744" s="12"/>
      <c r="AA744" s="12"/>
    </row>
    <row r="745" ht="13.5" customHeight="1">
      <c r="A745" s="17"/>
      <c r="B745" s="12"/>
      <c r="C745" s="12"/>
      <c r="D745" s="17"/>
      <c r="E745" s="12"/>
      <c r="F745" s="12"/>
      <c r="G745" s="17"/>
      <c r="H745" s="17"/>
      <c r="I745" s="12"/>
      <c r="J745" s="12"/>
      <c r="K745" s="12"/>
      <c r="L745" s="12"/>
      <c r="M745" s="12"/>
      <c r="N745" s="12"/>
      <c r="O745" s="12"/>
      <c r="P745" s="12"/>
      <c r="Q745" s="12"/>
      <c r="R745" s="12"/>
      <c r="S745" s="12"/>
      <c r="T745" s="12"/>
      <c r="U745" s="12"/>
      <c r="V745" s="12"/>
      <c r="W745" s="12"/>
      <c r="X745" s="12"/>
      <c r="Y745" s="12"/>
      <c r="Z745" s="12"/>
      <c r="AA745" s="12"/>
    </row>
    <row r="746" ht="13.5" customHeight="1">
      <c r="A746" s="17"/>
      <c r="B746" s="12"/>
      <c r="C746" s="12"/>
      <c r="D746" s="17"/>
      <c r="E746" s="12"/>
      <c r="F746" s="12"/>
      <c r="G746" s="17"/>
      <c r="H746" s="17"/>
      <c r="I746" s="12"/>
      <c r="J746" s="12"/>
      <c r="K746" s="12"/>
      <c r="L746" s="12"/>
      <c r="M746" s="12"/>
      <c r="N746" s="12"/>
      <c r="O746" s="12"/>
      <c r="P746" s="12"/>
      <c r="Q746" s="12"/>
      <c r="R746" s="12"/>
      <c r="S746" s="12"/>
      <c r="T746" s="12"/>
      <c r="U746" s="12"/>
      <c r="V746" s="12"/>
      <c r="W746" s="12"/>
      <c r="X746" s="12"/>
      <c r="Y746" s="12"/>
      <c r="Z746" s="12"/>
      <c r="AA746" s="12"/>
    </row>
    <row r="747" ht="13.5" customHeight="1">
      <c r="A747" s="17"/>
      <c r="B747" s="12"/>
      <c r="C747" s="12"/>
      <c r="D747" s="17"/>
      <c r="E747" s="12"/>
      <c r="F747" s="12"/>
      <c r="G747" s="17"/>
      <c r="H747" s="17"/>
      <c r="I747" s="12"/>
      <c r="J747" s="12"/>
      <c r="K747" s="12"/>
      <c r="L747" s="12"/>
      <c r="M747" s="12"/>
      <c r="N747" s="12"/>
      <c r="O747" s="12"/>
      <c r="P747" s="12"/>
      <c r="Q747" s="12"/>
      <c r="R747" s="12"/>
      <c r="S747" s="12"/>
      <c r="T747" s="12"/>
      <c r="U747" s="12"/>
      <c r="V747" s="12"/>
      <c r="W747" s="12"/>
      <c r="X747" s="12"/>
      <c r="Y747" s="12"/>
      <c r="Z747" s="12"/>
      <c r="AA747" s="12"/>
    </row>
    <row r="748" ht="13.5" customHeight="1">
      <c r="A748" s="17"/>
      <c r="B748" s="12"/>
      <c r="C748" s="12"/>
      <c r="D748" s="17"/>
      <c r="E748" s="12"/>
      <c r="F748" s="12"/>
      <c r="G748" s="17"/>
      <c r="H748" s="17"/>
      <c r="I748" s="12"/>
      <c r="J748" s="12"/>
      <c r="K748" s="12"/>
      <c r="L748" s="12"/>
      <c r="M748" s="12"/>
      <c r="N748" s="12"/>
      <c r="O748" s="12"/>
      <c r="P748" s="12"/>
      <c r="Q748" s="12"/>
      <c r="R748" s="12"/>
      <c r="S748" s="12"/>
      <c r="T748" s="12"/>
      <c r="U748" s="12"/>
      <c r="V748" s="12"/>
      <c r="W748" s="12"/>
      <c r="X748" s="12"/>
      <c r="Y748" s="12"/>
      <c r="Z748" s="12"/>
      <c r="AA748" s="12"/>
    </row>
    <row r="749" ht="13.5" customHeight="1">
      <c r="A749" s="17"/>
      <c r="B749" s="12"/>
      <c r="C749" s="12"/>
      <c r="D749" s="17"/>
      <c r="E749" s="12"/>
      <c r="F749" s="12"/>
      <c r="G749" s="17"/>
      <c r="H749" s="17"/>
      <c r="I749" s="12"/>
      <c r="J749" s="12"/>
      <c r="K749" s="12"/>
      <c r="L749" s="12"/>
      <c r="M749" s="12"/>
      <c r="N749" s="12"/>
      <c r="O749" s="12"/>
      <c r="P749" s="12"/>
      <c r="Q749" s="12"/>
      <c r="R749" s="12"/>
      <c r="S749" s="12"/>
      <c r="T749" s="12"/>
      <c r="U749" s="12"/>
      <c r="V749" s="12"/>
      <c r="W749" s="12"/>
      <c r="X749" s="12"/>
      <c r="Y749" s="12"/>
      <c r="Z749" s="12"/>
      <c r="AA749" s="12"/>
    </row>
    <row r="750" ht="13.5" customHeight="1">
      <c r="A750" s="17"/>
      <c r="B750" s="12"/>
      <c r="C750" s="12"/>
      <c r="D750" s="17"/>
      <c r="E750" s="12"/>
      <c r="F750" s="12"/>
      <c r="G750" s="17"/>
      <c r="H750" s="17"/>
      <c r="I750" s="12"/>
      <c r="J750" s="12"/>
      <c r="K750" s="12"/>
      <c r="L750" s="12"/>
      <c r="M750" s="12"/>
      <c r="N750" s="12"/>
      <c r="O750" s="12"/>
      <c r="P750" s="12"/>
      <c r="Q750" s="12"/>
      <c r="R750" s="12"/>
      <c r="S750" s="12"/>
      <c r="T750" s="12"/>
      <c r="U750" s="12"/>
      <c r="V750" s="12"/>
      <c r="W750" s="12"/>
      <c r="X750" s="12"/>
      <c r="Y750" s="12"/>
      <c r="Z750" s="12"/>
      <c r="AA750" s="12"/>
    </row>
    <row r="751" ht="13.5" customHeight="1">
      <c r="A751" s="17"/>
      <c r="B751" s="12"/>
      <c r="C751" s="12"/>
      <c r="D751" s="17"/>
      <c r="E751" s="12"/>
      <c r="F751" s="12"/>
      <c r="G751" s="17"/>
      <c r="H751" s="17"/>
      <c r="I751" s="12"/>
      <c r="J751" s="12"/>
      <c r="K751" s="12"/>
      <c r="L751" s="12"/>
      <c r="M751" s="12"/>
      <c r="N751" s="12"/>
      <c r="O751" s="12"/>
      <c r="P751" s="12"/>
      <c r="Q751" s="12"/>
      <c r="R751" s="12"/>
      <c r="S751" s="12"/>
      <c r="T751" s="12"/>
      <c r="U751" s="12"/>
      <c r="V751" s="12"/>
      <c r="W751" s="12"/>
      <c r="X751" s="12"/>
      <c r="Y751" s="12"/>
      <c r="Z751" s="12"/>
      <c r="AA751" s="12"/>
    </row>
    <row r="752" ht="13.5" customHeight="1">
      <c r="A752" s="17"/>
      <c r="B752" s="12"/>
      <c r="C752" s="12"/>
      <c r="D752" s="17"/>
      <c r="E752" s="12"/>
      <c r="F752" s="12"/>
      <c r="G752" s="17"/>
      <c r="H752" s="17"/>
      <c r="I752" s="12"/>
      <c r="J752" s="12"/>
      <c r="K752" s="12"/>
      <c r="L752" s="12"/>
      <c r="M752" s="12"/>
      <c r="N752" s="12"/>
      <c r="O752" s="12"/>
      <c r="P752" s="12"/>
      <c r="Q752" s="12"/>
      <c r="R752" s="12"/>
      <c r="S752" s="12"/>
      <c r="T752" s="12"/>
      <c r="U752" s="12"/>
      <c r="V752" s="12"/>
      <c r="W752" s="12"/>
      <c r="X752" s="12"/>
      <c r="Y752" s="12"/>
      <c r="Z752" s="12"/>
      <c r="AA752" s="12"/>
    </row>
    <row r="753" ht="13.5" customHeight="1">
      <c r="A753" s="17"/>
      <c r="B753" s="12"/>
      <c r="C753" s="12"/>
      <c r="D753" s="17"/>
      <c r="E753" s="12"/>
      <c r="F753" s="12"/>
      <c r="G753" s="17"/>
      <c r="H753" s="17"/>
      <c r="I753" s="12"/>
      <c r="J753" s="12"/>
      <c r="K753" s="12"/>
      <c r="L753" s="12"/>
      <c r="M753" s="12"/>
      <c r="N753" s="12"/>
      <c r="O753" s="12"/>
      <c r="P753" s="12"/>
      <c r="Q753" s="12"/>
      <c r="R753" s="12"/>
      <c r="S753" s="12"/>
      <c r="T753" s="12"/>
      <c r="U753" s="12"/>
      <c r="V753" s="12"/>
      <c r="W753" s="12"/>
      <c r="X753" s="12"/>
      <c r="Y753" s="12"/>
      <c r="Z753" s="12"/>
      <c r="AA753" s="12"/>
    </row>
    <row r="754" ht="13.5" customHeight="1">
      <c r="A754" s="17"/>
      <c r="B754" s="12"/>
      <c r="C754" s="12"/>
      <c r="D754" s="17"/>
      <c r="E754" s="12"/>
      <c r="F754" s="12"/>
      <c r="G754" s="17"/>
      <c r="H754" s="17"/>
      <c r="I754" s="12"/>
      <c r="J754" s="12"/>
      <c r="K754" s="12"/>
      <c r="L754" s="12"/>
      <c r="M754" s="12"/>
      <c r="N754" s="12"/>
      <c r="O754" s="12"/>
      <c r="P754" s="12"/>
      <c r="Q754" s="12"/>
      <c r="R754" s="12"/>
      <c r="S754" s="12"/>
      <c r="T754" s="12"/>
      <c r="U754" s="12"/>
      <c r="V754" s="12"/>
      <c r="W754" s="12"/>
      <c r="X754" s="12"/>
      <c r="Y754" s="12"/>
      <c r="Z754" s="12"/>
      <c r="AA754" s="12"/>
    </row>
    <row r="755" ht="13.5" customHeight="1">
      <c r="A755" s="17"/>
      <c r="B755" s="12"/>
      <c r="C755" s="12"/>
      <c r="D755" s="17"/>
      <c r="E755" s="12"/>
      <c r="F755" s="12"/>
      <c r="G755" s="17"/>
      <c r="H755" s="17"/>
      <c r="I755" s="12"/>
      <c r="J755" s="12"/>
      <c r="K755" s="12"/>
      <c r="L755" s="12"/>
      <c r="M755" s="12"/>
      <c r="N755" s="12"/>
      <c r="O755" s="12"/>
      <c r="P755" s="12"/>
      <c r="Q755" s="12"/>
      <c r="R755" s="12"/>
      <c r="S755" s="12"/>
      <c r="T755" s="12"/>
      <c r="U755" s="12"/>
      <c r="V755" s="12"/>
      <c r="W755" s="12"/>
      <c r="X755" s="12"/>
      <c r="Y755" s="12"/>
      <c r="Z755" s="12"/>
      <c r="AA755" s="12"/>
    </row>
    <row r="756" ht="13.5" customHeight="1">
      <c r="A756" s="17"/>
      <c r="B756" s="12"/>
      <c r="C756" s="12"/>
      <c r="D756" s="17"/>
      <c r="E756" s="12"/>
      <c r="F756" s="12"/>
      <c r="G756" s="17"/>
      <c r="H756" s="17"/>
      <c r="I756" s="12"/>
      <c r="J756" s="12"/>
      <c r="K756" s="12"/>
      <c r="L756" s="12"/>
      <c r="M756" s="12"/>
      <c r="N756" s="12"/>
      <c r="O756" s="12"/>
      <c r="P756" s="12"/>
      <c r="Q756" s="12"/>
      <c r="R756" s="12"/>
      <c r="S756" s="12"/>
      <c r="T756" s="12"/>
      <c r="U756" s="12"/>
      <c r="V756" s="12"/>
      <c r="W756" s="12"/>
      <c r="X756" s="12"/>
      <c r="Y756" s="12"/>
      <c r="Z756" s="12"/>
      <c r="AA756" s="12"/>
    </row>
    <row r="757" ht="13.5" customHeight="1">
      <c r="A757" s="17"/>
      <c r="B757" s="12"/>
      <c r="C757" s="12"/>
      <c r="D757" s="17"/>
      <c r="E757" s="12"/>
      <c r="F757" s="12"/>
      <c r="G757" s="17"/>
      <c r="H757" s="17"/>
      <c r="I757" s="12"/>
      <c r="J757" s="12"/>
      <c r="K757" s="12"/>
      <c r="L757" s="12"/>
      <c r="M757" s="12"/>
      <c r="N757" s="12"/>
      <c r="O757" s="12"/>
      <c r="P757" s="12"/>
      <c r="Q757" s="12"/>
      <c r="R757" s="12"/>
      <c r="S757" s="12"/>
      <c r="T757" s="12"/>
      <c r="U757" s="12"/>
      <c r="V757" s="12"/>
      <c r="W757" s="12"/>
      <c r="X757" s="12"/>
      <c r="Y757" s="12"/>
      <c r="Z757" s="12"/>
      <c r="AA757" s="12"/>
    </row>
    <row r="758" ht="13.5" customHeight="1">
      <c r="A758" s="17"/>
      <c r="B758" s="12"/>
      <c r="C758" s="12"/>
      <c r="D758" s="17"/>
      <c r="E758" s="12"/>
      <c r="F758" s="12"/>
      <c r="G758" s="17"/>
      <c r="H758" s="17"/>
      <c r="I758" s="12"/>
      <c r="J758" s="12"/>
      <c r="K758" s="12"/>
      <c r="L758" s="12"/>
      <c r="M758" s="12"/>
      <c r="N758" s="12"/>
      <c r="O758" s="12"/>
      <c r="P758" s="12"/>
      <c r="Q758" s="12"/>
      <c r="R758" s="12"/>
      <c r="S758" s="12"/>
      <c r="T758" s="12"/>
      <c r="U758" s="12"/>
      <c r="V758" s="12"/>
      <c r="W758" s="12"/>
      <c r="X758" s="12"/>
      <c r="Y758" s="12"/>
      <c r="Z758" s="12"/>
      <c r="AA758" s="12"/>
    </row>
    <row r="759" ht="13.5" customHeight="1">
      <c r="A759" s="17"/>
      <c r="B759" s="12"/>
      <c r="C759" s="12"/>
      <c r="D759" s="17"/>
      <c r="E759" s="12"/>
      <c r="F759" s="12"/>
      <c r="G759" s="17"/>
      <c r="H759" s="17"/>
      <c r="I759" s="12"/>
      <c r="J759" s="12"/>
      <c r="K759" s="12"/>
      <c r="L759" s="12"/>
      <c r="M759" s="12"/>
      <c r="N759" s="12"/>
      <c r="O759" s="12"/>
      <c r="P759" s="12"/>
      <c r="Q759" s="12"/>
      <c r="R759" s="12"/>
      <c r="S759" s="12"/>
      <c r="T759" s="12"/>
      <c r="U759" s="12"/>
      <c r="V759" s="12"/>
      <c r="W759" s="12"/>
      <c r="X759" s="12"/>
      <c r="Y759" s="12"/>
      <c r="Z759" s="12"/>
      <c r="AA759" s="12"/>
    </row>
    <row r="760" ht="13.5" customHeight="1">
      <c r="A760" s="17"/>
      <c r="B760" s="12"/>
      <c r="C760" s="12"/>
      <c r="D760" s="17"/>
      <c r="E760" s="12"/>
      <c r="F760" s="12"/>
      <c r="G760" s="17"/>
      <c r="H760" s="17"/>
      <c r="I760" s="12"/>
      <c r="J760" s="12"/>
      <c r="K760" s="12"/>
      <c r="L760" s="12"/>
      <c r="M760" s="12"/>
      <c r="N760" s="12"/>
      <c r="O760" s="12"/>
      <c r="P760" s="12"/>
      <c r="Q760" s="12"/>
      <c r="R760" s="12"/>
      <c r="S760" s="12"/>
      <c r="T760" s="12"/>
      <c r="U760" s="12"/>
      <c r="V760" s="12"/>
      <c r="W760" s="12"/>
      <c r="X760" s="12"/>
      <c r="Y760" s="12"/>
      <c r="Z760" s="12"/>
      <c r="AA760" s="12"/>
    </row>
    <row r="761" ht="13.5" customHeight="1">
      <c r="A761" s="17"/>
      <c r="B761" s="12"/>
      <c r="C761" s="12"/>
      <c r="D761" s="17"/>
      <c r="E761" s="12"/>
      <c r="F761" s="12"/>
      <c r="G761" s="17"/>
      <c r="H761" s="17"/>
      <c r="I761" s="12"/>
      <c r="J761" s="12"/>
      <c r="K761" s="12"/>
      <c r="L761" s="12"/>
      <c r="M761" s="12"/>
      <c r="N761" s="12"/>
      <c r="O761" s="12"/>
      <c r="P761" s="12"/>
      <c r="Q761" s="12"/>
      <c r="R761" s="12"/>
      <c r="S761" s="12"/>
      <c r="T761" s="12"/>
      <c r="U761" s="12"/>
      <c r="V761" s="12"/>
      <c r="W761" s="12"/>
      <c r="X761" s="12"/>
      <c r="Y761" s="12"/>
      <c r="Z761" s="12"/>
      <c r="AA761" s="12"/>
    </row>
    <row r="762" ht="13.5" customHeight="1">
      <c r="A762" s="17"/>
      <c r="B762" s="12"/>
      <c r="C762" s="12"/>
      <c r="D762" s="17"/>
      <c r="E762" s="12"/>
      <c r="F762" s="12"/>
      <c r="G762" s="17"/>
      <c r="H762" s="17"/>
      <c r="I762" s="12"/>
      <c r="J762" s="12"/>
      <c r="K762" s="12"/>
      <c r="L762" s="12"/>
      <c r="M762" s="12"/>
      <c r="N762" s="12"/>
      <c r="O762" s="12"/>
      <c r="P762" s="12"/>
      <c r="Q762" s="12"/>
      <c r="R762" s="12"/>
      <c r="S762" s="12"/>
      <c r="T762" s="12"/>
      <c r="U762" s="12"/>
      <c r="V762" s="12"/>
      <c r="W762" s="12"/>
      <c r="X762" s="12"/>
      <c r="Y762" s="12"/>
      <c r="Z762" s="12"/>
      <c r="AA762" s="12"/>
    </row>
    <row r="763" ht="13.5" customHeight="1">
      <c r="A763" s="17"/>
      <c r="B763" s="12"/>
      <c r="C763" s="12"/>
      <c r="D763" s="17"/>
      <c r="E763" s="12"/>
      <c r="F763" s="12"/>
      <c r="G763" s="17"/>
      <c r="H763" s="17"/>
      <c r="I763" s="12"/>
      <c r="J763" s="12"/>
      <c r="K763" s="12"/>
      <c r="L763" s="12"/>
      <c r="M763" s="12"/>
      <c r="N763" s="12"/>
      <c r="O763" s="12"/>
      <c r="P763" s="12"/>
      <c r="Q763" s="12"/>
      <c r="R763" s="12"/>
      <c r="S763" s="12"/>
      <c r="T763" s="12"/>
      <c r="U763" s="12"/>
      <c r="V763" s="12"/>
      <c r="W763" s="12"/>
      <c r="X763" s="12"/>
      <c r="Y763" s="12"/>
      <c r="Z763" s="12"/>
      <c r="AA763" s="12"/>
    </row>
    <row r="764" ht="13.5" customHeight="1">
      <c r="A764" s="17"/>
      <c r="B764" s="12"/>
      <c r="C764" s="12"/>
      <c r="D764" s="17"/>
      <c r="E764" s="12"/>
      <c r="F764" s="12"/>
      <c r="G764" s="17"/>
      <c r="H764" s="17"/>
      <c r="I764" s="12"/>
      <c r="J764" s="12"/>
      <c r="K764" s="12"/>
      <c r="L764" s="12"/>
      <c r="M764" s="12"/>
      <c r="N764" s="12"/>
      <c r="O764" s="12"/>
      <c r="P764" s="12"/>
      <c r="Q764" s="12"/>
      <c r="R764" s="12"/>
      <c r="S764" s="12"/>
      <c r="T764" s="12"/>
      <c r="U764" s="12"/>
      <c r="V764" s="12"/>
      <c r="W764" s="12"/>
      <c r="X764" s="12"/>
      <c r="Y764" s="12"/>
      <c r="Z764" s="12"/>
      <c r="AA764" s="12"/>
    </row>
    <row r="765" ht="13.5" customHeight="1">
      <c r="A765" s="17"/>
      <c r="B765" s="12"/>
      <c r="C765" s="12"/>
      <c r="D765" s="17"/>
      <c r="E765" s="12"/>
      <c r="F765" s="12"/>
      <c r="G765" s="17"/>
      <c r="H765" s="17"/>
      <c r="I765" s="12"/>
      <c r="J765" s="12"/>
      <c r="K765" s="12"/>
      <c r="L765" s="12"/>
      <c r="M765" s="12"/>
      <c r="N765" s="12"/>
      <c r="O765" s="12"/>
      <c r="P765" s="12"/>
      <c r="Q765" s="12"/>
      <c r="R765" s="12"/>
      <c r="S765" s="12"/>
      <c r="T765" s="12"/>
      <c r="U765" s="12"/>
      <c r="V765" s="12"/>
      <c r="W765" s="12"/>
      <c r="X765" s="12"/>
      <c r="Y765" s="12"/>
      <c r="Z765" s="12"/>
      <c r="AA765" s="12"/>
    </row>
    <row r="766" ht="13.5" customHeight="1">
      <c r="A766" s="17"/>
      <c r="B766" s="12"/>
      <c r="C766" s="12"/>
      <c r="D766" s="17"/>
      <c r="E766" s="12"/>
      <c r="F766" s="12"/>
      <c r="G766" s="17"/>
      <c r="H766" s="17"/>
      <c r="I766" s="12"/>
      <c r="J766" s="12"/>
      <c r="K766" s="12"/>
      <c r="L766" s="12"/>
      <c r="M766" s="12"/>
      <c r="N766" s="12"/>
      <c r="O766" s="12"/>
      <c r="P766" s="12"/>
      <c r="Q766" s="12"/>
      <c r="R766" s="12"/>
      <c r="S766" s="12"/>
      <c r="T766" s="12"/>
      <c r="U766" s="12"/>
      <c r="V766" s="12"/>
      <c r="W766" s="12"/>
      <c r="X766" s="12"/>
      <c r="Y766" s="12"/>
      <c r="Z766" s="12"/>
      <c r="AA766" s="12"/>
    </row>
    <row r="767" ht="13.5" customHeight="1">
      <c r="A767" s="17"/>
      <c r="B767" s="12"/>
      <c r="C767" s="12"/>
      <c r="D767" s="17"/>
      <c r="E767" s="12"/>
      <c r="F767" s="12"/>
      <c r="G767" s="17"/>
      <c r="H767" s="17"/>
      <c r="I767" s="12"/>
      <c r="J767" s="12"/>
      <c r="K767" s="12"/>
      <c r="L767" s="12"/>
      <c r="M767" s="12"/>
      <c r="N767" s="12"/>
      <c r="O767" s="12"/>
      <c r="P767" s="12"/>
      <c r="Q767" s="12"/>
      <c r="R767" s="12"/>
      <c r="S767" s="12"/>
      <c r="T767" s="12"/>
      <c r="U767" s="12"/>
      <c r="V767" s="12"/>
      <c r="W767" s="12"/>
      <c r="X767" s="12"/>
      <c r="Y767" s="12"/>
      <c r="Z767" s="12"/>
      <c r="AA767" s="12"/>
    </row>
    <row r="768" ht="13.5" customHeight="1">
      <c r="A768" s="17"/>
      <c r="B768" s="12"/>
      <c r="C768" s="12"/>
      <c r="D768" s="17"/>
      <c r="E768" s="12"/>
      <c r="F768" s="12"/>
      <c r="G768" s="17"/>
      <c r="H768" s="17"/>
      <c r="I768" s="12"/>
      <c r="J768" s="12"/>
      <c r="K768" s="12"/>
      <c r="L768" s="12"/>
      <c r="M768" s="12"/>
      <c r="N768" s="12"/>
      <c r="O768" s="12"/>
      <c r="P768" s="12"/>
      <c r="Q768" s="12"/>
      <c r="R768" s="12"/>
      <c r="S768" s="12"/>
      <c r="T768" s="12"/>
      <c r="U768" s="12"/>
      <c r="V768" s="12"/>
      <c r="W768" s="12"/>
      <c r="X768" s="12"/>
      <c r="Y768" s="12"/>
      <c r="Z768" s="12"/>
      <c r="AA768" s="12"/>
    </row>
    <row r="769" ht="13.5" customHeight="1">
      <c r="A769" s="17"/>
      <c r="B769" s="12"/>
      <c r="C769" s="12"/>
      <c r="D769" s="17"/>
      <c r="E769" s="12"/>
      <c r="F769" s="12"/>
      <c r="G769" s="17"/>
      <c r="H769" s="17"/>
      <c r="I769" s="12"/>
      <c r="J769" s="12"/>
      <c r="K769" s="12"/>
      <c r="L769" s="12"/>
      <c r="M769" s="12"/>
      <c r="N769" s="12"/>
      <c r="O769" s="12"/>
      <c r="P769" s="12"/>
      <c r="Q769" s="12"/>
      <c r="R769" s="12"/>
      <c r="S769" s="12"/>
      <c r="T769" s="12"/>
      <c r="U769" s="12"/>
      <c r="V769" s="12"/>
      <c r="W769" s="12"/>
      <c r="X769" s="12"/>
      <c r="Y769" s="12"/>
      <c r="Z769" s="12"/>
      <c r="AA769" s="12"/>
    </row>
    <row r="770" ht="13.5" customHeight="1">
      <c r="A770" s="17"/>
      <c r="B770" s="12"/>
      <c r="C770" s="12"/>
      <c r="D770" s="17"/>
      <c r="E770" s="12"/>
      <c r="F770" s="12"/>
      <c r="G770" s="17"/>
      <c r="H770" s="17"/>
      <c r="I770" s="12"/>
      <c r="J770" s="12"/>
      <c r="K770" s="12"/>
      <c r="L770" s="12"/>
      <c r="M770" s="12"/>
      <c r="N770" s="12"/>
      <c r="O770" s="12"/>
      <c r="P770" s="12"/>
      <c r="Q770" s="12"/>
      <c r="R770" s="12"/>
      <c r="S770" s="12"/>
      <c r="T770" s="12"/>
      <c r="U770" s="12"/>
      <c r="V770" s="12"/>
      <c r="W770" s="12"/>
      <c r="X770" s="12"/>
      <c r="Y770" s="12"/>
      <c r="Z770" s="12"/>
      <c r="AA770" s="12"/>
    </row>
    <row r="771" ht="13.5" customHeight="1">
      <c r="A771" s="17"/>
      <c r="B771" s="12"/>
      <c r="C771" s="12"/>
      <c r="D771" s="17"/>
      <c r="E771" s="12"/>
      <c r="F771" s="12"/>
      <c r="G771" s="17"/>
      <c r="H771" s="17"/>
      <c r="I771" s="12"/>
      <c r="J771" s="12"/>
      <c r="K771" s="12"/>
      <c r="L771" s="12"/>
      <c r="M771" s="12"/>
      <c r="N771" s="12"/>
      <c r="O771" s="12"/>
      <c r="P771" s="12"/>
      <c r="Q771" s="12"/>
      <c r="R771" s="12"/>
      <c r="S771" s="12"/>
      <c r="T771" s="12"/>
      <c r="U771" s="12"/>
      <c r="V771" s="12"/>
      <c r="W771" s="12"/>
      <c r="X771" s="12"/>
      <c r="Y771" s="12"/>
      <c r="Z771" s="12"/>
      <c r="AA771" s="12"/>
    </row>
    <row r="772" ht="13.5" customHeight="1">
      <c r="A772" s="17"/>
      <c r="B772" s="12"/>
      <c r="C772" s="12"/>
      <c r="D772" s="17"/>
      <c r="E772" s="12"/>
      <c r="F772" s="12"/>
      <c r="G772" s="17"/>
      <c r="H772" s="17"/>
      <c r="I772" s="12"/>
      <c r="J772" s="12"/>
      <c r="K772" s="12"/>
      <c r="L772" s="12"/>
      <c r="M772" s="12"/>
      <c r="N772" s="12"/>
      <c r="O772" s="12"/>
      <c r="P772" s="12"/>
      <c r="Q772" s="12"/>
      <c r="R772" s="12"/>
      <c r="S772" s="12"/>
      <c r="T772" s="12"/>
      <c r="U772" s="12"/>
      <c r="V772" s="12"/>
      <c r="W772" s="12"/>
      <c r="X772" s="12"/>
      <c r="Y772" s="12"/>
      <c r="Z772" s="12"/>
      <c r="AA772" s="12"/>
    </row>
    <row r="773" ht="13.5" customHeight="1">
      <c r="A773" s="17"/>
      <c r="B773" s="12"/>
      <c r="C773" s="12"/>
      <c r="D773" s="17"/>
      <c r="E773" s="12"/>
      <c r="F773" s="12"/>
      <c r="G773" s="17"/>
      <c r="H773" s="17"/>
      <c r="I773" s="12"/>
      <c r="J773" s="12"/>
      <c r="K773" s="12"/>
      <c r="L773" s="12"/>
      <c r="M773" s="12"/>
      <c r="N773" s="12"/>
      <c r="O773" s="12"/>
      <c r="P773" s="12"/>
      <c r="Q773" s="12"/>
      <c r="R773" s="12"/>
      <c r="S773" s="12"/>
      <c r="T773" s="12"/>
      <c r="U773" s="12"/>
      <c r="V773" s="12"/>
      <c r="W773" s="12"/>
      <c r="X773" s="12"/>
      <c r="Y773" s="12"/>
      <c r="Z773" s="12"/>
      <c r="AA773" s="12"/>
    </row>
    <row r="774" ht="13.5" customHeight="1">
      <c r="A774" s="17"/>
      <c r="B774" s="12"/>
      <c r="C774" s="12"/>
      <c r="D774" s="17"/>
      <c r="E774" s="12"/>
      <c r="F774" s="12"/>
      <c r="G774" s="17"/>
      <c r="H774" s="17"/>
      <c r="I774" s="12"/>
      <c r="J774" s="12"/>
      <c r="K774" s="12"/>
      <c r="L774" s="12"/>
      <c r="M774" s="12"/>
      <c r="N774" s="12"/>
      <c r="O774" s="12"/>
      <c r="P774" s="12"/>
      <c r="Q774" s="12"/>
      <c r="R774" s="12"/>
      <c r="S774" s="12"/>
      <c r="T774" s="12"/>
      <c r="U774" s="12"/>
      <c r="V774" s="12"/>
      <c r="W774" s="12"/>
      <c r="X774" s="12"/>
      <c r="Y774" s="12"/>
      <c r="Z774" s="12"/>
      <c r="AA774" s="12"/>
    </row>
    <row r="775" ht="13.5" customHeight="1">
      <c r="A775" s="17"/>
      <c r="B775" s="12"/>
      <c r="C775" s="12"/>
      <c r="D775" s="17"/>
      <c r="E775" s="12"/>
      <c r="F775" s="12"/>
      <c r="G775" s="17"/>
      <c r="H775" s="17"/>
      <c r="I775" s="12"/>
      <c r="J775" s="12"/>
      <c r="K775" s="12"/>
      <c r="L775" s="12"/>
      <c r="M775" s="12"/>
      <c r="N775" s="12"/>
      <c r="O775" s="12"/>
      <c r="P775" s="12"/>
      <c r="Q775" s="12"/>
      <c r="R775" s="12"/>
      <c r="S775" s="12"/>
      <c r="T775" s="12"/>
      <c r="U775" s="12"/>
      <c r="V775" s="12"/>
      <c r="W775" s="12"/>
      <c r="X775" s="12"/>
      <c r="Y775" s="12"/>
      <c r="Z775" s="12"/>
      <c r="AA775" s="12"/>
    </row>
    <row r="776" ht="13.5" customHeight="1">
      <c r="A776" s="17"/>
      <c r="B776" s="12"/>
      <c r="C776" s="12"/>
      <c r="D776" s="17"/>
      <c r="E776" s="12"/>
      <c r="F776" s="12"/>
      <c r="G776" s="17"/>
      <c r="H776" s="17"/>
      <c r="I776" s="12"/>
      <c r="J776" s="12"/>
      <c r="K776" s="12"/>
      <c r="L776" s="12"/>
      <c r="M776" s="12"/>
      <c r="N776" s="12"/>
      <c r="O776" s="12"/>
      <c r="P776" s="12"/>
      <c r="Q776" s="12"/>
      <c r="R776" s="12"/>
      <c r="S776" s="12"/>
      <c r="T776" s="12"/>
      <c r="U776" s="12"/>
      <c r="V776" s="12"/>
      <c r="W776" s="12"/>
      <c r="X776" s="12"/>
      <c r="Y776" s="12"/>
      <c r="Z776" s="12"/>
      <c r="AA776" s="12"/>
    </row>
    <row r="777" ht="13.5" customHeight="1">
      <c r="A777" s="17"/>
      <c r="B777" s="12"/>
      <c r="C777" s="12"/>
      <c r="D777" s="17"/>
      <c r="E777" s="12"/>
      <c r="F777" s="12"/>
      <c r="G777" s="17"/>
      <c r="H777" s="17"/>
      <c r="I777" s="12"/>
      <c r="J777" s="12"/>
      <c r="K777" s="12"/>
      <c r="L777" s="12"/>
      <c r="M777" s="12"/>
      <c r="N777" s="12"/>
      <c r="O777" s="12"/>
      <c r="P777" s="12"/>
      <c r="Q777" s="12"/>
      <c r="R777" s="12"/>
      <c r="S777" s="12"/>
      <c r="T777" s="12"/>
      <c r="U777" s="12"/>
      <c r="V777" s="12"/>
      <c r="W777" s="12"/>
      <c r="X777" s="12"/>
      <c r="Y777" s="12"/>
      <c r="Z777" s="12"/>
      <c r="AA777" s="12"/>
    </row>
    <row r="778" ht="13.5" customHeight="1">
      <c r="A778" s="17"/>
      <c r="B778" s="12"/>
      <c r="C778" s="12"/>
      <c r="D778" s="17"/>
      <c r="E778" s="12"/>
      <c r="F778" s="12"/>
      <c r="G778" s="17"/>
      <c r="H778" s="17"/>
      <c r="I778" s="12"/>
      <c r="J778" s="12"/>
      <c r="K778" s="12"/>
      <c r="L778" s="12"/>
      <c r="M778" s="12"/>
      <c r="N778" s="12"/>
      <c r="O778" s="12"/>
      <c r="P778" s="12"/>
      <c r="Q778" s="12"/>
      <c r="R778" s="12"/>
      <c r="S778" s="12"/>
      <c r="T778" s="12"/>
      <c r="U778" s="12"/>
      <c r="V778" s="12"/>
      <c r="W778" s="12"/>
      <c r="X778" s="12"/>
      <c r="Y778" s="12"/>
      <c r="Z778" s="12"/>
      <c r="AA778" s="12"/>
    </row>
    <row r="779" ht="13.5" customHeight="1">
      <c r="A779" s="17"/>
      <c r="B779" s="12"/>
      <c r="C779" s="12"/>
      <c r="D779" s="17"/>
      <c r="E779" s="12"/>
      <c r="F779" s="12"/>
      <c r="G779" s="17"/>
      <c r="H779" s="17"/>
      <c r="I779" s="12"/>
      <c r="J779" s="12"/>
      <c r="K779" s="12"/>
      <c r="L779" s="12"/>
      <c r="M779" s="12"/>
      <c r="N779" s="12"/>
      <c r="O779" s="12"/>
      <c r="P779" s="12"/>
      <c r="Q779" s="12"/>
      <c r="R779" s="12"/>
      <c r="S779" s="12"/>
      <c r="T779" s="12"/>
      <c r="U779" s="12"/>
      <c r="V779" s="12"/>
      <c r="W779" s="12"/>
      <c r="X779" s="12"/>
      <c r="Y779" s="12"/>
      <c r="Z779" s="12"/>
      <c r="AA779" s="12"/>
    </row>
    <row r="780" ht="13.5" customHeight="1">
      <c r="A780" s="17"/>
      <c r="B780" s="12"/>
      <c r="C780" s="12"/>
      <c r="D780" s="17"/>
      <c r="E780" s="12"/>
      <c r="F780" s="12"/>
      <c r="G780" s="17"/>
      <c r="H780" s="17"/>
      <c r="I780" s="12"/>
      <c r="J780" s="12"/>
      <c r="K780" s="12"/>
      <c r="L780" s="12"/>
      <c r="M780" s="12"/>
      <c r="N780" s="12"/>
      <c r="O780" s="12"/>
      <c r="P780" s="12"/>
      <c r="Q780" s="12"/>
      <c r="R780" s="12"/>
      <c r="S780" s="12"/>
      <c r="T780" s="12"/>
      <c r="U780" s="12"/>
      <c r="V780" s="12"/>
      <c r="W780" s="12"/>
      <c r="X780" s="12"/>
      <c r="Y780" s="12"/>
      <c r="Z780" s="12"/>
      <c r="AA780" s="12"/>
    </row>
    <row r="781" ht="13.5" customHeight="1">
      <c r="A781" s="17"/>
      <c r="B781" s="12"/>
      <c r="C781" s="12"/>
      <c r="D781" s="17"/>
      <c r="E781" s="12"/>
      <c r="F781" s="12"/>
      <c r="G781" s="17"/>
      <c r="H781" s="17"/>
      <c r="I781" s="12"/>
      <c r="J781" s="12"/>
      <c r="K781" s="12"/>
      <c r="L781" s="12"/>
      <c r="M781" s="12"/>
      <c r="N781" s="12"/>
      <c r="O781" s="12"/>
      <c r="P781" s="12"/>
      <c r="Q781" s="12"/>
      <c r="R781" s="12"/>
      <c r="S781" s="12"/>
      <c r="T781" s="12"/>
      <c r="U781" s="12"/>
      <c r="V781" s="12"/>
      <c r="W781" s="12"/>
      <c r="X781" s="12"/>
      <c r="Y781" s="12"/>
      <c r="Z781" s="12"/>
      <c r="AA781" s="12"/>
    </row>
    <row r="782" ht="13.5" customHeight="1">
      <c r="A782" s="17"/>
      <c r="B782" s="12"/>
      <c r="C782" s="12"/>
      <c r="D782" s="17"/>
      <c r="E782" s="12"/>
      <c r="F782" s="12"/>
      <c r="G782" s="17"/>
      <c r="H782" s="17"/>
      <c r="I782" s="12"/>
      <c r="J782" s="12"/>
      <c r="K782" s="12"/>
      <c r="L782" s="12"/>
      <c r="M782" s="12"/>
      <c r="N782" s="12"/>
      <c r="O782" s="12"/>
      <c r="P782" s="12"/>
      <c r="Q782" s="12"/>
      <c r="R782" s="12"/>
      <c r="S782" s="12"/>
      <c r="T782" s="12"/>
      <c r="U782" s="12"/>
      <c r="V782" s="12"/>
      <c r="W782" s="12"/>
      <c r="X782" s="12"/>
      <c r="Y782" s="12"/>
      <c r="Z782" s="12"/>
      <c r="AA782" s="12"/>
    </row>
    <row r="783" ht="13.5" customHeight="1">
      <c r="A783" s="17"/>
      <c r="B783" s="12"/>
      <c r="C783" s="12"/>
      <c r="D783" s="17"/>
      <c r="E783" s="12"/>
      <c r="F783" s="12"/>
      <c r="G783" s="17"/>
      <c r="H783" s="17"/>
      <c r="I783" s="12"/>
      <c r="J783" s="12"/>
      <c r="K783" s="12"/>
      <c r="L783" s="12"/>
      <c r="M783" s="12"/>
      <c r="N783" s="12"/>
      <c r="O783" s="12"/>
      <c r="P783" s="12"/>
      <c r="Q783" s="12"/>
      <c r="R783" s="12"/>
      <c r="S783" s="12"/>
      <c r="T783" s="12"/>
      <c r="U783" s="12"/>
      <c r="V783" s="12"/>
      <c r="W783" s="12"/>
      <c r="X783" s="12"/>
      <c r="Y783" s="12"/>
      <c r="Z783" s="12"/>
      <c r="AA783" s="12"/>
    </row>
    <row r="784" ht="13.5" customHeight="1">
      <c r="A784" s="17"/>
      <c r="B784" s="12"/>
      <c r="C784" s="12"/>
      <c r="D784" s="17"/>
      <c r="E784" s="12"/>
      <c r="F784" s="12"/>
      <c r="G784" s="17"/>
      <c r="H784" s="17"/>
      <c r="I784" s="12"/>
      <c r="J784" s="12"/>
      <c r="K784" s="12"/>
      <c r="L784" s="12"/>
      <c r="M784" s="12"/>
      <c r="N784" s="12"/>
      <c r="O784" s="12"/>
      <c r="P784" s="12"/>
      <c r="Q784" s="12"/>
      <c r="R784" s="12"/>
      <c r="S784" s="12"/>
      <c r="T784" s="12"/>
      <c r="U784" s="12"/>
      <c r="V784" s="12"/>
      <c r="W784" s="12"/>
      <c r="X784" s="12"/>
      <c r="Y784" s="12"/>
      <c r="Z784" s="12"/>
      <c r="AA784" s="12"/>
    </row>
    <row r="785" ht="13.5" customHeight="1">
      <c r="A785" s="17"/>
      <c r="B785" s="12"/>
      <c r="C785" s="12"/>
      <c r="D785" s="17"/>
      <c r="E785" s="12"/>
      <c r="F785" s="12"/>
      <c r="G785" s="17"/>
      <c r="H785" s="17"/>
      <c r="I785" s="12"/>
      <c r="J785" s="12"/>
      <c r="K785" s="12"/>
      <c r="L785" s="12"/>
      <c r="M785" s="12"/>
      <c r="N785" s="12"/>
      <c r="O785" s="12"/>
      <c r="P785" s="12"/>
      <c r="Q785" s="12"/>
      <c r="R785" s="12"/>
      <c r="S785" s="12"/>
      <c r="T785" s="12"/>
      <c r="U785" s="12"/>
      <c r="V785" s="12"/>
      <c r="W785" s="12"/>
      <c r="X785" s="12"/>
      <c r="Y785" s="12"/>
      <c r="Z785" s="12"/>
      <c r="AA785" s="12"/>
    </row>
    <row r="786" ht="13.5" customHeight="1">
      <c r="A786" s="17"/>
      <c r="B786" s="12"/>
      <c r="C786" s="12"/>
      <c r="D786" s="17"/>
      <c r="E786" s="12"/>
      <c r="F786" s="12"/>
      <c r="G786" s="17"/>
      <c r="H786" s="17"/>
      <c r="I786" s="12"/>
      <c r="J786" s="12"/>
      <c r="K786" s="12"/>
      <c r="L786" s="12"/>
      <c r="M786" s="12"/>
      <c r="N786" s="12"/>
      <c r="O786" s="12"/>
      <c r="P786" s="12"/>
      <c r="Q786" s="12"/>
      <c r="R786" s="12"/>
      <c r="S786" s="12"/>
      <c r="T786" s="12"/>
      <c r="U786" s="12"/>
      <c r="V786" s="12"/>
      <c r="W786" s="12"/>
      <c r="X786" s="12"/>
      <c r="Y786" s="12"/>
      <c r="Z786" s="12"/>
      <c r="AA786" s="12"/>
    </row>
    <row r="787" ht="13.5" customHeight="1">
      <c r="A787" s="17"/>
      <c r="B787" s="12"/>
      <c r="C787" s="12"/>
      <c r="D787" s="17"/>
      <c r="E787" s="12"/>
      <c r="F787" s="12"/>
      <c r="G787" s="17"/>
      <c r="H787" s="17"/>
      <c r="I787" s="12"/>
      <c r="J787" s="12"/>
      <c r="K787" s="12"/>
      <c r="L787" s="12"/>
      <c r="M787" s="12"/>
      <c r="N787" s="12"/>
      <c r="O787" s="12"/>
      <c r="P787" s="12"/>
      <c r="Q787" s="12"/>
      <c r="R787" s="12"/>
      <c r="S787" s="12"/>
      <c r="T787" s="12"/>
      <c r="U787" s="12"/>
      <c r="V787" s="12"/>
      <c r="W787" s="12"/>
      <c r="X787" s="12"/>
      <c r="Y787" s="12"/>
      <c r="Z787" s="12"/>
      <c r="AA787" s="12"/>
    </row>
    <row r="788" ht="13.5" customHeight="1">
      <c r="A788" s="17"/>
      <c r="B788" s="12"/>
      <c r="C788" s="12"/>
      <c r="D788" s="17"/>
      <c r="E788" s="12"/>
      <c r="F788" s="12"/>
      <c r="G788" s="17"/>
      <c r="H788" s="17"/>
      <c r="I788" s="12"/>
      <c r="J788" s="12"/>
      <c r="K788" s="12"/>
      <c r="L788" s="12"/>
      <c r="M788" s="12"/>
      <c r="N788" s="12"/>
      <c r="O788" s="12"/>
      <c r="P788" s="12"/>
      <c r="Q788" s="12"/>
      <c r="R788" s="12"/>
      <c r="S788" s="12"/>
      <c r="T788" s="12"/>
      <c r="U788" s="12"/>
      <c r="V788" s="12"/>
      <c r="W788" s="12"/>
      <c r="X788" s="12"/>
      <c r="Y788" s="12"/>
      <c r="Z788" s="12"/>
      <c r="AA788" s="12"/>
    </row>
    <row r="789" ht="13.5" customHeight="1">
      <c r="A789" s="17"/>
      <c r="B789" s="12"/>
      <c r="C789" s="12"/>
      <c r="D789" s="17"/>
      <c r="E789" s="12"/>
      <c r="F789" s="12"/>
      <c r="G789" s="17"/>
      <c r="H789" s="17"/>
      <c r="I789" s="12"/>
      <c r="J789" s="12"/>
      <c r="K789" s="12"/>
      <c r="L789" s="12"/>
      <c r="M789" s="12"/>
      <c r="N789" s="12"/>
      <c r="O789" s="12"/>
      <c r="P789" s="12"/>
      <c r="Q789" s="12"/>
      <c r="R789" s="12"/>
      <c r="S789" s="12"/>
      <c r="T789" s="12"/>
      <c r="U789" s="12"/>
      <c r="V789" s="12"/>
      <c r="W789" s="12"/>
      <c r="X789" s="12"/>
      <c r="Y789" s="12"/>
      <c r="Z789" s="12"/>
      <c r="AA789" s="12"/>
    </row>
    <row r="790" ht="13.5" customHeight="1">
      <c r="A790" s="17"/>
      <c r="B790" s="12"/>
      <c r="C790" s="12"/>
      <c r="D790" s="17"/>
      <c r="E790" s="12"/>
      <c r="F790" s="12"/>
      <c r="G790" s="17"/>
      <c r="H790" s="17"/>
      <c r="I790" s="12"/>
      <c r="J790" s="12"/>
      <c r="K790" s="12"/>
      <c r="L790" s="12"/>
      <c r="M790" s="12"/>
      <c r="N790" s="12"/>
      <c r="O790" s="12"/>
      <c r="P790" s="12"/>
      <c r="Q790" s="12"/>
      <c r="R790" s="12"/>
      <c r="S790" s="12"/>
      <c r="T790" s="12"/>
      <c r="U790" s="12"/>
      <c r="V790" s="12"/>
      <c r="W790" s="12"/>
      <c r="X790" s="12"/>
      <c r="Y790" s="12"/>
      <c r="Z790" s="12"/>
      <c r="AA790" s="12"/>
    </row>
    <row r="791" ht="13.5" customHeight="1">
      <c r="A791" s="17"/>
      <c r="B791" s="12"/>
      <c r="C791" s="12"/>
      <c r="D791" s="17"/>
      <c r="E791" s="12"/>
      <c r="F791" s="12"/>
      <c r="G791" s="17"/>
      <c r="H791" s="17"/>
      <c r="I791" s="12"/>
      <c r="J791" s="12"/>
      <c r="K791" s="12"/>
      <c r="L791" s="12"/>
      <c r="M791" s="12"/>
      <c r="N791" s="12"/>
      <c r="O791" s="12"/>
      <c r="P791" s="12"/>
      <c r="Q791" s="12"/>
      <c r="R791" s="12"/>
      <c r="S791" s="12"/>
      <c r="T791" s="12"/>
      <c r="U791" s="12"/>
      <c r="V791" s="12"/>
      <c r="W791" s="12"/>
      <c r="X791" s="12"/>
      <c r="Y791" s="12"/>
      <c r="Z791" s="12"/>
      <c r="AA791" s="12"/>
    </row>
    <row r="792" ht="13.5" customHeight="1">
      <c r="A792" s="17"/>
      <c r="B792" s="12"/>
      <c r="C792" s="12"/>
      <c r="D792" s="17"/>
      <c r="E792" s="12"/>
      <c r="F792" s="12"/>
      <c r="G792" s="17"/>
      <c r="H792" s="17"/>
      <c r="I792" s="12"/>
      <c r="J792" s="12"/>
      <c r="K792" s="12"/>
      <c r="L792" s="12"/>
      <c r="M792" s="12"/>
      <c r="N792" s="12"/>
      <c r="O792" s="12"/>
      <c r="P792" s="12"/>
      <c r="Q792" s="12"/>
      <c r="R792" s="12"/>
      <c r="S792" s="12"/>
      <c r="T792" s="12"/>
      <c r="U792" s="12"/>
      <c r="V792" s="12"/>
      <c r="W792" s="12"/>
      <c r="X792" s="12"/>
      <c r="Y792" s="12"/>
      <c r="Z792" s="12"/>
      <c r="AA792" s="12"/>
    </row>
    <row r="793" ht="13.5" customHeight="1">
      <c r="A793" s="17"/>
      <c r="B793" s="12"/>
      <c r="C793" s="12"/>
      <c r="D793" s="17"/>
      <c r="E793" s="12"/>
      <c r="F793" s="12"/>
      <c r="G793" s="17"/>
      <c r="H793" s="17"/>
      <c r="I793" s="12"/>
      <c r="J793" s="12"/>
      <c r="K793" s="12"/>
      <c r="L793" s="12"/>
      <c r="M793" s="12"/>
      <c r="N793" s="12"/>
      <c r="O793" s="12"/>
      <c r="P793" s="12"/>
      <c r="Q793" s="12"/>
      <c r="R793" s="12"/>
      <c r="S793" s="12"/>
      <c r="T793" s="12"/>
      <c r="U793" s="12"/>
      <c r="V793" s="12"/>
      <c r="W793" s="12"/>
      <c r="X793" s="12"/>
      <c r="Y793" s="12"/>
      <c r="Z793" s="12"/>
      <c r="AA793" s="12"/>
    </row>
    <row r="794" ht="13.5" customHeight="1">
      <c r="A794" s="17"/>
      <c r="B794" s="12"/>
      <c r="C794" s="12"/>
      <c r="D794" s="17"/>
      <c r="E794" s="12"/>
      <c r="F794" s="12"/>
      <c r="G794" s="17"/>
      <c r="H794" s="17"/>
      <c r="I794" s="12"/>
      <c r="J794" s="12"/>
      <c r="K794" s="12"/>
      <c r="L794" s="12"/>
      <c r="M794" s="12"/>
      <c r="N794" s="12"/>
      <c r="O794" s="12"/>
      <c r="P794" s="12"/>
      <c r="Q794" s="12"/>
      <c r="R794" s="12"/>
      <c r="S794" s="12"/>
      <c r="T794" s="12"/>
      <c r="U794" s="12"/>
      <c r="V794" s="12"/>
      <c r="W794" s="12"/>
      <c r="X794" s="12"/>
      <c r="Y794" s="12"/>
      <c r="Z794" s="12"/>
      <c r="AA794" s="12"/>
    </row>
    <row r="795" ht="13.5" customHeight="1">
      <c r="A795" s="17"/>
      <c r="B795" s="12"/>
      <c r="C795" s="12"/>
      <c r="D795" s="17"/>
      <c r="E795" s="12"/>
      <c r="F795" s="12"/>
      <c r="G795" s="17"/>
      <c r="H795" s="17"/>
      <c r="I795" s="12"/>
      <c r="J795" s="12"/>
      <c r="K795" s="12"/>
      <c r="L795" s="12"/>
      <c r="M795" s="12"/>
      <c r="N795" s="12"/>
      <c r="O795" s="12"/>
      <c r="P795" s="12"/>
      <c r="Q795" s="12"/>
      <c r="R795" s="12"/>
      <c r="S795" s="12"/>
      <c r="T795" s="12"/>
      <c r="U795" s="12"/>
      <c r="V795" s="12"/>
      <c r="W795" s="12"/>
      <c r="X795" s="12"/>
      <c r="Y795" s="12"/>
      <c r="Z795" s="12"/>
      <c r="AA795" s="12"/>
    </row>
    <row r="796" ht="13.5" customHeight="1">
      <c r="A796" s="17"/>
      <c r="B796" s="12"/>
      <c r="C796" s="12"/>
      <c r="D796" s="17"/>
      <c r="E796" s="12"/>
      <c r="F796" s="12"/>
      <c r="G796" s="17"/>
      <c r="H796" s="17"/>
      <c r="I796" s="12"/>
      <c r="J796" s="12"/>
      <c r="K796" s="12"/>
      <c r="L796" s="12"/>
      <c r="M796" s="12"/>
      <c r="N796" s="12"/>
      <c r="O796" s="12"/>
      <c r="P796" s="12"/>
      <c r="Q796" s="12"/>
      <c r="R796" s="12"/>
      <c r="S796" s="12"/>
      <c r="T796" s="12"/>
      <c r="U796" s="12"/>
      <c r="V796" s="12"/>
      <c r="W796" s="12"/>
      <c r="X796" s="12"/>
      <c r="Y796" s="12"/>
      <c r="Z796" s="12"/>
      <c r="AA796" s="12"/>
    </row>
    <row r="797" ht="13.5" customHeight="1">
      <c r="A797" s="17"/>
      <c r="B797" s="12"/>
      <c r="C797" s="12"/>
      <c r="D797" s="17"/>
      <c r="E797" s="12"/>
      <c r="F797" s="12"/>
      <c r="G797" s="17"/>
      <c r="H797" s="17"/>
      <c r="I797" s="12"/>
      <c r="J797" s="12"/>
      <c r="K797" s="12"/>
      <c r="L797" s="12"/>
      <c r="M797" s="12"/>
      <c r="N797" s="12"/>
      <c r="O797" s="12"/>
      <c r="P797" s="12"/>
      <c r="Q797" s="12"/>
      <c r="R797" s="12"/>
      <c r="S797" s="12"/>
      <c r="T797" s="12"/>
      <c r="U797" s="12"/>
      <c r="V797" s="12"/>
      <c r="W797" s="12"/>
      <c r="X797" s="12"/>
      <c r="Y797" s="12"/>
      <c r="Z797" s="12"/>
      <c r="AA797" s="12"/>
    </row>
    <row r="798" ht="13.5" customHeight="1">
      <c r="A798" s="17"/>
      <c r="B798" s="12"/>
      <c r="C798" s="12"/>
      <c r="D798" s="17"/>
      <c r="E798" s="12"/>
      <c r="F798" s="12"/>
      <c r="G798" s="17"/>
      <c r="H798" s="17"/>
      <c r="I798" s="12"/>
      <c r="J798" s="12"/>
      <c r="K798" s="12"/>
      <c r="L798" s="12"/>
      <c r="M798" s="12"/>
      <c r="N798" s="12"/>
      <c r="O798" s="12"/>
      <c r="P798" s="12"/>
      <c r="Q798" s="12"/>
      <c r="R798" s="12"/>
      <c r="S798" s="12"/>
      <c r="T798" s="12"/>
      <c r="U798" s="12"/>
      <c r="V798" s="12"/>
      <c r="W798" s="12"/>
      <c r="X798" s="12"/>
      <c r="Y798" s="12"/>
      <c r="Z798" s="12"/>
      <c r="AA798" s="12"/>
    </row>
    <row r="799" ht="13.5" customHeight="1">
      <c r="A799" s="17"/>
      <c r="B799" s="12"/>
      <c r="C799" s="12"/>
      <c r="D799" s="17"/>
      <c r="E799" s="12"/>
      <c r="F799" s="12"/>
      <c r="G799" s="17"/>
      <c r="H799" s="17"/>
      <c r="I799" s="12"/>
      <c r="J799" s="12"/>
      <c r="K799" s="12"/>
      <c r="L799" s="12"/>
      <c r="M799" s="12"/>
      <c r="N799" s="12"/>
      <c r="O799" s="12"/>
      <c r="P799" s="12"/>
      <c r="Q799" s="12"/>
      <c r="R799" s="12"/>
      <c r="S799" s="12"/>
      <c r="T799" s="12"/>
      <c r="U799" s="12"/>
      <c r="V799" s="12"/>
      <c r="W799" s="12"/>
      <c r="X799" s="12"/>
      <c r="Y799" s="12"/>
      <c r="Z799" s="12"/>
      <c r="AA799" s="12"/>
    </row>
    <row r="800" ht="13.5" customHeight="1">
      <c r="A800" s="17"/>
      <c r="B800" s="12"/>
      <c r="C800" s="12"/>
      <c r="D800" s="17"/>
      <c r="E800" s="12"/>
      <c r="F800" s="12"/>
      <c r="G800" s="17"/>
      <c r="H800" s="17"/>
      <c r="I800" s="12"/>
      <c r="J800" s="12"/>
      <c r="K800" s="12"/>
      <c r="L800" s="12"/>
      <c r="M800" s="12"/>
      <c r="N800" s="12"/>
      <c r="O800" s="12"/>
      <c r="P800" s="12"/>
      <c r="Q800" s="12"/>
      <c r="R800" s="12"/>
      <c r="S800" s="12"/>
      <c r="T800" s="12"/>
      <c r="U800" s="12"/>
      <c r="V800" s="12"/>
      <c r="W800" s="12"/>
      <c r="X800" s="12"/>
      <c r="Y800" s="12"/>
      <c r="Z800" s="12"/>
      <c r="AA800" s="12"/>
    </row>
    <row r="801" ht="13.5" customHeight="1">
      <c r="A801" s="17"/>
      <c r="B801" s="12"/>
      <c r="C801" s="12"/>
      <c r="D801" s="17"/>
      <c r="E801" s="12"/>
      <c r="F801" s="12"/>
      <c r="G801" s="17"/>
      <c r="H801" s="17"/>
      <c r="I801" s="12"/>
      <c r="J801" s="12"/>
      <c r="K801" s="12"/>
      <c r="L801" s="12"/>
      <c r="M801" s="12"/>
      <c r="N801" s="12"/>
      <c r="O801" s="12"/>
      <c r="P801" s="12"/>
      <c r="Q801" s="12"/>
      <c r="R801" s="12"/>
      <c r="S801" s="12"/>
      <c r="T801" s="12"/>
      <c r="U801" s="12"/>
      <c r="V801" s="12"/>
      <c r="W801" s="12"/>
      <c r="X801" s="12"/>
      <c r="Y801" s="12"/>
      <c r="Z801" s="12"/>
      <c r="AA801" s="12"/>
    </row>
    <row r="802" ht="13.5" customHeight="1">
      <c r="A802" s="17"/>
      <c r="B802" s="12"/>
      <c r="C802" s="12"/>
      <c r="D802" s="17"/>
      <c r="E802" s="12"/>
      <c r="F802" s="12"/>
      <c r="G802" s="17"/>
      <c r="H802" s="17"/>
      <c r="I802" s="12"/>
      <c r="J802" s="12"/>
      <c r="K802" s="12"/>
      <c r="L802" s="12"/>
      <c r="M802" s="12"/>
      <c r="N802" s="12"/>
      <c r="O802" s="12"/>
      <c r="P802" s="12"/>
      <c r="Q802" s="12"/>
      <c r="R802" s="12"/>
      <c r="S802" s="12"/>
      <c r="T802" s="12"/>
      <c r="U802" s="12"/>
      <c r="V802" s="12"/>
      <c r="W802" s="12"/>
      <c r="X802" s="12"/>
      <c r="Y802" s="12"/>
      <c r="Z802" s="12"/>
      <c r="AA802" s="12"/>
    </row>
    <row r="803" ht="13.5" customHeight="1">
      <c r="A803" s="17"/>
      <c r="B803" s="12"/>
      <c r="C803" s="12"/>
      <c r="D803" s="17"/>
      <c r="E803" s="12"/>
      <c r="F803" s="12"/>
      <c r="G803" s="17"/>
      <c r="H803" s="17"/>
      <c r="I803" s="12"/>
      <c r="J803" s="12"/>
      <c r="K803" s="12"/>
      <c r="L803" s="12"/>
      <c r="M803" s="12"/>
      <c r="N803" s="12"/>
      <c r="O803" s="12"/>
      <c r="P803" s="12"/>
      <c r="Q803" s="12"/>
      <c r="R803" s="12"/>
      <c r="S803" s="12"/>
      <c r="T803" s="12"/>
      <c r="U803" s="12"/>
      <c r="V803" s="12"/>
      <c r="W803" s="12"/>
      <c r="X803" s="12"/>
      <c r="Y803" s="12"/>
      <c r="Z803" s="12"/>
      <c r="AA803" s="12"/>
    </row>
    <row r="804" ht="13.5" customHeight="1">
      <c r="A804" s="17"/>
      <c r="B804" s="12"/>
      <c r="C804" s="12"/>
      <c r="D804" s="17"/>
      <c r="E804" s="12"/>
      <c r="F804" s="12"/>
      <c r="G804" s="17"/>
      <c r="H804" s="17"/>
      <c r="I804" s="12"/>
      <c r="J804" s="12"/>
      <c r="K804" s="12"/>
      <c r="L804" s="12"/>
      <c r="M804" s="12"/>
      <c r="N804" s="12"/>
      <c r="O804" s="12"/>
      <c r="P804" s="12"/>
      <c r="Q804" s="12"/>
      <c r="R804" s="12"/>
      <c r="S804" s="12"/>
      <c r="T804" s="12"/>
      <c r="U804" s="12"/>
      <c r="V804" s="12"/>
      <c r="W804" s="12"/>
      <c r="X804" s="12"/>
      <c r="Y804" s="12"/>
      <c r="Z804" s="12"/>
      <c r="AA804" s="12"/>
    </row>
    <row r="805" ht="13.5" customHeight="1">
      <c r="A805" s="17"/>
      <c r="B805" s="12"/>
      <c r="C805" s="12"/>
      <c r="D805" s="17"/>
      <c r="E805" s="12"/>
      <c r="F805" s="12"/>
      <c r="G805" s="17"/>
      <c r="H805" s="17"/>
      <c r="I805" s="12"/>
      <c r="J805" s="12"/>
      <c r="K805" s="12"/>
      <c r="L805" s="12"/>
      <c r="M805" s="12"/>
      <c r="N805" s="12"/>
      <c r="O805" s="12"/>
      <c r="P805" s="12"/>
      <c r="Q805" s="12"/>
      <c r="R805" s="12"/>
      <c r="S805" s="12"/>
      <c r="T805" s="12"/>
      <c r="U805" s="12"/>
      <c r="V805" s="12"/>
      <c r="W805" s="12"/>
      <c r="X805" s="12"/>
      <c r="Y805" s="12"/>
      <c r="Z805" s="12"/>
      <c r="AA805" s="12"/>
    </row>
    <row r="806" ht="13.5" customHeight="1">
      <c r="A806" s="17"/>
      <c r="B806" s="12"/>
      <c r="C806" s="12"/>
      <c r="D806" s="17"/>
      <c r="E806" s="12"/>
      <c r="F806" s="12"/>
      <c r="G806" s="17"/>
      <c r="H806" s="17"/>
      <c r="I806" s="12"/>
      <c r="J806" s="12"/>
      <c r="K806" s="12"/>
      <c r="L806" s="12"/>
      <c r="M806" s="12"/>
      <c r="N806" s="12"/>
      <c r="O806" s="12"/>
      <c r="P806" s="12"/>
      <c r="Q806" s="12"/>
      <c r="R806" s="12"/>
      <c r="S806" s="12"/>
      <c r="T806" s="12"/>
      <c r="U806" s="12"/>
      <c r="V806" s="12"/>
      <c r="W806" s="12"/>
      <c r="X806" s="12"/>
      <c r="Y806" s="12"/>
      <c r="Z806" s="12"/>
      <c r="AA806" s="12"/>
    </row>
    <row r="807" ht="13.5" customHeight="1">
      <c r="A807" s="17"/>
      <c r="B807" s="12"/>
      <c r="C807" s="12"/>
      <c r="D807" s="17"/>
      <c r="E807" s="12"/>
      <c r="F807" s="12"/>
      <c r="G807" s="17"/>
      <c r="H807" s="17"/>
      <c r="I807" s="12"/>
      <c r="J807" s="12"/>
      <c r="K807" s="12"/>
      <c r="L807" s="12"/>
      <c r="M807" s="12"/>
      <c r="N807" s="12"/>
      <c r="O807" s="12"/>
      <c r="P807" s="12"/>
      <c r="Q807" s="12"/>
      <c r="R807" s="12"/>
      <c r="S807" s="12"/>
      <c r="T807" s="12"/>
      <c r="U807" s="12"/>
      <c r="V807" s="12"/>
      <c r="W807" s="12"/>
      <c r="X807" s="12"/>
      <c r="Y807" s="12"/>
      <c r="Z807" s="12"/>
      <c r="AA807" s="12"/>
    </row>
    <row r="808" ht="13.5" customHeight="1">
      <c r="A808" s="17"/>
      <c r="B808" s="12"/>
      <c r="C808" s="12"/>
      <c r="D808" s="17"/>
      <c r="E808" s="12"/>
      <c r="F808" s="12"/>
      <c r="G808" s="17"/>
      <c r="H808" s="17"/>
      <c r="I808" s="12"/>
      <c r="J808" s="12"/>
      <c r="K808" s="12"/>
      <c r="L808" s="12"/>
      <c r="M808" s="12"/>
      <c r="N808" s="12"/>
      <c r="O808" s="12"/>
      <c r="P808" s="12"/>
      <c r="Q808" s="12"/>
      <c r="R808" s="12"/>
      <c r="S808" s="12"/>
      <c r="T808" s="12"/>
      <c r="U808" s="12"/>
      <c r="V808" s="12"/>
      <c r="W808" s="12"/>
      <c r="X808" s="12"/>
      <c r="Y808" s="12"/>
      <c r="Z808" s="12"/>
      <c r="AA808" s="12"/>
    </row>
    <row r="809" ht="13.5" customHeight="1">
      <c r="A809" s="17"/>
      <c r="B809" s="12"/>
      <c r="C809" s="12"/>
      <c r="D809" s="17"/>
      <c r="E809" s="12"/>
      <c r="F809" s="12"/>
      <c r="G809" s="17"/>
      <c r="H809" s="17"/>
      <c r="I809" s="12"/>
      <c r="J809" s="12"/>
      <c r="K809" s="12"/>
      <c r="L809" s="12"/>
      <c r="M809" s="12"/>
      <c r="N809" s="12"/>
      <c r="O809" s="12"/>
      <c r="P809" s="12"/>
      <c r="Q809" s="12"/>
      <c r="R809" s="12"/>
      <c r="S809" s="12"/>
      <c r="T809" s="12"/>
      <c r="U809" s="12"/>
      <c r="V809" s="12"/>
      <c r="W809" s="12"/>
      <c r="X809" s="12"/>
      <c r="Y809" s="12"/>
      <c r="Z809" s="12"/>
      <c r="AA809" s="12"/>
    </row>
    <row r="810" ht="13.5" customHeight="1">
      <c r="A810" s="17"/>
      <c r="B810" s="12"/>
      <c r="C810" s="12"/>
      <c r="D810" s="17"/>
      <c r="E810" s="12"/>
      <c r="F810" s="12"/>
      <c r="G810" s="17"/>
      <c r="H810" s="17"/>
      <c r="I810" s="12"/>
      <c r="J810" s="12"/>
      <c r="K810" s="12"/>
      <c r="L810" s="12"/>
      <c r="M810" s="12"/>
      <c r="N810" s="12"/>
      <c r="O810" s="12"/>
      <c r="P810" s="12"/>
      <c r="Q810" s="12"/>
      <c r="R810" s="12"/>
      <c r="S810" s="12"/>
      <c r="T810" s="12"/>
      <c r="U810" s="12"/>
      <c r="V810" s="12"/>
      <c r="W810" s="12"/>
      <c r="X810" s="12"/>
      <c r="Y810" s="12"/>
      <c r="Z810" s="12"/>
      <c r="AA810" s="12"/>
    </row>
    <row r="811" ht="13.5" customHeight="1">
      <c r="A811" s="17"/>
      <c r="B811" s="12"/>
      <c r="C811" s="12"/>
      <c r="D811" s="17"/>
      <c r="E811" s="12"/>
      <c r="F811" s="12"/>
      <c r="G811" s="17"/>
      <c r="H811" s="17"/>
      <c r="I811" s="12"/>
      <c r="J811" s="12"/>
      <c r="K811" s="12"/>
      <c r="L811" s="12"/>
      <c r="M811" s="12"/>
      <c r="N811" s="12"/>
      <c r="O811" s="12"/>
      <c r="P811" s="12"/>
      <c r="Q811" s="12"/>
      <c r="R811" s="12"/>
      <c r="S811" s="12"/>
      <c r="T811" s="12"/>
      <c r="U811" s="12"/>
      <c r="V811" s="12"/>
      <c r="W811" s="12"/>
      <c r="X811" s="12"/>
      <c r="Y811" s="12"/>
      <c r="Z811" s="12"/>
      <c r="AA811" s="12"/>
    </row>
    <row r="812" ht="13.5" customHeight="1">
      <c r="A812" s="17"/>
      <c r="B812" s="12"/>
      <c r="C812" s="12"/>
      <c r="D812" s="17"/>
      <c r="E812" s="12"/>
      <c r="F812" s="12"/>
      <c r="G812" s="17"/>
      <c r="H812" s="17"/>
      <c r="I812" s="12"/>
      <c r="J812" s="12"/>
      <c r="K812" s="12"/>
      <c r="L812" s="12"/>
      <c r="M812" s="12"/>
      <c r="N812" s="12"/>
      <c r="O812" s="12"/>
      <c r="P812" s="12"/>
      <c r="Q812" s="12"/>
      <c r="R812" s="12"/>
      <c r="S812" s="12"/>
      <c r="T812" s="12"/>
      <c r="U812" s="12"/>
      <c r="V812" s="12"/>
      <c r="W812" s="12"/>
      <c r="X812" s="12"/>
      <c r="Y812" s="12"/>
      <c r="Z812" s="12"/>
      <c r="AA812" s="12"/>
    </row>
    <row r="813" ht="13.5" customHeight="1">
      <c r="A813" s="17"/>
      <c r="B813" s="12"/>
      <c r="C813" s="12"/>
      <c r="D813" s="17"/>
      <c r="E813" s="12"/>
      <c r="F813" s="12"/>
      <c r="G813" s="17"/>
      <c r="H813" s="17"/>
      <c r="I813" s="12"/>
      <c r="J813" s="12"/>
      <c r="K813" s="12"/>
      <c r="L813" s="12"/>
      <c r="M813" s="12"/>
      <c r="N813" s="12"/>
      <c r="O813" s="12"/>
      <c r="P813" s="12"/>
      <c r="Q813" s="12"/>
      <c r="R813" s="12"/>
      <c r="S813" s="12"/>
      <c r="T813" s="12"/>
      <c r="U813" s="12"/>
      <c r="V813" s="12"/>
      <c r="W813" s="12"/>
      <c r="X813" s="12"/>
      <c r="Y813" s="12"/>
      <c r="Z813" s="12"/>
      <c r="AA813" s="12"/>
    </row>
    <row r="814" ht="13.5" customHeight="1">
      <c r="A814" s="17"/>
      <c r="B814" s="12"/>
      <c r="C814" s="12"/>
      <c r="D814" s="17"/>
      <c r="E814" s="12"/>
      <c r="F814" s="12"/>
      <c r="G814" s="17"/>
      <c r="H814" s="17"/>
      <c r="I814" s="12"/>
      <c r="J814" s="12"/>
      <c r="K814" s="12"/>
      <c r="L814" s="12"/>
      <c r="M814" s="12"/>
      <c r="N814" s="12"/>
      <c r="O814" s="12"/>
      <c r="P814" s="12"/>
      <c r="Q814" s="12"/>
      <c r="R814" s="12"/>
      <c r="S814" s="12"/>
      <c r="T814" s="12"/>
      <c r="U814" s="12"/>
      <c r="V814" s="12"/>
      <c r="W814" s="12"/>
      <c r="X814" s="12"/>
      <c r="Y814" s="12"/>
      <c r="Z814" s="12"/>
      <c r="AA814" s="12"/>
    </row>
    <row r="815" ht="13.5" customHeight="1">
      <c r="A815" s="17"/>
      <c r="B815" s="12"/>
      <c r="C815" s="12"/>
      <c r="D815" s="17"/>
      <c r="E815" s="12"/>
      <c r="F815" s="12"/>
      <c r="G815" s="17"/>
      <c r="H815" s="17"/>
      <c r="I815" s="12"/>
      <c r="J815" s="12"/>
      <c r="K815" s="12"/>
      <c r="L815" s="12"/>
      <c r="M815" s="12"/>
      <c r="N815" s="12"/>
      <c r="O815" s="12"/>
      <c r="P815" s="12"/>
      <c r="Q815" s="12"/>
      <c r="R815" s="12"/>
      <c r="S815" s="12"/>
      <c r="T815" s="12"/>
      <c r="U815" s="12"/>
      <c r="V815" s="12"/>
      <c r="W815" s="12"/>
      <c r="X815" s="12"/>
      <c r="Y815" s="12"/>
      <c r="Z815" s="12"/>
      <c r="AA815" s="12"/>
    </row>
    <row r="816" ht="13.5" customHeight="1">
      <c r="A816" s="17"/>
      <c r="B816" s="12"/>
      <c r="C816" s="12"/>
      <c r="D816" s="17"/>
      <c r="E816" s="12"/>
      <c r="F816" s="12"/>
      <c r="G816" s="17"/>
      <c r="H816" s="17"/>
      <c r="I816" s="12"/>
      <c r="J816" s="12"/>
      <c r="K816" s="12"/>
      <c r="L816" s="12"/>
      <c r="M816" s="12"/>
      <c r="N816" s="12"/>
      <c r="O816" s="12"/>
      <c r="P816" s="12"/>
      <c r="Q816" s="12"/>
      <c r="R816" s="12"/>
      <c r="S816" s="12"/>
      <c r="T816" s="12"/>
      <c r="U816" s="12"/>
      <c r="V816" s="12"/>
      <c r="W816" s="12"/>
      <c r="X816" s="12"/>
      <c r="Y816" s="12"/>
      <c r="Z816" s="12"/>
      <c r="AA816" s="12"/>
    </row>
    <row r="817" ht="13.5" customHeight="1">
      <c r="A817" s="17"/>
      <c r="B817" s="12"/>
      <c r="C817" s="12"/>
      <c r="D817" s="17"/>
      <c r="E817" s="12"/>
      <c r="F817" s="12"/>
      <c r="G817" s="17"/>
      <c r="H817" s="17"/>
      <c r="I817" s="12"/>
      <c r="J817" s="12"/>
      <c r="K817" s="12"/>
      <c r="L817" s="12"/>
      <c r="M817" s="12"/>
      <c r="N817" s="12"/>
      <c r="O817" s="12"/>
      <c r="P817" s="12"/>
      <c r="Q817" s="12"/>
      <c r="R817" s="12"/>
      <c r="S817" s="12"/>
      <c r="T817" s="12"/>
      <c r="U817" s="12"/>
      <c r="V817" s="12"/>
      <c r="W817" s="12"/>
      <c r="X817" s="12"/>
      <c r="Y817" s="12"/>
      <c r="Z817" s="12"/>
      <c r="AA817" s="12"/>
    </row>
    <row r="818" ht="13.5" customHeight="1">
      <c r="A818" s="17"/>
      <c r="B818" s="12"/>
      <c r="C818" s="12"/>
      <c r="D818" s="17"/>
      <c r="E818" s="12"/>
      <c r="F818" s="12"/>
      <c r="G818" s="17"/>
      <c r="H818" s="17"/>
      <c r="I818" s="12"/>
      <c r="J818" s="12"/>
      <c r="K818" s="12"/>
      <c r="L818" s="12"/>
      <c r="M818" s="12"/>
      <c r="N818" s="12"/>
      <c r="O818" s="12"/>
      <c r="P818" s="12"/>
      <c r="Q818" s="12"/>
      <c r="R818" s="12"/>
      <c r="S818" s="12"/>
      <c r="T818" s="12"/>
      <c r="U818" s="12"/>
      <c r="V818" s="12"/>
      <c r="W818" s="12"/>
      <c r="X818" s="12"/>
      <c r="Y818" s="12"/>
      <c r="Z818" s="12"/>
      <c r="AA818" s="12"/>
    </row>
    <row r="819" ht="13.5" customHeight="1">
      <c r="A819" s="17"/>
      <c r="B819" s="12"/>
      <c r="C819" s="12"/>
      <c r="D819" s="17"/>
      <c r="E819" s="12"/>
      <c r="F819" s="12"/>
      <c r="G819" s="17"/>
      <c r="H819" s="17"/>
      <c r="I819" s="12"/>
      <c r="J819" s="12"/>
      <c r="K819" s="12"/>
      <c r="L819" s="12"/>
      <c r="M819" s="12"/>
      <c r="N819" s="12"/>
      <c r="O819" s="12"/>
      <c r="P819" s="12"/>
      <c r="Q819" s="12"/>
      <c r="R819" s="12"/>
      <c r="S819" s="12"/>
      <c r="T819" s="12"/>
      <c r="U819" s="12"/>
      <c r="V819" s="12"/>
      <c r="W819" s="12"/>
      <c r="X819" s="12"/>
      <c r="Y819" s="12"/>
      <c r="Z819" s="12"/>
      <c r="AA819" s="12"/>
    </row>
    <row r="820" ht="13.5" customHeight="1">
      <c r="A820" s="17"/>
      <c r="B820" s="12"/>
      <c r="C820" s="12"/>
      <c r="D820" s="17"/>
      <c r="E820" s="12"/>
      <c r="F820" s="12"/>
      <c r="G820" s="17"/>
      <c r="H820" s="17"/>
      <c r="I820" s="12"/>
      <c r="J820" s="12"/>
      <c r="K820" s="12"/>
      <c r="L820" s="12"/>
      <c r="M820" s="12"/>
      <c r="N820" s="12"/>
      <c r="O820" s="12"/>
      <c r="P820" s="12"/>
      <c r="Q820" s="12"/>
      <c r="R820" s="12"/>
      <c r="S820" s="12"/>
      <c r="T820" s="12"/>
      <c r="U820" s="12"/>
      <c r="V820" s="12"/>
      <c r="W820" s="12"/>
      <c r="X820" s="12"/>
      <c r="Y820" s="12"/>
      <c r="Z820" s="12"/>
      <c r="AA820" s="12"/>
    </row>
    <row r="821" ht="13.5" customHeight="1">
      <c r="A821" s="17"/>
      <c r="B821" s="12"/>
      <c r="C821" s="12"/>
      <c r="D821" s="17"/>
      <c r="E821" s="12"/>
      <c r="F821" s="12"/>
      <c r="G821" s="17"/>
      <c r="H821" s="17"/>
      <c r="I821" s="12"/>
      <c r="J821" s="12"/>
      <c r="K821" s="12"/>
      <c r="L821" s="12"/>
      <c r="M821" s="12"/>
      <c r="N821" s="12"/>
      <c r="O821" s="12"/>
      <c r="P821" s="12"/>
      <c r="Q821" s="12"/>
      <c r="R821" s="12"/>
      <c r="S821" s="12"/>
      <c r="T821" s="12"/>
      <c r="U821" s="12"/>
      <c r="V821" s="12"/>
      <c r="W821" s="12"/>
      <c r="X821" s="12"/>
      <c r="Y821" s="12"/>
      <c r="Z821" s="12"/>
      <c r="AA821" s="12"/>
    </row>
    <row r="822" ht="13.5" customHeight="1">
      <c r="A822" s="17"/>
      <c r="B822" s="12"/>
      <c r="C822" s="12"/>
      <c r="D822" s="17"/>
      <c r="E822" s="12"/>
      <c r="F822" s="12"/>
      <c r="G822" s="17"/>
      <c r="H822" s="17"/>
      <c r="I822" s="12"/>
      <c r="J822" s="12"/>
      <c r="K822" s="12"/>
      <c r="L822" s="12"/>
      <c r="M822" s="12"/>
      <c r="N822" s="12"/>
      <c r="O822" s="12"/>
      <c r="P822" s="12"/>
      <c r="Q822" s="12"/>
      <c r="R822" s="12"/>
      <c r="S822" s="12"/>
      <c r="T822" s="12"/>
      <c r="U822" s="12"/>
      <c r="V822" s="12"/>
      <c r="W822" s="12"/>
      <c r="X822" s="12"/>
      <c r="Y822" s="12"/>
      <c r="Z822" s="12"/>
      <c r="AA822" s="12"/>
    </row>
    <row r="823" ht="13.5" customHeight="1">
      <c r="A823" s="17"/>
      <c r="B823" s="12"/>
      <c r="C823" s="12"/>
      <c r="D823" s="17"/>
      <c r="E823" s="12"/>
      <c r="F823" s="12"/>
      <c r="G823" s="17"/>
      <c r="H823" s="17"/>
      <c r="I823" s="12"/>
      <c r="J823" s="12"/>
      <c r="K823" s="12"/>
      <c r="L823" s="12"/>
      <c r="M823" s="12"/>
      <c r="N823" s="12"/>
      <c r="O823" s="12"/>
      <c r="P823" s="12"/>
      <c r="Q823" s="12"/>
      <c r="R823" s="12"/>
      <c r="S823" s="12"/>
      <c r="T823" s="12"/>
      <c r="U823" s="12"/>
      <c r="V823" s="12"/>
      <c r="W823" s="12"/>
      <c r="X823" s="12"/>
      <c r="Y823" s="12"/>
      <c r="Z823" s="12"/>
      <c r="AA823" s="12"/>
    </row>
    <row r="824" ht="13.5" customHeight="1">
      <c r="A824" s="17"/>
      <c r="B824" s="12"/>
      <c r="C824" s="12"/>
      <c r="D824" s="17"/>
      <c r="E824" s="12"/>
      <c r="F824" s="12"/>
      <c r="G824" s="17"/>
      <c r="H824" s="17"/>
      <c r="I824" s="12"/>
      <c r="J824" s="12"/>
      <c r="K824" s="12"/>
      <c r="L824" s="12"/>
      <c r="M824" s="12"/>
      <c r="N824" s="12"/>
      <c r="O824" s="12"/>
      <c r="P824" s="12"/>
      <c r="Q824" s="12"/>
      <c r="R824" s="12"/>
      <c r="S824" s="12"/>
      <c r="T824" s="12"/>
      <c r="U824" s="12"/>
      <c r="V824" s="12"/>
      <c r="W824" s="12"/>
      <c r="X824" s="12"/>
      <c r="Y824" s="12"/>
      <c r="Z824" s="12"/>
      <c r="AA824" s="12"/>
    </row>
    <row r="825" ht="13.5" customHeight="1">
      <c r="A825" s="17"/>
      <c r="B825" s="12"/>
      <c r="C825" s="12"/>
      <c r="D825" s="17"/>
      <c r="E825" s="12"/>
      <c r="F825" s="12"/>
      <c r="G825" s="17"/>
      <c r="H825" s="17"/>
      <c r="I825" s="12"/>
      <c r="J825" s="12"/>
      <c r="K825" s="12"/>
      <c r="L825" s="12"/>
      <c r="M825" s="12"/>
      <c r="N825" s="12"/>
      <c r="O825" s="12"/>
      <c r="P825" s="12"/>
      <c r="Q825" s="12"/>
      <c r="R825" s="12"/>
      <c r="S825" s="12"/>
      <c r="T825" s="12"/>
      <c r="U825" s="12"/>
      <c r="V825" s="12"/>
      <c r="W825" s="12"/>
      <c r="X825" s="12"/>
      <c r="Y825" s="12"/>
      <c r="Z825" s="12"/>
      <c r="AA825" s="12"/>
    </row>
    <row r="826" ht="13.5" customHeight="1">
      <c r="A826" s="17"/>
      <c r="B826" s="12"/>
      <c r="C826" s="12"/>
      <c r="D826" s="17"/>
      <c r="E826" s="12"/>
      <c r="F826" s="12"/>
      <c r="G826" s="17"/>
      <c r="H826" s="17"/>
      <c r="I826" s="12"/>
      <c r="J826" s="12"/>
      <c r="K826" s="12"/>
      <c r="L826" s="12"/>
      <c r="M826" s="12"/>
      <c r="N826" s="12"/>
      <c r="O826" s="12"/>
      <c r="P826" s="12"/>
      <c r="Q826" s="12"/>
      <c r="R826" s="12"/>
      <c r="S826" s="12"/>
      <c r="T826" s="12"/>
      <c r="U826" s="12"/>
      <c r="V826" s="12"/>
      <c r="W826" s="12"/>
      <c r="X826" s="12"/>
      <c r="Y826" s="12"/>
      <c r="Z826" s="12"/>
      <c r="AA826" s="12"/>
    </row>
    <row r="827" ht="13.5" customHeight="1">
      <c r="A827" s="17"/>
      <c r="B827" s="12"/>
      <c r="C827" s="12"/>
      <c r="D827" s="17"/>
      <c r="E827" s="12"/>
      <c r="F827" s="12"/>
      <c r="G827" s="17"/>
      <c r="H827" s="17"/>
      <c r="I827" s="12"/>
      <c r="J827" s="12"/>
      <c r="K827" s="12"/>
      <c r="L827" s="12"/>
      <c r="M827" s="12"/>
      <c r="N827" s="12"/>
      <c r="O827" s="12"/>
      <c r="P827" s="12"/>
      <c r="Q827" s="12"/>
      <c r="R827" s="12"/>
      <c r="S827" s="12"/>
      <c r="T827" s="12"/>
      <c r="U827" s="12"/>
      <c r="V827" s="12"/>
      <c r="W827" s="12"/>
      <c r="X827" s="12"/>
      <c r="Y827" s="12"/>
      <c r="Z827" s="12"/>
      <c r="AA827" s="12"/>
    </row>
    <row r="828" ht="13.5" customHeight="1">
      <c r="A828" s="17"/>
      <c r="B828" s="12"/>
      <c r="C828" s="12"/>
      <c r="D828" s="17"/>
      <c r="E828" s="12"/>
      <c r="F828" s="12"/>
      <c r="G828" s="17"/>
      <c r="H828" s="17"/>
      <c r="I828" s="12"/>
      <c r="J828" s="12"/>
      <c r="K828" s="12"/>
      <c r="L828" s="12"/>
      <c r="M828" s="12"/>
      <c r="N828" s="12"/>
      <c r="O828" s="12"/>
      <c r="P828" s="12"/>
      <c r="Q828" s="12"/>
      <c r="R828" s="12"/>
      <c r="S828" s="12"/>
      <c r="T828" s="12"/>
      <c r="U828" s="12"/>
      <c r="V828" s="12"/>
      <c r="W828" s="12"/>
      <c r="X828" s="12"/>
      <c r="Y828" s="12"/>
      <c r="Z828" s="12"/>
      <c r="AA828" s="12"/>
    </row>
    <row r="829" ht="13.5" customHeight="1">
      <c r="A829" s="17"/>
      <c r="B829" s="12"/>
      <c r="C829" s="12"/>
      <c r="D829" s="17"/>
      <c r="E829" s="12"/>
      <c r="F829" s="12"/>
      <c r="G829" s="17"/>
      <c r="H829" s="17"/>
      <c r="I829" s="12"/>
      <c r="J829" s="12"/>
      <c r="K829" s="12"/>
      <c r="L829" s="12"/>
      <c r="M829" s="12"/>
      <c r="N829" s="12"/>
      <c r="O829" s="12"/>
      <c r="P829" s="12"/>
      <c r="Q829" s="12"/>
      <c r="R829" s="12"/>
      <c r="S829" s="12"/>
      <c r="T829" s="12"/>
      <c r="U829" s="12"/>
      <c r="V829" s="12"/>
      <c r="W829" s="12"/>
      <c r="X829" s="12"/>
      <c r="Y829" s="12"/>
      <c r="Z829" s="12"/>
      <c r="AA829" s="12"/>
    </row>
    <row r="830" ht="13.5" customHeight="1">
      <c r="A830" s="17"/>
      <c r="B830" s="12"/>
      <c r="C830" s="12"/>
      <c r="D830" s="17"/>
      <c r="E830" s="12"/>
      <c r="F830" s="12"/>
      <c r="G830" s="17"/>
      <c r="H830" s="17"/>
      <c r="I830" s="12"/>
      <c r="J830" s="12"/>
      <c r="K830" s="12"/>
      <c r="L830" s="12"/>
      <c r="M830" s="12"/>
      <c r="N830" s="12"/>
      <c r="O830" s="12"/>
      <c r="P830" s="12"/>
      <c r="Q830" s="12"/>
      <c r="R830" s="12"/>
      <c r="S830" s="12"/>
      <c r="T830" s="12"/>
      <c r="U830" s="12"/>
      <c r="V830" s="12"/>
      <c r="W830" s="12"/>
      <c r="X830" s="12"/>
      <c r="Y830" s="12"/>
      <c r="Z830" s="12"/>
      <c r="AA830" s="12"/>
    </row>
    <row r="831" ht="13.5" customHeight="1">
      <c r="A831" s="17"/>
      <c r="B831" s="12"/>
      <c r="C831" s="12"/>
      <c r="D831" s="17"/>
      <c r="E831" s="12"/>
      <c r="F831" s="12"/>
      <c r="G831" s="17"/>
      <c r="H831" s="17"/>
      <c r="I831" s="12"/>
      <c r="J831" s="12"/>
      <c r="K831" s="12"/>
      <c r="L831" s="12"/>
      <c r="M831" s="12"/>
      <c r="N831" s="12"/>
      <c r="O831" s="12"/>
      <c r="P831" s="12"/>
      <c r="Q831" s="12"/>
      <c r="R831" s="12"/>
      <c r="S831" s="12"/>
      <c r="T831" s="12"/>
      <c r="U831" s="12"/>
      <c r="V831" s="12"/>
      <c r="W831" s="12"/>
      <c r="X831" s="12"/>
      <c r="Y831" s="12"/>
      <c r="Z831" s="12"/>
      <c r="AA831" s="12"/>
    </row>
    <row r="832" ht="13.5" customHeight="1">
      <c r="A832" s="17"/>
      <c r="B832" s="12"/>
      <c r="C832" s="12"/>
      <c r="D832" s="17"/>
      <c r="E832" s="12"/>
      <c r="F832" s="12"/>
      <c r="G832" s="17"/>
      <c r="H832" s="17"/>
      <c r="I832" s="12"/>
      <c r="J832" s="12"/>
      <c r="K832" s="12"/>
      <c r="L832" s="12"/>
      <c r="M832" s="12"/>
      <c r="N832" s="12"/>
      <c r="O832" s="12"/>
      <c r="P832" s="12"/>
      <c r="Q832" s="12"/>
      <c r="R832" s="12"/>
      <c r="S832" s="12"/>
      <c r="T832" s="12"/>
      <c r="U832" s="12"/>
      <c r="V832" s="12"/>
      <c r="W832" s="12"/>
      <c r="X832" s="12"/>
      <c r="Y832" s="12"/>
      <c r="Z832" s="12"/>
      <c r="AA832" s="12"/>
    </row>
    <row r="833" ht="13.5" customHeight="1">
      <c r="A833" s="17"/>
      <c r="B833" s="12"/>
      <c r="C833" s="12"/>
      <c r="D833" s="17"/>
      <c r="E833" s="12"/>
      <c r="F833" s="12"/>
      <c r="G833" s="17"/>
      <c r="H833" s="17"/>
      <c r="I833" s="12"/>
      <c r="J833" s="12"/>
      <c r="K833" s="12"/>
      <c r="L833" s="12"/>
      <c r="M833" s="12"/>
      <c r="N833" s="12"/>
      <c r="O833" s="12"/>
      <c r="P833" s="12"/>
      <c r="Q833" s="12"/>
      <c r="R833" s="12"/>
      <c r="S833" s="12"/>
      <c r="T833" s="12"/>
      <c r="U833" s="12"/>
      <c r="V833" s="12"/>
      <c r="W833" s="12"/>
      <c r="X833" s="12"/>
      <c r="Y833" s="12"/>
      <c r="Z833" s="12"/>
      <c r="AA833" s="12"/>
    </row>
    <row r="834" ht="13.5" customHeight="1">
      <c r="A834" s="17"/>
      <c r="B834" s="12"/>
      <c r="C834" s="12"/>
      <c r="D834" s="17"/>
      <c r="E834" s="12"/>
      <c r="F834" s="12"/>
      <c r="G834" s="17"/>
      <c r="H834" s="17"/>
      <c r="I834" s="12"/>
      <c r="J834" s="12"/>
      <c r="K834" s="12"/>
      <c r="L834" s="12"/>
      <c r="M834" s="12"/>
      <c r="N834" s="12"/>
      <c r="O834" s="12"/>
      <c r="P834" s="12"/>
      <c r="Q834" s="12"/>
      <c r="R834" s="12"/>
      <c r="S834" s="12"/>
      <c r="T834" s="12"/>
      <c r="U834" s="12"/>
      <c r="V834" s="12"/>
      <c r="W834" s="12"/>
      <c r="X834" s="12"/>
      <c r="Y834" s="12"/>
      <c r="Z834" s="12"/>
      <c r="AA834" s="12"/>
    </row>
    <row r="835" ht="13.5" customHeight="1">
      <c r="A835" s="17"/>
      <c r="B835" s="12"/>
      <c r="C835" s="12"/>
      <c r="D835" s="17"/>
      <c r="E835" s="12"/>
      <c r="F835" s="12"/>
      <c r="G835" s="17"/>
      <c r="H835" s="17"/>
      <c r="I835" s="12"/>
      <c r="J835" s="12"/>
      <c r="K835" s="12"/>
      <c r="L835" s="12"/>
      <c r="M835" s="12"/>
      <c r="N835" s="12"/>
      <c r="O835" s="12"/>
      <c r="P835" s="12"/>
      <c r="Q835" s="12"/>
      <c r="R835" s="12"/>
      <c r="S835" s="12"/>
      <c r="T835" s="12"/>
      <c r="U835" s="12"/>
      <c r="V835" s="12"/>
      <c r="W835" s="12"/>
      <c r="X835" s="12"/>
      <c r="Y835" s="12"/>
      <c r="Z835" s="12"/>
      <c r="AA835" s="12"/>
    </row>
    <row r="836" ht="13.5" customHeight="1">
      <c r="A836" s="17"/>
      <c r="B836" s="12"/>
      <c r="C836" s="12"/>
      <c r="D836" s="17"/>
      <c r="E836" s="12"/>
      <c r="F836" s="12"/>
      <c r="G836" s="17"/>
      <c r="H836" s="17"/>
      <c r="I836" s="12"/>
      <c r="J836" s="12"/>
      <c r="K836" s="12"/>
      <c r="L836" s="12"/>
      <c r="M836" s="12"/>
      <c r="N836" s="12"/>
      <c r="O836" s="12"/>
      <c r="P836" s="12"/>
      <c r="Q836" s="12"/>
      <c r="R836" s="12"/>
      <c r="S836" s="12"/>
      <c r="T836" s="12"/>
      <c r="U836" s="12"/>
      <c r="V836" s="12"/>
      <c r="W836" s="12"/>
      <c r="X836" s="12"/>
      <c r="Y836" s="12"/>
      <c r="Z836" s="12"/>
      <c r="AA836" s="12"/>
    </row>
    <row r="837" ht="13.5" customHeight="1">
      <c r="A837" s="17"/>
      <c r="B837" s="12"/>
      <c r="C837" s="12"/>
      <c r="D837" s="17"/>
      <c r="E837" s="12"/>
      <c r="F837" s="12"/>
      <c r="G837" s="17"/>
      <c r="H837" s="17"/>
      <c r="I837" s="12"/>
      <c r="J837" s="12"/>
      <c r="K837" s="12"/>
      <c r="L837" s="12"/>
      <c r="M837" s="12"/>
      <c r="N837" s="12"/>
      <c r="O837" s="12"/>
      <c r="P837" s="12"/>
      <c r="Q837" s="12"/>
      <c r="R837" s="12"/>
      <c r="S837" s="12"/>
      <c r="T837" s="12"/>
      <c r="U837" s="12"/>
      <c r="V837" s="12"/>
      <c r="W837" s="12"/>
      <c r="X837" s="12"/>
      <c r="Y837" s="12"/>
      <c r="Z837" s="12"/>
      <c r="AA837" s="12"/>
    </row>
    <row r="838" ht="13.5" customHeight="1">
      <c r="A838" s="17"/>
      <c r="B838" s="12"/>
      <c r="C838" s="12"/>
      <c r="D838" s="17"/>
      <c r="E838" s="12"/>
      <c r="F838" s="12"/>
      <c r="G838" s="17"/>
      <c r="H838" s="17"/>
      <c r="I838" s="12"/>
      <c r="J838" s="12"/>
      <c r="K838" s="12"/>
      <c r="L838" s="12"/>
      <c r="M838" s="12"/>
      <c r="N838" s="12"/>
      <c r="O838" s="12"/>
      <c r="P838" s="12"/>
      <c r="Q838" s="12"/>
      <c r="R838" s="12"/>
      <c r="S838" s="12"/>
      <c r="T838" s="12"/>
      <c r="U838" s="12"/>
      <c r="V838" s="12"/>
      <c r="W838" s="12"/>
      <c r="X838" s="12"/>
      <c r="Y838" s="12"/>
      <c r="Z838" s="12"/>
      <c r="AA838" s="12"/>
    </row>
    <row r="839" ht="13.5" customHeight="1">
      <c r="A839" s="17"/>
      <c r="B839" s="12"/>
      <c r="C839" s="12"/>
      <c r="D839" s="17"/>
      <c r="E839" s="12"/>
      <c r="F839" s="12"/>
      <c r="G839" s="17"/>
      <c r="H839" s="17"/>
      <c r="I839" s="12"/>
      <c r="J839" s="12"/>
      <c r="K839" s="12"/>
      <c r="L839" s="12"/>
      <c r="M839" s="12"/>
      <c r="N839" s="12"/>
      <c r="O839" s="12"/>
      <c r="P839" s="12"/>
      <c r="Q839" s="12"/>
      <c r="R839" s="12"/>
      <c r="S839" s="12"/>
      <c r="T839" s="12"/>
      <c r="U839" s="12"/>
      <c r="V839" s="12"/>
      <c r="W839" s="12"/>
      <c r="X839" s="12"/>
      <c r="Y839" s="12"/>
      <c r="Z839" s="12"/>
      <c r="AA839" s="12"/>
    </row>
    <row r="840" ht="13.5" customHeight="1">
      <c r="A840" s="17"/>
      <c r="B840" s="12"/>
      <c r="C840" s="12"/>
      <c r="D840" s="17"/>
      <c r="E840" s="12"/>
      <c r="F840" s="12"/>
      <c r="G840" s="17"/>
      <c r="H840" s="17"/>
      <c r="I840" s="12"/>
      <c r="J840" s="12"/>
      <c r="K840" s="12"/>
      <c r="L840" s="12"/>
      <c r="M840" s="12"/>
      <c r="N840" s="12"/>
      <c r="O840" s="12"/>
      <c r="P840" s="12"/>
      <c r="Q840" s="12"/>
      <c r="R840" s="12"/>
      <c r="S840" s="12"/>
      <c r="T840" s="12"/>
      <c r="U840" s="12"/>
      <c r="V840" s="12"/>
      <c r="W840" s="12"/>
      <c r="X840" s="12"/>
      <c r="Y840" s="12"/>
      <c r="Z840" s="12"/>
      <c r="AA840" s="12"/>
    </row>
    <row r="841" ht="13.5" customHeight="1">
      <c r="A841" s="17"/>
      <c r="B841" s="12"/>
      <c r="C841" s="12"/>
      <c r="D841" s="17"/>
      <c r="E841" s="12"/>
      <c r="F841" s="12"/>
      <c r="G841" s="17"/>
      <c r="H841" s="17"/>
      <c r="I841" s="12"/>
      <c r="J841" s="12"/>
      <c r="K841" s="12"/>
      <c r="L841" s="12"/>
      <c r="M841" s="12"/>
      <c r="N841" s="12"/>
      <c r="O841" s="12"/>
      <c r="P841" s="12"/>
      <c r="Q841" s="12"/>
      <c r="R841" s="12"/>
      <c r="S841" s="12"/>
      <c r="T841" s="12"/>
      <c r="U841" s="12"/>
      <c r="V841" s="12"/>
      <c r="W841" s="12"/>
      <c r="X841" s="12"/>
      <c r="Y841" s="12"/>
      <c r="Z841" s="12"/>
      <c r="AA841" s="12"/>
    </row>
    <row r="842" ht="13.5" customHeight="1">
      <c r="A842" s="17"/>
      <c r="B842" s="12"/>
      <c r="C842" s="12"/>
      <c r="D842" s="17"/>
      <c r="E842" s="12"/>
      <c r="F842" s="12"/>
      <c r="G842" s="17"/>
      <c r="H842" s="17"/>
      <c r="I842" s="12"/>
      <c r="J842" s="12"/>
      <c r="K842" s="12"/>
      <c r="L842" s="12"/>
      <c r="M842" s="12"/>
      <c r="N842" s="12"/>
      <c r="O842" s="12"/>
      <c r="P842" s="12"/>
      <c r="Q842" s="12"/>
      <c r="R842" s="12"/>
      <c r="S842" s="12"/>
      <c r="T842" s="12"/>
      <c r="U842" s="12"/>
      <c r="V842" s="12"/>
      <c r="W842" s="12"/>
      <c r="X842" s="12"/>
      <c r="Y842" s="12"/>
      <c r="Z842" s="12"/>
      <c r="AA842" s="12"/>
    </row>
    <row r="843" ht="13.5" customHeight="1">
      <c r="A843" s="17"/>
      <c r="B843" s="12"/>
      <c r="C843" s="12"/>
      <c r="D843" s="17"/>
      <c r="E843" s="12"/>
      <c r="F843" s="12"/>
      <c r="G843" s="17"/>
      <c r="H843" s="17"/>
      <c r="I843" s="12"/>
      <c r="J843" s="12"/>
      <c r="K843" s="12"/>
      <c r="L843" s="12"/>
      <c r="M843" s="12"/>
      <c r="N843" s="12"/>
      <c r="O843" s="12"/>
      <c r="P843" s="12"/>
      <c r="Q843" s="12"/>
      <c r="R843" s="12"/>
      <c r="S843" s="12"/>
      <c r="T843" s="12"/>
      <c r="U843" s="12"/>
      <c r="V843" s="12"/>
      <c r="W843" s="12"/>
      <c r="X843" s="12"/>
      <c r="Y843" s="12"/>
      <c r="Z843" s="12"/>
      <c r="AA843" s="12"/>
    </row>
    <row r="844" ht="13.5" customHeight="1">
      <c r="A844" s="17"/>
      <c r="B844" s="12"/>
      <c r="C844" s="12"/>
      <c r="D844" s="17"/>
      <c r="E844" s="12"/>
      <c r="F844" s="12"/>
      <c r="G844" s="17"/>
      <c r="H844" s="17"/>
      <c r="I844" s="12"/>
      <c r="J844" s="12"/>
      <c r="K844" s="12"/>
      <c r="L844" s="12"/>
      <c r="M844" s="12"/>
      <c r="N844" s="12"/>
      <c r="O844" s="12"/>
      <c r="P844" s="12"/>
      <c r="Q844" s="12"/>
      <c r="R844" s="12"/>
      <c r="S844" s="12"/>
      <c r="T844" s="12"/>
      <c r="U844" s="12"/>
      <c r="V844" s="12"/>
      <c r="W844" s="12"/>
      <c r="X844" s="12"/>
      <c r="Y844" s="12"/>
      <c r="Z844" s="12"/>
      <c r="AA844" s="12"/>
    </row>
    <row r="845" ht="13.5" customHeight="1">
      <c r="A845" s="17"/>
      <c r="B845" s="12"/>
      <c r="C845" s="12"/>
      <c r="D845" s="17"/>
      <c r="E845" s="12"/>
      <c r="F845" s="12"/>
      <c r="G845" s="17"/>
      <c r="H845" s="17"/>
      <c r="I845" s="12"/>
      <c r="J845" s="12"/>
      <c r="K845" s="12"/>
      <c r="L845" s="12"/>
      <c r="M845" s="12"/>
      <c r="N845" s="12"/>
      <c r="O845" s="12"/>
      <c r="P845" s="12"/>
      <c r="Q845" s="12"/>
      <c r="R845" s="12"/>
      <c r="S845" s="12"/>
      <c r="T845" s="12"/>
      <c r="U845" s="12"/>
      <c r="V845" s="12"/>
      <c r="W845" s="12"/>
      <c r="X845" s="12"/>
      <c r="Y845" s="12"/>
      <c r="Z845" s="12"/>
      <c r="AA845" s="12"/>
    </row>
    <row r="846" ht="13.5" customHeight="1">
      <c r="A846" s="17"/>
      <c r="B846" s="12"/>
      <c r="C846" s="12"/>
      <c r="D846" s="17"/>
      <c r="E846" s="12"/>
      <c r="F846" s="12"/>
      <c r="G846" s="17"/>
      <c r="H846" s="17"/>
      <c r="I846" s="12"/>
      <c r="J846" s="12"/>
      <c r="K846" s="12"/>
      <c r="L846" s="12"/>
      <c r="M846" s="12"/>
      <c r="N846" s="12"/>
      <c r="O846" s="12"/>
      <c r="P846" s="12"/>
      <c r="Q846" s="12"/>
      <c r="R846" s="12"/>
      <c r="S846" s="12"/>
      <c r="T846" s="12"/>
      <c r="U846" s="12"/>
      <c r="V846" s="12"/>
      <c r="W846" s="12"/>
      <c r="X846" s="12"/>
      <c r="Y846" s="12"/>
      <c r="Z846" s="12"/>
      <c r="AA846" s="12"/>
    </row>
    <row r="847" ht="13.5" customHeight="1">
      <c r="A847" s="17"/>
      <c r="B847" s="12"/>
      <c r="C847" s="12"/>
      <c r="D847" s="17"/>
      <c r="E847" s="12"/>
      <c r="F847" s="12"/>
      <c r="G847" s="17"/>
      <c r="H847" s="17"/>
      <c r="I847" s="12"/>
      <c r="J847" s="12"/>
      <c r="K847" s="12"/>
      <c r="L847" s="12"/>
      <c r="M847" s="12"/>
      <c r="N847" s="12"/>
      <c r="O847" s="12"/>
      <c r="P847" s="12"/>
      <c r="Q847" s="12"/>
      <c r="R847" s="12"/>
      <c r="S847" s="12"/>
      <c r="T847" s="12"/>
      <c r="U847" s="12"/>
      <c r="V847" s="12"/>
      <c r="W847" s="12"/>
      <c r="X847" s="12"/>
      <c r="Y847" s="12"/>
      <c r="Z847" s="12"/>
      <c r="AA847" s="12"/>
    </row>
    <row r="848" ht="13.5" customHeight="1">
      <c r="A848" s="17"/>
      <c r="B848" s="12"/>
      <c r="C848" s="12"/>
      <c r="D848" s="17"/>
      <c r="E848" s="12"/>
      <c r="F848" s="12"/>
      <c r="G848" s="17"/>
      <c r="H848" s="17"/>
      <c r="I848" s="12"/>
      <c r="J848" s="12"/>
      <c r="K848" s="12"/>
      <c r="L848" s="12"/>
      <c r="M848" s="12"/>
      <c r="N848" s="12"/>
      <c r="O848" s="12"/>
      <c r="P848" s="12"/>
      <c r="Q848" s="12"/>
      <c r="R848" s="12"/>
      <c r="S848" s="12"/>
      <c r="T848" s="12"/>
      <c r="U848" s="12"/>
      <c r="V848" s="12"/>
      <c r="W848" s="12"/>
      <c r="X848" s="12"/>
      <c r="Y848" s="12"/>
      <c r="Z848" s="12"/>
      <c r="AA848" s="12"/>
    </row>
    <row r="849" ht="13.5" customHeight="1">
      <c r="A849" s="17"/>
      <c r="B849" s="12"/>
      <c r="C849" s="12"/>
      <c r="D849" s="17"/>
      <c r="E849" s="12"/>
      <c r="F849" s="12"/>
      <c r="G849" s="17"/>
      <c r="H849" s="17"/>
      <c r="I849" s="12"/>
      <c r="J849" s="12"/>
      <c r="K849" s="12"/>
      <c r="L849" s="12"/>
      <c r="M849" s="12"/>
      <c r="N849" s="12"/>
      <c r="O849" s="12"/>
      <c r="P849" s="12"/>
      <c r="Q849" s="12"/>
      <c r="R849" s="12"/>
      <c r="S849" s="12"/>
      <c r="T849" s="12"/>
      <c r="U849" s="12"/>
      <c r="V849" s="12"/>
      <c r="W849" s="12"/>
      <c r="X849" s="12"/>
      <c r="Y849" s="12"/>
      <c r="Z849" s="12"/>
      <c r="AA849" s="12"/>
    </row>
    <row r="850" ht="13.5" customHeight="1">
      <c r="A850" s="17"/>
      <c r="B850" s="12"/>
      <c r="C850" s="12"/>
      <c r="D850" s="17"/>
      <c r="E850" s="12"/>
      <c r="F850" s="12"/>
      <c r="G850" s="17"/>
      <c r="H850" s="17"/>
      <c r="I850" s="12"/>
      <c r="J850" s="12"/>
      <c r="K850" s="12"/>
      <c r="L850" s="12"/>
      <c r="M850" s="12"/>
      <c r="N850" s="12"/>
      <c r="O850" s="12"/>
      <c r="P850" s="12"/>
      <c r="Q850" s="12"/>
      <c r="R850" s="12"/>
      <c r="S850" s="12"/>
      <c r="T850" s="12"/>
      <c r="U850" s="12"/>
      <c r="V850" s="12"/>
      <c r="W850" s="12"/>
      <c r="X850" s="12"/>
      <c r="Y850" s="12"/>
      <c r="Z850" s="12"/>
      <c r="AA850" s="12"/>
    </row>
    <row r="851" ht="13.5" customHeight="1">
      <c r="A851" s="17"/>
      <c r="B851" s="12"/>
      <c r="C851" s="12"/>
      <c r="D851" s="17"/>
      <c r="E851" s="12"/>
      <c r="F851" s="12"/>
      <c r="G851" s="17"/>
      <c r="H851" s="17"/>
      <c r="I851" s="12"/>
      <c r="J851" s="12"/>
      <c r="K851" s="12"/>
      <c r="L851" s="12"/>
      <c r="M851" s="12"/>
      <c r="N851" s="12"/>
      <c r="O851" s="12"/>
      <c r="P851" s="12"/>
      <c r="Q851" s="12"/>
      <c r="R851" s="12"/>
      <c r="S851" s="12"/>
      <c r="T851" s="12"/>
      <c r="U851" s="12"/>
      <c r="V851" s="12"/>
      <c r="W851" s="12"/>
      <c r="X851" s="12"/>
      <c r="Y851" s="12"/>
      <c r="Z851" s="12"/>
      <c r="AA851" s="12"/>
    </row>
    <row r="852" ht="13.5" customHeight="1">
      <c r="A852" s="17"/>
      <c r="B852" s="12"/>
      <c r="C852" s="12"/>
      <c r="D852" s="17"/>
      <c r="E852" s="12"/>
      <c r="F852" s="12"/>
      <c r="G852" s="17"/>
      <c r="H852" s="17"/>
      <c r="I852" s="12"/>
      <c r="J852" s="12"/>
      <c r="K852" s="12"/>
      <c r="L852" s="12"/>
      <c r="M852" s="12"/>
      <c r="N852" s="12"/>
      <c r="O852" s="12"/>
      <c r="P852" s="12"/>
      <c r="Q852" s="12"/>
      <c r="R852" s="12"/>
      <c r="S852" s="12"/>
      <c r="T852" s="12"/>
      <c r="U852" s="12"/>
      <c r="V852" s="12"/>
      <c r="W852" s="12"/>
      <c r="X852" s="12"/>
      <c r="Y852" s="12"/>
      <c r="Z852" s="12"/>
      <c r="AA852" s="12"/>
    </row>
    <row r="853" ht="13.5" customHeight="1">
      <c r="A853" s="17"/>
      <c r="B853" s="12"/>
      <c r="C853" s="12"/>
      <c r="D853" s="17"/>
      <c r="E853" s="12"/>
      <c r="F853" s="12"/>
      <c r="G853" s="17"/>
      <c r="H853" s="17"/>
      <c r="I853" s="12"/>
      <c r="J853" s="12"/>
      <c r="K853" s="12"/>
      <c r="L853" s="12"/>
      <c r="M853" s="12"/>
      <c r="N853" s="12"/>
      <c r="O853" s="12"/>
      <c r="P853" s="12"/>
      <c r="Q853" s="12"/>
      <c r="R853" s="12"/>
      <c r="S853" s="12"/>
      <c r="T853" s="12"/>
      <c r="U853" s="12"/>
      <c r="V853" s="12"/>
      <c r="W853" s="12"/>
      <c r="X853" s="12"/>
      <c r="Y853" s="12"/>
      <c r="Z853" s="12"/>
      <c r="AA853" s="12"/>
    </row>
    <row r="854" ht="13.5" customHeight="1">
      <c r="A854" s="17"/>
      <c r="B854" s="12"/>
      <c r="C854" s="12"/>
      <c r="D854" s="17"/>
      <c r="E854" s="12"/>
      <c r="F854" s="12"/>
      <c r="G854" s="17"/>
      <c r="H854" s="17"/>
      <c r="I854" s="12"/>
      <c r="J854" s="12"/>
      <c r="K854" s="12"/>
      <c r="L854" s="12"/>
      <c r="M854" s="12"/>
      <c r="N854" s="12"/>
      <c r="O854" s="12"/>
      <c r="P854" s="12"/>
      <c r="Q854" s="12"/>
      <c r="R854" s="12"/>
      <c r="S854" s="12"/>
      <c r="T854" s="12"/>
      <c r="U854" s="12"/>
      <c r="V854" s="12"/>
      <c r="W854" s="12"/>
      <c r="X854" s="12"/>
      <c r="Y854" s="12"/>
      <c r="Z854" s="12"/>
      <c r="AA854" s="12"/>
    </row>
    <row r="855" ht="13.5" customHeight="1">
      <c r="A855" s="17"/>
      <c r="B855" s="12"/>
      <c r="C855" s="12"/>
      <c r="D855" s="17"/>
      <c r="E855" s="12"/>
      <c r="F855" s="12"/>
      <c r="G855" s="17"/>
      <c r="H855" s="17"/>
      <c r="I855" s="12"/>
      <c r="J855" s="12"/>
      <c r="K855" s="12"/>
      <c r="L855" s="12"/>
      <c r="M855" s="12"/>
      <c r="N855" s="12"/>
      <c r="O855" s="12"/>
      <c r="P855" s="12"/>
      <c r="Q855" s="12"/>
      <c r="R855" s="12"/>
      <c r="S855" s="12"/>
      <c r="T855" s="12"/>
      <c r="U855" s="12"/>
      <c r="V855" s="12"/>
      <c r="W855" s="12"/>
      <c r="X855" s="12"/>
      <c r="Y855" s="12"/>
      <c r="Z855" s="12"/>
      <c r="AA855" s="12"/>
    </row>
    <row r="856" ht="13.5" customHeight="1">
      <c r="A856" s="17"/>
      <c r="B856" s="12"/>
      <c r="C856" s="12"/>
      <c r="D856" s="17"/>
      <c r="E856" s="12"/>
      <c r="F856" s="12"/>
      <c r="G856" s="17"/>
      <c r="H856" s="17"/>
      <c r="I856" s="12"/>
      <c r="J856" s="12"/>
      <c r="K856" s="12"/>
      <c r="L856" s="12"/>
      <c r="M856" s="12"/>
      <c r="N856" s="12"/>
      <c r="O856" s="12"/>
      <c r="P856" s="12"/>
      <c r="Q856" s="12"/>
      <c r="R856" s="12"/>
      <c r="S856" s="12"/>
      <c r="T856" s="12"/>
      <c r="U856" s="12"/>
      <c r="V856" s="12"/>
      <c r="W856" s="12"/>
      <c r="X856" s="12"/>
      <c r="Y856" s="12"/>
      <c r="Z856" s="12"/>
      <c r="AA856" s="12"/>
    </row>
    <row r="857" ht="13.5" customHeight="1">
      <c r="A857" s="17"/>
      <c r="B857" s="12"/>
      <c r="C857" s="12"/>
      <c r="D857" s="17"/>
      <c r="E857" s="12"/>
      <c r="F857" s="12"/>
      <c r="G857" s="17"/>
      <c r="H857" s="17"/>
      <c r="I857" s="12"/>
      <c r="J857" s="12"/>
      <c r="K857" s="12"/>
      <c r="L857" s="12"/>
      <c r="M857" s="12"/>
      <c r="N857" s="12"/>
      <c r="O857" s="12"/>
      <c r="P857" s="12"/>
      <c r="Q857" s="12"/>
      <c r="R857" s="12"/>
      <c r="S857" s="12"/>
      <c r="T857" s="12"/>
      <c r="U857" s="12"/>
      <c r="V857" s="12"/>
      <c r="W857" s="12"/>
      <c r="X857" s="12"/>
      <c r="Y857" s="12"/>
      <c r="Z857" s="12"/>
      <c r="AA857" s="12"/>
    </row>
    <row r="858" ht="13.5" customHeight="1">
      <c r="A858" s="17"/>
      <c r="B858" s="12"/>
      <c r="C858" s="12"/>
      <c r="D858" s="17"/>
      <c r="E858" s="12"/>
      <c r="F858" s="12"/>
      <c r="G858" s="17"/>
      <c r="H858" s="17"/>
      <c r="I858" s="12"/>
      <c r="J858" s="12"/>
      <c r="K858" s="12"/>
      <c r="L858" s="12"/>
      <c r="M858" s="12"/>
      <c r="N858" s="12"/>
      <c r="O858" s="12"/>
      <c r="P858" s="12"/>
      <c r="Q858" s="12"/>
      <c r="R858" s="12"/>
      <c r="S858" s="12"/>
      <c r="T858" s="12"/>
      <c r="U858" s="12"/>
      <c r="V858" s="12"/>
      <c r="W858" s="12"/>
      <c r="X858" s="12"/>
      <c r="Y858" s="12"/>
      <c r="Z858" s="12"/>
      <c r="AA858" s="12"/>
    </row>
    <row r="859" ht="13.5" customHeight="1">
      <c r="A859" s="17"/>
      <c r="B859" s="12"/>
      <c r="C859" s="12"/>
      <c r="D859" s="17"/>
      <c r="E859" s="12"/>
      <c r="F859" s="12"/>
      <c r="G859" s="17"/>
      <c r="H859" s="17"/>
      <c r="I859" s="12"/>
      <c r="J859" s="12"/>
      <c r="K859" s="12"/>
      <c r="L859" s="12"/>
      <c r="M859" s="12"/>
      <c r="N859" s="12"/>
      <c r="O859" s="12"/>
      <c r="P859" s="12"/>
      <c r="Q859" s="12"/>
      <c r="R859" s="12"/>
      <c r="S859" s="12"/>
      <c r="T859" s="12"/>
      <c r="U859" s="12"/>
      <c r="V859" s="12"/>
      <c r="W859" s="12"/>
      <c r="X859" s="12"/>
      <c r="Y859" s="12"/>
      <c r="Z859" s="12"/>
      <c r="AA859" s="12"/>
    </row>
    <row r="860" ht="13.5" customHeight="1">
      <c r="A860" s="17"/>
      <c r="B860" s="12"/>
      <c r="C860" s="12"/>
      <c r="D860" s="17"/>
      <c r="E860" s="12"/>
      <c r="F860" s="12"/>
      <c r="G860" s="17"/>
      <c r="H860" s="17"/>
      <c r="I860" s="12"/>
      <c r="J860" s="12"/>
      <c r="K860" s="12"/>
      <c r="L860" s="12"/>
      <c r="M860" s="12"/>
      <c r="N860" s="12"/>
      <c r="O860" s="12"/>
      <c r="P860" s="12"/>
      <c r="Q860" s="12"/>
      <c r="R860" s="12"/>
      <c r="S860" s="12"/>
      <c r="T860" s="12"/>
      <c r="U860" s="12"/>
      <c r="V860" s="12"/>
      <c r="W860" s="12"/>
      <c r="X860" s="12"/>
      <c r="Y860" s="12"/>
      <c r="Z860" s="12"/>
      <c r="AA860" s="12"/>
    </row>
    <row r="861" ht="13.5" customHeight="1">
      <c r="A861" s="17"/>
      <c r="B861" s="12"/>
      <c r="C861" s="12"/>
      <c r="D861" s="17"/>
      <c r="E861" s="12"/>
      <c r="F861" s="12"/>
      <c r="G861" s="17"/>
      <c r="H861" s="17"/>
      <c r="I861" s="12"/>
      <c r="J861" s="12"/>
      <c r="K861" s="12"/>
      <c r="L861" s="12"/>
      <c r="M861" s="12"/>
      <c r="N861" s="12"/>
      <c r="O861" s="12"/>
      <c r="P861" s="12"/>
      <c r="Q861" s="12"/>
      <c r="R861" s="12"/>
      <c r="S861" s="12"/>
      <c r="T861" s="12"/>
      <c r="U861" s="12"/>
      <c r="V861" s="12"/>
      <c r="W861" s="12"/>
      <c r="X861" s="12"/>
      <c r="Y861" s="12"/>
      <c r="Z861" s="12"/>
      <c r="AA861" s="12"/>
    </row>
    <row r="862" ht="13.5" customHeight="1">
      <c r="A862" s="17"/>
      <c r="B862" s="12"/>
      <c r="C862" s="12"/>
      <c r="D862" s="17"/>
      <c r="E862" s="12"/>
      <c r="F862" s="12"/>
      <c r="G862" s="17"/>
      <c r="H862" s="17"/>
      <c r="I862" s="12"/>
      <c r="J862" s="12"/>
      <c r="K862" s="12"/>
      <c r="L862" s="12"/>
      <c r="M862" s="12"/>
      <c r="N862" s="12"/>
      <c r="O862" s="12"/>
      <c r="P862" s="12"/>
      <c r="Q862" s="12"/>
      <c r="R862" s="12"/>
      <c r="S862" s="12"/>
      <c r="T862" s="12"/>
      <c r="U862" s="12"/>
      <c r="V862" s="12"/>
      <c r="W862" s="12"/>
      <c r="X862" s="12"/>
      <c r="Y862" s="12"/>
      <c r="Z862" s="12"/>
      <c r="AA862" s="12"/>
    </row>
    <row r="863" ht="13.5" customHeight="1">
      <c r="A863" s="17"/>
      <c r="B863" s="12"/>
      <c r="C863" s="12"/>
      <c r="D863" s="17"/>
      <c r="E863" s="12"/>
      <c r="F863" s="12"/>
      <c r="G863" s="17"/>
      <c r="H863" s="17"/>
      <c r="I863" s="12"/>
      <c r="J863" s="12"/>
      <c r="K863" s="12"/>
      <c r="L863" s="12"/>
      <c r="M863" s="12"/>
      <c r="N863" s="12"/>
      <c r="O863" s="12"/>
      <c r="P863" s="12"/>
      <c r="Q863" s="12"/>
      <c r="R863" s="12"/>
      <c r="S863" s="12"/>
      <c r="T863" s="12"/>
      <c r="U863" s="12"/>
      <c r="V863" s="12"/>
      <c r="W863" s="12"/>
      <c r="X863" s="12"/>
      <c r="Y863" s="12"/>
      <c r="Z863" s="12"/>
      <c r="AA863" s="12"/>
    </row>
    <row r="864" ht="13.5" customHeight="1">
      <c r="A864" s="17"/>
      <c r="B864" s="12"/>
      <c r="C864" s="12"/>
      <c r="D864" s="17"/>
      <c r="E864" s="12"/>
      <c r="F864" s="12"/>
      <c r="G864" s="17"/>
      <c r="H864" s="17"/>
      <c r="I864" s="12"/>
      <c r="J864" s="12"/>
      <c r="K864" s="12"/>
      <c r="L864" s="12"/>
      <c r="M864" s="12"/>
      <c r="N864" s="12"/>
      <c r="O864" s="12"/>
      <c r="P864" s="12"/>
      <c r="Q864" s="12"/>
      <c r="R864" s="12"/>
      <c r="S864" s="12"/>
      <c r="T864" s="12"/>
      <c r="U864" s="12"/>
      <c r="V864" s="12"/>
      <c r="W864" s="12"/>
      <c r="X864" s="12"/>
      <c r="Y864" s="12"/>
      <c r="Z864" s="12"/>
      <c r="AA864" s="12"/>
    </row>
    <row r="865" ht="13.5" customHeight="1">
      <c r="A865" s="17"/>
      <c r="B865" s="12"/>
      <c r="C865" s="12"/>
      <c r="D865" s="17"/>
      <c r="E865" s="12"/>
      <c r="F865" s="12"/>
      <c r="G865" s="17"/>
      <c r="H865" s="17"/>
      <c r="I865" s="12"/>
      <c r="J865" s="12"/>
      <c r="K865" s="12"/>
      <c r="L865" s="12"/>
      <c r="M865" s="12"/>
      <c r="N865" s="12"/>
      <c r="O865" s="12"/>
      <c r="P865" s="12"/>
      <c r="Q865" s="12"/>
      <c r="R865" s="12"/>
      <c r="S865" s="12"/>
      <c r="T865" s="12"/>
      <c r="U865" s="12"/>
      <c r="V865" s="12"/>
      <c r="W865" s="12"/>
      <c r="X865" s="12"/>
      <c r="Y865" s="12"/>
      <c r="Z865" s="12"/>
      <c r="AA865" s="12"/>
    </row>
    <row r="866" ht="13.5" customHeight="1">
      <c r="A866" s="17"/>
      <c r="B866" s="12"/>
      <c r="C866" s="12"/>
      <c r="D866" s="17"/>
      <c r="E866" s="12"/>
      <c r="F866" s="12"/>
      <c r="G866" s="17"/>
      <c r="H866" s="17"/>
      <c r="I866" s="12"/>
      <c r="J866" s="12"/>
      <c r="K866" s="12"/>
      <c r="L866" s="12"/>
      <c r="M866" s="12"/>
      <c r="N866" s="12"/>
      <c r="O866" s="12"/>
      <c r="P866" s="12"/>
      <c r="Q866" s="12"/>
      <c r="R866" s="12"/>
      <c r="S866" s="12"/>
      <c r="T866" s="12"/>
      <c r="U866" s="12"/>
      <c r="V866" s="12"/>
      <c r="W866" s="12"/>
      <c r="X866" s="12"/>
      <c r="Y866" s="12"/>
      <c r="Z866" s="12"/>
      <c r="AA866" s="12"/>
    </row>
    <row r="867" ht="13.5" customHeight="1">
      <c r="A867" s="17"/>
      <c r="B867" s="12"/>
      <c r="C867" s="12"/>
      <c r="D867" s="17"/>
      <c r="E867" s="12"/>
      <c r="F867" s="12"/>
      <c r="G867" s="17"/>
      <c r="H867" s="17"/>
      <c r="I867" s="12"/>
      <c r="J867" s="12"/>
      <c r="K867" s="12"/>
      <c r="L867" s="12"/>
      <c r="M867" s="12"/>
      <c r="N867" s="12"/>
      <c r="O867" s="12"/>
      <c r="P867" s="12"/>
      <c r="Q867" s="12"/>
      <c r="R867" s="12"/>
      <c r="S867" s="12"/>
      <c r="T867" s="12"/>
      <c r="U867" s="12"/>
      <c r="V867" s="12"/>
      <c r="W867" s="12"/>
      <c r="X867" s="12"/>
      <c r="Y867" s="12"/>
      <c r="Z867" s="12"/>
      <c r="AA867" s="12"/>
    </row>
    <row r="868" ht="13.5" customHeight="1">
      <c r="A868" s="17"/>
      <c r="B868" s="12"/>
      <c r="C868" s="12"/>
      <c r="D868" s="17"/>
      <c r="E868" s="12"/>
      <c r="F868" s="12"/>
      <c r="G868" s="17"/>
      <c r="H868" s="17"/>
      <c r="I868" s="12"/>
      <c r="J868" s="12"/>
      <c r="K868" s="12"/>
      <c r="L868" s="12"/>
      <c r="M868" s="12"/>
      <c r="N868" s="12"/>
      <c r="O868" s="12"/>
      <c r="P868" s="12"/>
      <c r="Q868" s="12"/>
      <c r="R868" s="12"/>
      <c r="S868" s="12"/>
      <c r="T868" s="12"/>
      <c r="U868" s="12"/>
      <c r="V868" s="12"/>
      <c r="W868" s="12"/>
      <c r="X868" s="12"/>
      <c r="Y868" s="12"/>
      <c r="Z868" s="12"/>
      <c r="AA868" s="12"/>
    </row>
    <row r="869" ht="13.5" customHeight="1">
      <c r="A869" s="17"/>
      <c r="B869" s="12"/>
      <c r="C869" s="12"/>
      <c r="D869" s="17"/>
      <c r="E869" s="12"/>
      <c r="F869" s="12"/>
      <c r="G869" s="17"/>
      <c r="H869" s="17"/>
      <c r="I869" s="12"/>
      <c r="J869" s="12"/>
      <c r="K869" s="12"/>
      <c r="L869" s="12"/>
      <c r="M869" s="12"/>
      <c r="N869" s="12"/>
      <c r="O869" s="12"/>
      <c r="P869" s="12"/>
      <c r="Q869" s="12"/>
      <c r="R869" s="12"/>
      <c r="S869" s="12"/>
      <c r="T869" s="12"/>
      <c r="U869" s="12"/>
      <c r="V869" s="12"/>
      <c r="W869" s="12"/>
      <c r="X869" s="12"/>
      <c r="Y869" s="12"/>
      <c r="Z869" s="12"/>
      <c r="AA869" s="12"/>
    </row>
    <row r="870" ht="13.5" customHeight="1">
      <c r="A870" s="17"/>
      <c r="B870" s="12"/>
      <c r="C870" s="12"/>
      <c r="D870" s="17"/>
      <c r="E870" s="12"/>
      <c r="F870" s="12"/>
      <c r="G870" s="17"/>
      <c r="H870" s="17"/>
      <c r="I870" s="12"/>
      <c r="J870" s="12"/>
      <c r="K870" s="12"/>
      <c r="L870" s="12"/>
      <c r="M870" s="12"/>
      <c r="N870" s="12"/>
      <c r="O870" s="12"/>
      <c r="P870" s="12"/>
      <c r="Q870" s="12"/>
      <c r="R870" s="12"/>
      <c r="S870" s="12"/>
      <c r="T870" s="12"/>
      <c r="U870" s="12"/>
      <c r="V870" s="12"/>
      <c r="W870" s="12"/>
      <c r="X870" s="12"/>
      <c r="Y870" s="12"/>
      <c r="Z870" s="12"/>
      <c r="AA870" s="12"/>
    </row>
    <row r="871" ht="13.5" customHeight="1">
      <c r="A871" s="17"/>
      <c r="B871" s="12"/>
      <c r="C871" s="12"/>
      <c r="D871" s="17"/>
      <c r="E871" s="12"/>
      <c r="F871" s="12"/>
      <c r="G871" s="17"/>
      <c r="H871" s="17"/>
      <c r="I871" s="12"/>
      <c r="J871" s="12"/>
      <c r="K871" s="12"/>
      <c r="L871" s="12"/>
      <c r="M871" s="12"/>
      <c r="N871" s="12"/>
      <c r="O871" s="12"/>
      <c r="P871" s="12"/>
      <c r="Q871" s="12"/>
      <c r="R871" s="12"/>
      <c r="S871" s="12"/>
      <c r="T871" s="12"/>
      <c r="U871" s="12"/>
      <c r="V871" s="12"/>
      <c r="W871" s="12"/>
      <c r="X871" s="12"/>
      <c r="Y871" s="12"/>
      <c r="Z871" s="12"/>
      <c r="AA871" s="12"/>
    </row>
    <row r="872" ht="13.5" customHeight="1">
      <c r="A872" s="17"/>
      <c r="B872" s="12"/>
      <c r="C872" s="12"/>
      <c r="D872" s="17"/>
      <c r="E872" s="12"/>
      <c r="F872" s="12"/>
      <c r="G872" s="17"/>
      <c r="H872" s="17"/>
      <c r="I872" s="12"/>
      <c r="J872" s="12"/>
      <c r="K872" s="12"/>
      <c r="L872" s="12"/>
      <c r="M872" s="12"/>
      <c r="N872" s="12"/>
      <c r="O872" s="12"/>
      <c r="P872" s="12"/>
      <c r="Q872" s="12"/>
      <c r="R872" s="12"/>
      <c r="S872" s="12"/>
      <c r="T872" s="12"/>
      <c r="U872" s="12"/>
      <c r="V872" s="12"/>
      <c r="W872" s="12"/>
      <c r="X872" s="12"/>
      <c r="Y872" s="12"/>
      <c r="Z872" s="12"/>
      <c r="AA872" s="12"/>
    </row>
    <row r="873" ht="13.5" customHeight="1">
      <c r="A873" s="17"/>
      <c r="B873" s="12"/>
      <c r="C873" s="12"/>
      <c r="D873" s="17"/>
      <c r="E873" s="12"/>
      <c r="F873" s="12"/>
      <c r="G873" s="17"/>
      <c r="H873" s="17"/>
      <c r="I873" s="12"/>
      <c r="J873" s="12"/>
      <c r="K873" s="12"/>
      <c r="L873" s="12"/>
      <c r="M873" s="12"/>
      <c r="N873" s="12"/>
      <c r="O873" s="12"/>
      <c r="P873" s="12"/>
      <c r="Q873" s="12"/>
      <c r="R873" s="12"/>
      <c r="S873" s="12"/>
      <c r="T873" s="12"/>
      <c r="U873" s="12"/>
      <c r="V873" s="12"/>
      <c r="W873" s="12"/>
      <c r="X873" s="12"/>
      <c r="Y873" s="12"/>
      <c r="Z873" s="12"/>
      <c r="AA873" s="12"/>
    </row>
    <row r="874" ht="13.5" customHeight="1">
      <c r="A874" s="17"/>
      <c r="B874" s="12"/>
      <c r="C874" s="12"/>
      <c r="D874" s="17"/>
      <c r="E874" s="12"/>
      <c r="F874" s="12"/>
      <c r="G874" s="17"/>
      <c r="H874" s="17"/>
      <c r="I874" s="12"/>
      <c r="J874" s="12"/>
      <c r="K874" s="12"/>
      <c r="L874" s="12"/>
      <c r="M874" s="12"/>
      <c r="N874" s="12"/>
      <c r="O874" s="12"/>
      <c r="P874" s="12"/>
      <c r="Q874" s="12"/>
      <c r="R874" s="12"/>
      <c r="S874" s="12"/>
      <c r="T874" s="12"/>
      <c r="U874" s="12"/>
      <c r="V874" s="12"/>
      <c r="W874" s="12"/>
      <c r="X874" s="12"/>
      <c r="Y874" s="12"/>
      <c r="Z874" s="12"/>
      <c r="AA874" s="12"/>
    </row>
    <row r="875" ht="13.5" customHeight="1">
      <c r="A875" s="17"/>
      <c r="B875" s="12"/>
      <c r="C875" s="12"/>
      <c r="D875" s="17"/>
      <c r="E875" s="12"/>
      <c r="F875" s="12"/>
      <c r="G875" s="17"/>
      <c r="H875" s="17"/>
      <c r="I875" s="12"/>
      <c r="J875" s="12"/>
      <c r="K875" s="12"/>
      <c r="L875" s="12"/>
      <c r="M875" s="12"/>
      <c r="N875" s="12"/>
      <c r="O875" s="12"/>
      <c r="P875" s="12"/>
      <c r="Q875" s="12"/>
      <c r="R875" s="12"/>
      <c r="S875" s="12"/>
      <c r="T875" s="12"/>
      <c r="U875" s="12"/>
      <c r="V875" s="12"/>
      <c r="W875" s="12"/>
      <c r="X875" s="12"/>
      <c r="Y875" s="12"/>
      <c r="Z875" s="12"/>
      <c r="AA875" s="12"/>
    </row>
    <row r="876" ht="13.5" customHeight="1">
      <c r="A876" s="17"/>
      <c r="B876" s="12"/>
      <c r="C876" s="12"/>
      <c r="D876" s="17"/>
      <c r="E876" s="12"/>
      <c r="F876" s="12"/>
      <c r="G876" s="17"/>
      <c r="H876" s="17"/>
      <c r="I876" s="12"/>
      <c r="J876" s="12"/>
      <c r="K876" s="12"/>
      <c r="L876" s="12"/>
      <c r="M876" s="12"/>
      <c r="N876" s="12"/>
      <c r="O876" s="12"/>
      <c r="P876" s="12"/>
      <c r="Q876" s="12"/>
      <c r="R876" s="12"/>
      <c r="S876" s="12"/>
      <c r="T876" s="12"/>
      <c r="U876" s="12"/>
      <c r="V876" s="12"/>
      <c r="W876" s="12"/>
      <c r="X876" s="12"/>
      <c r="Y876" s="12"/>
      <c r="Z876" s="12"/>
      <c r="AA876" s="12"/>
    </row>
    <row r="877" ht="13.5" customHeight="1">
      <c r="A877" s="17"/>
      <c r="B877" s="12"/>
      <c r="C877" s="12"/>
      <c r="D877" s="17"/>
      <c r="E877" s="12"/>
      <c r="F877" s="12"/>
      <c r="G877" s="17"/>
      <c r="H877" s="17"/>
      <c r="I877" s="12"/>
      <c r="J877" s="12"/>
      <c r="K877" s="12"/>
      <c r="L877" s="12"/>
      <c r="M877" s="12"/>
      <c r="N877" s="12"/>
      <c r="O877" s="12"/>
      <c r="P877" s="12"/>
      <c r="Q877" s="12"/>
      <c r="R877" s="12"/>
      <c r="S877" s="12"/>
      <c r="T877" s="12"/>
      <c r="U877" s="12"/>
      <c r="V877" s="12"/>
      <c r="W877" s="12"/>
      <c r="X877" s="12"/>
      <c r="Y877" s="12"/>
      <c r="Z877" s="12"/>
      <c r="AA877" s="12"/>
    </row>
    <row r="878" ht="13.5" customHeight="1">
      <c r="A878" s="17"/>
      <c r="B878" s="12"/>
      <c r="C878" s="12"/>
      <c r="D878" s="17"/>
      <c r="E878" s="12"/>
      <c r="F878" s="12"/>
      <c r="G878" s="17"/>
      <c r="H878" s="17"/>
      <c r="I878" s="12"/>
      <c r="J878" s="12"/>
      <c r="K878" s="12"/>
      <c r="L878" s="12"/>
      <c r="M878" s="12"/>
      <c r="N878" s="12"/>
      <c r="O878" s="12"/>
      <c r="P878" s="12"/>
      <c r="Q878" s="12"/>
      <c r="R878" s="12"/>
      <c r="S878" s="12"/>
      <c r="T878" s="12"/>
      <c r="U878" s="12"/>
      <c r="V878" s="12"/>
      <c r="W878" s="12"/>
      <c r="X878" s="12"/>
      <c r="Y878" s="12"/>
      <c r="Z878" s="12"/>
      <c r="AA878" s="12"/>
    </row>
    <row r="879" ht="13.5" customHeight="1">
      <c r="A879" s="17"/>
      <c r="B879" s="12"/>
      <c r="C879" s="12"/>
      <c r="D879" s="17"/>
      <c r="E879" s="12"/>
      <c r="F879" s="12"/>
      <c r="G879" s="17"/>
      <c r="H879" s="17"/>
      <c r="I879" s="12"/>
      <c r="J879" s="12"/>
      <c r="K879" s="12"/>
      <c r="L879" s="12"/>
      <c r="M879" s="12"/>
      <c r="N879" s="12"/>
      <c r="O879" s="12"/>
      <c r="P879" s="12"/>
      <c r="Q879" s="12"/>
      <c r="R879" s="12"/>
      <c r="S879" s="12"/>
      <c r="T879" s="12"/>
      <c r="U879" s="12"/>
      <c r="V879" s="12"/>
      <c r="W879" s="12"/>
      <c r="X879" s="12"/>
      <c r="Y879" s="12"/>
      <c r="Z879" s="12"/>
      <c r="AA879" s="12"/>
    </row>
    <row r="880" ht="13.5" customHeight="1">
      <c r="A880" s="17"/>
      <c r="B880" s="12"/>
      <c r="C880" s="12"/>
      <c r="D880" s="17"/>
      <c r="E880" s="12"/>
      <c r="F880" s="12"/>
      <c r="G880" s="17"/>
      <c r="H880" s="17"/>
      <c r="I880" s="12"/>
      <c r="J880" s="12"/>
      <c r="K880" s="12"/>
      <c r="L880" s="12"/>
      <c r="M880" s="12"/>
      <c r="N880" s="12"/>
      <c r="O880" s="12"/>
      <c r="P880" s="12"/>
      <c r="Q880" s="12"/>
      <c r="R880" s="12"/>
      <c r="S880" s="12"/>
      <c r="T880" s="12"/>
      <c r="U880" s="12"/>
      <c r="V880" s="12"/>
      <c r="W880" s="12"/>
      <c r="X880" s="12"/>
      <c r="Y880" s="12"/>
      <c r="Z880" s="12"/>
      <c r="AA880" s="12"/>
    </row>
    <row r="881" ht="13.5" customHeight="1">
      <c r="A881" s="17"/>
      <c r="B881" s="12"/>
      <c r="C881" s="12"/>
      <c r="D881" s="17"/>
      <c r="E881" s="12"/>
      <c r="F881" s="12"/>
      <c r="G881" s="17"/>
      <c r="H881" s="17"/>
      <c r="I881" s="12"/>
      <c r="J881" s="12"/>
      <c r="K881" s="12"/>
      <c r="L881" s="12"/>
      <c r="M881" s="12"/>
      <c r="N881" s="12"/>
      <c r="O881" s="12"/>
      <c r="P881" s="12"/>
      <c r="Q881" s="12"/>
      <c r="R881" s="12"/>
      <c r="S881" s="12"/>
      <c r="T881" s="12"/>
      <c r="U881" s="12"/>
      <c r="V881" s="12"/>
      <c r="W881" s="12"/>
      <c r="X881" s="12"/>
      <c r="Y881" s="12"/>
      <c r="Z881" s="12"/>
      <c r="AA881" s="12"/>
    </row>
    <row r="882" ht="13.5" customHeight="1">
      <c r="A882" s="17"/>
      <c r="B882" s="12"/>
      <c r="C882" s="12"/>
      <c r="D882" s="17"/>
      <c r="E882" s="12"/>
      <c r="F882" s="12"/>
      <c r="G882" s="17"/>
      <c r="H882" s="17"/>
      <c r="I882" s="12"/>
      <c r="J882" s="12"/>
      <c r="K882" s="12"/>
      <c r="L882" s="12"/>
      <c r="M882" s="12"/>
      <c r="N882" s="12"/>
      <c r="O882" s="12"/>
      <c r="P882" s="12"/>
      <c r="Q882" s="12"/>
      <c r="R882" s="12"/>
      <c r="S882" s="12"/>
      <c r="T882" s="12"/>
      <c r="U882" s="12"/>
      <c r="V882" s="12"/>
      <c r="W882" s="12"/>
      <c r="X882" s="12"/>
      <c r="Y882" s="12"/>
      <c r="Z882" s="12"/>
      <c r="AA882" s="12"/>
    </row>
    <row r="883" ht="13.5" customHeight="1">
      <c r="A883" s="17"/>
      <c r="B883" s="12"/>
      <c r="C883" s="12"/>
      <c r="D883" s="17"/>
      <c r="E883" s="12"/>
      <c r="F883" s="12"/>
      <c r="G883" s="17"/>
      <c r="H883" s="17"/>
      <c r="I883" s="12"/>
      <c r="J883" s="12"/>
      <c r="K883" s="12"/>
      <c r="L883" s="12"/>
      <c r="M883" s="12"/>
      <c r="N883" s="12"/>
      <c r="O883" s="12"/>
      <c r="P883" s="12"/>
      <c r="Q883" s="12"/>
      <c r="R883" s="12"/>
      <c r="S883" s="12"/>
      <c r="T883" s="12"/>
      <c r="U883" s="12"/>
      <c r="V883" s="12"/>
      <c r="W883" s="12"/>
      <c r="X883" s="12"/>
      <c r="Y883" s="12"/>
      <c r="Z883" s="12"/>
      <c r="AA883" s="12"/>
    </row>
    <row r="884" ht="13.5" customHeight="1">
      <c r="A884" s="17"/>
      <c r="B884" s="12"/>
      <c r="C884" s="12"/>
      <c r="D884" s="17"/>
      <c r="E884" s="12"/>
      <c r="F884" s="12"/>
      <c r="G884" s="17"/>
      <c r="H884" s="17"/>
      <c r="I884" s="12"/>
      <c r="J884" s="12"/>
      <c r="K884" s="12"/>
      <c r="L884" s="12"/>
      <c r="M884" s="12"/>
      <c r="N884" s="12"/>
      <c r="O884" s="12"/>
      <c r="P884" s="12"/>
      <c r="Q884" s="12"/>
      <c r="R884" s="12"/>
      <c r="S884" s="12"/>
      <c r="T884" s="12"/>
      <c r="U884" s="12"/>
      <c r="V884" s="12"/>
      <c r="W884" s="12"/>
      <c r="X884" s="12"/>
      <c r="Y884" s="12"/>
      <c r="Z884" s="12"/>
      <c r="AA884" s="12"/>
    </row>
    <row r="885" ht="13.5" customHeight="1">
      <c r="A885" s="17"/>
      <c r="B885" s="12"/>
      <c r="C885" s="12"/>
      <c r="D885" s="17"/>
      <c r="E885" s="12"/>
      <c r="F885" s="12"/>
      <c r="G885" s="17"/>
      <c r="H885" s="17"/>
      <c r="I885" s="12"/>
      <c r="J885" s="12"/>
      <c r="K885" s="12"/>
      <c r="L885" s="12"/>
      <c r="M885" s="12"/>
      <c r="N885" s="12"/>
      <c r="O885" s="12"/>
      <c r="P885" s="12"/>
      <c r="Q885" s="12"/>
      <c r="R885" s="12"/>
      <c r="S885" s="12"/>
      <c r="T885" s="12"/>
      <c r="U885" s="12"/>
      <c r="V885" s="12"/>
      <c r="W885" s="12"/>
      <c r="X885" s="12"/>
      <c r="Y885" s="12"/>
      <c r="Z885" s="12"/>
      <c r="AA885" s="12"/>
    </row>
    <row r="886" ht="13.5" customHeight="1">
      <c r="A886" s="17"/>
      <c r="B886" s="12"/>
      <c r="C886" s="12"/>
      <c r="D886" s="17"/>
      <c r="E886" s="12"/>
      <c r="F886" s="12"/>
      <c r="G886" s="17"/>
      <c r="H886" s="17"/>
      <c r="I886" s="12"/>
      <c r="J886" s="12"/>
      <c r="K886" s="12"/>
      <c r="L886" s="12"/>
      <c r="M886" s="12"/>
      <c r="N886" s="12"/>
      <c r="O886" s="12"/>
      <c r="P886" s="12"/>
      <c r="Q886" s="12"/>
      <c r="R886" s="12"/>
      <c r="S886" s="12"/>
      <c r="T886" s="12"/>
      <c r="U886" s="12"/>
      <c r="V886" s="12"/>
      <c r="W886" s="12"/>
      <c r="X886" s="12"/>
      <c r="Y886" s="12"/>
      <c r="Z886" s="12"/>
      <c r="AA886" s="12"/>
    </row>
    <row r="887" ht="13.5" customHeight="1">
      <c r="A887" s="17"/>
      <c r="B887" s="12"/>
      <c r="C887" s="12"/>
      <c r="D887" s="17"/>
      <c r="E887" s="12"/>
      <c r="F887" s="12"/>
      <c r="G887" s="17"/>
      <c r="H887" s="17"/>
      <c r="I887" s="12"/>
      <c r="J887" s="12"/>
      <c r="K887" s="12"/>
      <c r="L887" s="12"/>
      <c r="M887" s="12"/>
      <c r="N887" s="12"/>
      <c r="O887" s="12"/>
      <c r="P887" s="12"/>
      <c r="Q887" s="12"/>
      <c r="R887" s="12"/>
      <c r="S887" s="12"/>
      <c r="T887" s="12"/>
      <c r="U887" s="12"/>
      <c r="V887" s="12"/>
      <c r="W887" s="12"/>
      <c r="X887" s="12"/>
      <c r="Y887" s="12"/>
      <c r="Z887" s="12"/>
      <c r="AA887" s="12"/>
    </row>
    <row r="888" ht="13.5" customHeight="1">
      <c r="A888" s="17"/>
      <c r="B888" s="12"/>
      <c r="C888" s="12"/>
      <c r="D888" s="17"/>
      <c r="E888" s="12"/>
      <c r="F888" s="12"/>
      <c r="G888" s="17"/>
      <c r="H888" s="17"/>
      <c r="I888" s="12"/>
      <c r="J888" s="12"/>
      <c r="K888" s="12"/>
      <c r="L888" s="12"/>
      <c r="M888" s="12"/>
      <c r="N888" s="12"/>
      <c r="O888" s="12"/>
      <c r="P888" s="12"/>
      <c r="Q888" s="12"/>
      <c r="R888" s="12"/>
      <c r="S888" s="12"/>
      <c r="T888" s="12"/>
      <c r="U888" s="12"/>
      <c r="V888" s="12"/>
      <c r="W888" s="12"/>
      <c r="X888" s="12"/>
      <c r="Y888" s="12"/>
      <c r="Z888" s="12"/>
      <c r="AA888" s="12"/>
    </row>
    <row r="889" ht="13.5" customHeight="1">
      <c r="A889" s="17"/>
      <c r="B889" s="12"/>
      <c r="C889" s="12"/>
      <c r="D889" s="17"/>
      <c r="E889" s="12"/>
      <c r="F889" s="12"/>
      <c r="G889" s="17"/>
      <c r="H889" s="17"/>
      <c r="I889" s="12"/>
      <c r="J889" s="12"/>
      <c r="K889" s="12"/>
      <c r="L889" s="12"/>
      <c r="M889" s="12"/>
      <c r="N889" s="12"/>
      <c r="O889" s="12"/>
      <c r="P889" s="12"/>
      <c r="Q889" s="12"/>
      <c r="R889" s="12"/>
      <c r="S889" s="12"/>
      <c r="T889" s="12"/>
      <c r="U889" s="12"/>
      <c r="V889" s="12"/>
      <c r="W889" s="12"/>
      <c r="X889" s="12"/>
      <c r="Y889" s="12"/>
      <c r="Z889" s="12"/>
      <c r="AA889" s="12"/>
    </row>
    <row r="890" ht="13.5" customHeight="1">
      <c r="A890" s="17"/>
      <c r="B890" s="12"/>
      <c r="C890" s="12"/>
      <c r="D890" s="17"/>
      <c r="E890" s="12"/>
      <c r="F890" s="12"/>
      <c r="G890" s="17"/>
      <c r="H890" s="17"/>
      <c r="I890" s="12"/>
      <c r="J890" s="12"/>
      <c r="K890" s="12"/>
      <c r="L890" s="12"/>
      <c r="M890" s="12"/>
      <c r="N890" s="12"/>
      <c r="O890" s="12"/>
      <c r="P890" s="12"/>
      <c r="Q890" s="12"/>
      <c r="R890" s="12"/>
      <c r="S890" s="12"/>
      <c r="T890" s="12"/>
      <c r="U890" s="12"/>
      <c r="V890" s="12"/>
      <c r="W890" s="12"/>
      <c r="X890" s="12"/>
      <c r="Y890" s="12"/>
      <c r="Z890" s="12"/>
      <c r="AA890" s="12"/>
    </row>
    <row r="891" ht="13.5" customHeight="1">
      <c r="A891" s="17"/>
      <c r="B891" s="12"/>
      <c r="C891" s="12"/>
      <c r="D891" s="17"/>
      <c r="E891" s="12"/>
      <c r="F891" s="12"/>
      <c r="G891" s="17"/>
      <c r="H891" s="17"/>
      <c r="I891" s="12"/>
      <c r="J891" s="12"/>
      <c r="K891" s="12"/>
      <c r="L891" s="12"/>
      <c r="M891" s="12"/>
      <c r="N891" s="12"/>
      <c r="O891" s="12"/>
      <c r="P891" s="12"/>
      <c r="Q891" s="12"/>
      <c r="R891" s="12"/>
      <c r="S891" s="12"/>
      <c r="T891" s="12"/>
      <c r="U891" s="12"/>
      <c r="V891" s="12"/>
      <c r="W891" s="12"/>
      <c r="X891" s="12"/>
      <c r="Y891" s="12"/>
      <c r="Z891" s="12"/>
      <c r="AA891" s="12"/>
    </row>
    <row r="892" ht="13.5" customHeight="1">
      <c r="A892" s="17"/>
      <c r="B892" s="12"/>
      <c r="C892" s="12"/>
      <c r="D892" s="17"/>
      <c r="E892" s="12"/>
      <c r="F892" s="12"/>
      <c r="G892" s="17"/>
      <c r="H892" s="17"/>
      <c r="I892" s="12"/>
      <c r="J892" s="12"/>
      <c r="K892" s="12"/>
      <c r="L892" s="12"/>
      <c r="M892" s="12"/>
      <c r="N892" s="12"/>
      <c r="O892" s="12"/>
      <c r="P892" s="12"/>
      <c r="Q892" s="12"/>
      <c r="R892" s="12"/>
      <c r="S892" s="12"/>
      <c r="T892" s="12"/>
      <c r="U892" s="12"/>
      <c r="V892" s="12"/>
      <c r="W892" s="12"/>
      <c r="X892" s="12"/>
      <c r="Y892" s="12"/>
      <c r="Z892" s="12"/>
      <c r="AA892" s="12"/>
    </row>
    <row r="893" ht="13.5" customHeight="1">
      <c r="A893" s="17"/>
      <c r="B893" s="12"/>
      <c r="C893" s="12"/>
      <c r="D893" s="17"/>
      <c r="E893" s="12"/>
      <c r="F893" s="12"/>
      <c r="G893" s="17"/>
      <c r="H893" s="17"/>
      <c r="I893" s="12"/>
      <c r="J893" s="12"/>
      <c r="K893" s="12"/>
      <c r="L893" s="12"/>
      <c r="M893" s="12"/>
      <c r="N893" s="12"/>
      <c r="O893" s="12"/>
      <c r="P893" s="12"/>
      <c r="Q893" s="12"/>
      <c r="R893" s="12"/>
      <c r="S893" s="12"/>
      <c r="T893" s="12"/>
      <c r="U893" s="12"/>
      <c r="V893" s="12"/>
      <c r="W893" s="12"/>
      <c r="X893" s="12"/>
      <c r="Y893" s="12"/>
      <c r="Z893" s="12"/>
      <c r="AA893" s="12"/>
    </row>
    <row r="894" ht="13.5" customHeight="1">
      <c r="A894" s="17"/>
      <c r="B894" s="12"/>
      <c r="C894" s="12"/>
      <c r="D894" s="17"/>
      <c r="E894" s="12"/>
      <c r="F894" s="12"/>
      <c r="G894" s="17"/>
      <c r="H894" s="17"/>
      <c r="I894" s="12"/>
      <c r="J894" s="12"/>
      <c r="K894" s="12"/>
      <c r="L894" s="12"/>
      <c r="M894" s="12"/>
      <c r="N894" s="12"/>
      <c r="O894" s="12"/>
      <c r="P894" s="12"/>
      <c r="Q894" s="12"/>
      <c r="R894" s="12"/>
      <c r="S894" s="12"/>
      <c r="T894" s="12"/>
      <c r="U894" s="12"/>
      <c r="V894" s="12"/>
      <c r="W894" s="12"/>
      <c r="X894" s="12"/>
      <c r="Y894" s="12"/>
      <c r="Z894" s="12"/>
      <c r="AA894" s="12"/>
    </row>
    <row r="895" ht="13.5" customHeight="1">
      <c r="A895" s="17"/>
      <c r="B895" s="12"/>
      <c r="C895" s="12"/>
      <c r="D895" s="17"/>
      <c r="E895" s="12"/>
      <c r="F895" s="12"/>
      <c r="G895" s="17"/>
      <c r="H895" s="17"/>
      <c r="I895" s="12"/>
      <c r="J895" s="12"/>
      <c r="K895" s="12"/>
      <c r="L895" s="12"/>
      <c r="M895" s="12"/>
      <c r="N895" s="12"/>
      <c r="O895" s="12"/>
      <c r="P895" s="12"/>
      <c r="Q895" s="12"/>
      <c r="R895" s="12"/>
      <c r="S895" s="12"/>
      <c r="T895" s="12"/>
      <c r="U895" s="12"/>
      <c r="V895" s="12"/>
      <c r="W895" s="12"/>
      <c r="X895" s="12"/>
      <c r="Y895" s="12"/>
      <c r="Z895" s="12"/>
      <c r="AA895" s="12"/>
    </row>
    <row r="896" ht="13.5" customHeight="1">
      <c r="A896" s="17"/>
      <c r="B896" s="12"/>
      <c r="C896" s="12"/>
      <c r="D896" s="17"/>
      <c r="E896" s="12"/>
      <c r="F896" s="12"/>
      <c r="G896" s="17"/>
      <c r="H896" s="17"/>
      <c r="I896" s="12"/>
      <c r="J896" s="12"/>
      <c r="K896" s="12"/>
      <c r="L896" s="12"/>
      <c r="M896" s="12"/>
      <c r="N896" s="12"/>
      <c r="O896" s="12"/>
      <c r="P896" s="12"/>
      <c r="Q896" s="12"/>
      <c r="R896" s="12"/>
      <c r="S896" s="12"/>
      <c r="T896" s="12"/>
      <c r="U896" s="12"/>
      <c r="V896" s="12"/>
      <c r="W896" s="12"/>
      <c r="X896" s="12"/>
      <c r="Y896" s="12"/>
      <c r="Z896" s="12"/>
      <c r="AA896" s="12"/>
    </row>
    <row r="897" ht="13.5" customHeight="1">
      <c r="A897" s="17"/>
      <c r="B897" s="12"/>
      <c r="C897" s="12"/>
      <c r="D897" s="17"/>
      <c r="E897" s="12"/>
      <c r="F897" s="12"/>
      <c r="G897" s="17"/>
      <c r="H897" s="17"/>
      <c r="I897" s="12"/>
      <c r="J897" s="12"/>
      <c r="K897" s="12"/>
      <c r="L897" s="12"/>
      <c r="M897" s="12"/>
      <c r="N897" s="12"/>
      <c r="O897" s="12"/>
      <c r="P897" s="12"/>
      <c r="Q897" s="12"/>
      <c r="R897" s="12"/>
      <c r="S897" s="12"/>
      <c r="T897" s="12"/>
      <c r="U897" s="12"/>
      <c r="V897" s="12"/>
      <c r="W897" s="12"/>
      <c r="X897" s="12"/>
      <c r="Y897" s="12"/>
      <c r="Z897" s="12"/>
      <c r="AA897" s="12"/>
    </row>
    <row r="898" ht="13.5" customHeight="1">
      <c r="A898" s="17"/>
      <c r="B898" s="12"/>
      <c r="C898" s="12"/>
      <c r="D898" s="17"/>
      <c r="E898" s="12"/>
      <c r="F898" s="12"/>
      <c r="G898" s="17"/>
      <c r="H898" s="17"/>
      <c r="I898" s="12"/>
      <c r="J898" s="12"/>
      <c r="K898" s="12"/>
      <c r="L898" s="12"/>
      <c r="M898" s="12"/>
      <c r="N898" s="12"/>
      <c r="O898" s="12"/>
      <c r="P898" s="12"/>
      <c r="Q898" s="12"/>
      <c r="R898" s="12"/>
      <c r="S898" s="12"/>
      <c r="T898" s="12"/>
      <c r="U898" s="12"/>
      <c r="V898" s="12"/>
      <c r="W898" s="12"/>
      <c r="X898" s="12"/>
      <c r="Y898" s="12"/>
      <c r="Z898" s="12"/>
      <c r="AA898" s="12"/>
    </row>
    <row r="899" ht="13.5" customHeight="1">
      <c r="A899" s="17"/>
      <c r="B899" s="12"/>
      <c r="C899" s="12"/>
      <c r="D899" s="17"/>
      <c r="E899" s="12"/>
      <c r="F899" s="12"/>
      <c r="G899" s="17"/>
      <c r="H899" s="17"/>
      <c r="I899" s="12"/>
      <c r="J899" s="12"/>
      <c r="K899" s="12"/>
      <c r="L899" s="12"/>
      <c r="M899" s="12"/>
      <c r="N899" s="12"/>
      <c r="O899" s="12"/>
      <c r="P899" s="12"/>
      <c r="Q899" s="12"/>
      <c r="R899" s="12"/>
      <c r="S899" s="12"/>
      <c r="T899" s="12"/>
      <c r="U899" s="12"/>
      <c r="V899" s="12"/>
      <c r="W899" s="12"/>
      <c r="X899" s="12"/>
      <c r="Y899" s="12"/>
      <c r="Z899" s="12"/>
      <c r="AA899" s="12"/>
    </row>
    <row r="900" ht="13.5" customHeight="1">
      <c r="A900" s="17"/>
      <c r="B900" s="12"/>
      <c r="C900" s="12"/>
      <c r="D900" s="17"/>
      <c r="E900" s="12"/>
      <c r="F900" s="12"/>
      <c r="G900" s="17"/>
      <c r="H900" s="17"/>
      <c r="I900" s="12"/>
      <c r="J900" s="12"/>
      <c r="K900" s="12"/>
      <c r="L900" s="12"/>
      <c r="M900" s="12"/>
      <c r="N900" s="12"/>
      <c r="O900" s="12"/>
      <c r="P900" s="12"/>
      <c r="Q900" s="12"/>
      <c r="R900" s="12"/>
      <c r="S900" s="12"/>
      <c r="T900" s="12"/>
      <c r="U900" s="12"/>
      <c r="V900" s="12"/>
      <c r="W900" s="12"/>
      <c r="X900" s="12"/>
      <c r="Y900" s="12"/>
      <c r="Z900" s="12"/>
      <c r="AA900" s="12"/>
    </row>
    <row r="901" ht="13.5" customHeight="1">
      <c r="A901" s="17"/>
      <c r="B901" s="12"/>
      <c r="C901" s="12"/>
      <c r="D901" s="17"/>
      <c r="E901" s="12"/>
      <c r="F901" s="12"/>
      <c r="G901" s="17"/>
      <c r="H901" s="17"/>
      <c r="I901" s="12"/>
      <c r="J901" s="12"/>
      <c r="K901" s="12"/>
      <c r="L901" s="12"/>
      <c r="M901" s="12"/>
      <c r="N901" s="12"/>
      <c r="O901" s="12"/>
      <c r="P901" s="12"/>
      <c r="Q901" s="12"/>
      <c r="R901" s="12"/>
      <c r="S901" s="12"/>
      <c r="T901" s="12"/>
      <c r="U901" s="12"/>
      <c r="V901" s="12"/>
      <c r="W901" s="12"/>
      <c r="X901" s="12"/>
      <c r="Y901" s="12"/>
      <c r="Z901" s="12"/>
      <c r="AA901" s="12"/>
    </row>
    <row r="902" ht="13.5" customHeight="1">
      <c r="A902" s="17"/>
      <c r="B902" s="12"/>
      <c r="C902" s="12"/>
      <c r="D902" s="17"/>
      <c r="E902" s="12"/>
      <c r="F902" s="12"/>
      <c r="G902" s="17"/>
      <c r="H902" s="17"/>
      <c r="I902" s="12"/>
      <c r="J902" s="12"/>
      <c r="K902" s="12"/>
      <c r="L902" s="12"/>
      <c r="M902" s="12"/>
      <c r="N902" s="12"/>
      <c r="O902" s="12"/>
      <c r="P902" s="12"/>
      <c r="Q902" s="12"/>
      <c r="R902" s="12"/>
      <c r="S902" s="12"/>
      <c r="T902" s="12"/>
      <c r="U902" s="12"/>
      <c r="V902" s="12"/>
      <c r="W902" s="12"/>
      <c r="X902" s="12"/>
      <c r="Y902" s="12"/>
      <c r="Z902" s="12"/>
      <c r="AA902" s="12"/>
    </row>
    <row r="903" ht="13.5" customHeight="1">
      <c r="A903" s="17"/>
      <c r="B903" s="12"/>
      <c r="C903" s="12"/>
      <c r="D903" s="17"/>
      <c r="E903" s="12"/>
      <c r="F903" s="12"/>
      <c r="G903" s="17"/>
      <c r="H903" s="17"/>
      <c r="I903" s="12"/>
      <c r="J903" s="12"/>
      <c r="K903" s="12"/>
      <c r="L903" s="12"/>
      <c r="M903" s="12"/>
      <c r="N903" s="12"/>
      <c r="O903" s="12"/>
      <c r="P903" s="12"/>
      <c r="Q903" s="12"/>
      <c r="R903" s="12"/>
      <c r="S903" s="12"/>
      <c r="T903" s="12"/>
      <c r="U903" s="12"/>
      <c r="V903" s="12"/>
      <c r="W903" s="12"/>
      <c r="X903" s="12"/>
      <c r="Y903" s="12"/>
      <c r="Z903" s="12"/>
      <c r="AA903" s="12"/>
    </row>
    <row r="904" ht="13.5" customHeight="1">
      <c r="A904" s="17"/>
      <c r="B904" s="12"/>
      <c r="C904" s="12"/>
      <c r="D904" s="17"/>
      <c r="E904" s="12"/>
      <c r="F904" s="12"/>
      <c r="G904" s="17"/>
      <c r="H904" s="17"/>
      <c r="I904" s="12"/>
      <c r="J904" s="12"/>
      <c r="K904" s="12"/>
      <c r="L904" s="12"/>
      <c r="M904" s="12"/>
      <c r="N904" s="12"/>
      <c r="O904" s="12"/>
      <c r="P904" s="12"/>
      <c r="Q904" s="12"/>
      <c r="R904" s="12"/>
      <c r="S904" s="12"/>
      <c r="T904" s="12"/>
      <c r="U904" s="12"/>
      <c r="V904" s="12"/>
      <c r="W904" s="12"/>
      <c r="X904" s="12"/>
      <c r="Y904" s="12"/>
      <c r="Z904" s="12"/>
      <c r="AA904" s="12"/>
    </row>
    <row r="905" ht="13.5" customHeight="1">
      <c r="A905" s="17"/>
      <c r="B905" s="12"/>
      <c r="C905" s="12"/>
      <c r="D905" s="17"/>
      <c r="E905" s="12"/>
      <c r="F905" s="12"/>
      <c r="G905" s="17"/>
      <c r="H905" s="17"/>
      <c r="I905" s="12"/>
      <c r="J905" s="12"/>
      <c r="K905" s="12"/>
      <c r="L905" s="12"/>
      <c r="M905" s="12"/>
      <c r="N905" s="12"/>
      <c r="O905" s="12"/>
      <c r="P905" s="12"/>
      <c r="Q905" s="12"/>
      <c r="R905" s="12"/>
      <c r="S905" s="12"/>
      <c r="T905" s="12"/>
      <c r="U905" s="12"/>
      <c r="V905" s="12"/>
      <c r="W905" s="12"/>
      <c r="X905" s="12"/>
      <c r="Y905" s="12"/>
      <c r="Z905" s="12"/>
      <c r="AA905" s="12"/>
    </row>
    <row r="906" ht="13.5" customHeight="1">
      <c r="A906" s="17"/>
      <c r="B906" s="12"/>
      <c r="C906" s="12"/>
      <c r="D906" s="17"/>
      <c r="E906" s="12"/>
      <c r="F906" s="12"/>
      <c r="G906" s="17"/>
      <c r="H906" s="17"/>
      <c r="I906" s="12"/>
      <c r="J906" s="12"/>
      <c r="K906" s="12"/>
      <c r="L906" s="12"/>
      <c r="M906" s="12"/>
      <c r="N906" s="12"/>
      <c r="O906" s="12"/>
      <c r="P906" s="12"/>
      <c r="Q906" s="12"/>
      <c r="R906" s="12"/>
      <c r="S906" s="12"/>
      <c r="T906" s="12"/>
      <c r="U906" s="12"/>
      <c r="V906" s="12"/>
      <c r="W906" s="12"/>
      <c r="X906" s="12"/>
      <c r="Y906" s="12"/>
      <c r="Z906" s="12"/>
      <c r="AA906" s="12"/>
    </row>
    <row r="907" ht="13.5" customHeight="1">
      <c r="A907" s="17"/>
      <c r="B907" s="12"/>
      <c r="C907" s="12"/>
      <c r="D907" s="17"/>
      <c r="E907" s="12"/>
      <c r="F907" s="12"/>
      <c r="G907" s="17"/>
      <c r="H907" s="17"/>
      <c r="I907" s="12"/>
      <c r="J907" s="12"/>
      <c r="K907" s="12"/>
      <c r="L907" s="12"/>
      <c r="M907" s="12"/>
      <c r="N907" s="12"/>
      <c r="O907" s="12"/>
      <c r="P907" s="12"/>
      <c r="Q907" s="12"/>
      <c r="R907" s="12"/>
      <c r="S907" s="12"/>
      <c r="T907" s="12"/>
      <c r="U907" s="12"/>
      <c r="V907" s="12"/>
      <c r="W907" s="12"/>
      <c r="X907" s="12"/>
      <c r="Y907" s="12"/>
      <c r="Z907" s="12"/>
      <c r="AA907" s="12"/>
    </row>
    <row r="908" ht="13.5" customHeight="1">
      <c r="A908" s="17"/>
      <c r="B908" s="12"/>
      <c r="C908" s="12"/>
      <c r="D908" s="17"/>
      <c r="E908" s="12"/>
      <c r="F908" s="12"/>
      <c r="G908" s="17"/>
      <c r="H908" s="17"/>
      <c r="I908" s="12"/>
      <c r="J908" s="12"/>
      <c r="K908" s="12"/>
      <c r="L908" s="12"/>
      <c r="M908" s="12"/>
      <c r="N908" s="12"/>
      <c r="O908" s="12"/>
      <c r="P908" s="12"/>
      <c r="Q908" s="12"/>
      <c r="R908" s="12"/>
      <c r="S908" s="12"/>
      <c r="T908" s="12"/>
      <c r="U908" s="12"/>
      <c r="V908" s="12"/>
      <c r="W908" s="12"/>
      <c r="X908" s="12"/>
      <c r="Y908" s="12"/>
      <c r="Z908" s="12"/>
      <c r="AA908" s="12"/>
    </row>
    <row r="909" ht="13.5" customHeight="1">
      <c r="A909" s="17"/>
      <c r="B909" s="12"/>
      <c r="C909" s="12"/>
      <c r="D909" s="17"/>
      <c r="E909" s="12"/>
      <c r="F909" s="12"/>
      <c r="G909" s="17"/>
      <c r="H909" s="17"/>
      <c r="I909" s="12"/>
      <c r="J909" s="12"/>
      <c r="K909" s="12"/>
      <c r="L909" s="12"/>
      <c r="M909" s="12"/>
      <c r="N909" s="12"/>
      <c r="O909" s="12"/>
      <c r="P909" s="12"/>
      <c r="Q909" s="12"/>
      <c r="R909" s="12"/>
      <c r="S909" s="12"/>
      <c r="T909" s="12"/>
      <c r="U909" s="12"/>
      <c r="V909" s="12"/>
      <c r="W909" s="12"/>
      <c r="X909" s="12"/>
      <c r="Y909" s="12"/>
      <c r="Z909" s="12"/>
      <c r="AA909" s="12"/>
    </row>
    <row r="910" ht="13.5" customHeight="1">
      <c r="A910" s="17"/>
      <c r="B910" s="12"/>
      <c r="C910" s="12"/>
      <c r="D910" s="17"/>
      <c r="E910" s="12"/>
      <c r="F910" s="12"/>
      <c r="G910" s="17"/>
      <c r="H910" s="17"/>
      <c r="I910" s="12"/>
      <c r="J910" s="12"/>
      <c r="K910" s="12"/>
      <c r="L910" s="12"/>
      <c r="M910" s="12"/>
      <c r="N910" s="12"/>
      <c r="O910" s="12"/>
      <c r="P910" s="12"/>
      <c r="Q910" s="12"/>
      <c r="R910" s="12"/>
      <c r="S910" s="12"/>
      <c r="T910" s="12"/>
      <c r="U910" s="12"/>
      <c r="V910" s="12"/>
      <c r="W910" s="12"/>
      <c r="X910" s="12"/>
      <c r="Y910" s="12"/>
      <c r="Z910" s="12"/>
      <c r="AA910" s="12"/>
    </row>
    <row r="911" ht="13.5" customHeight="1">
      <c r="A911" s="17"/>
      <c r="B911" s="12"/>
      <c r="C911" s="12"/>
      <c r="D911" s="17"/>
      <c r="E911" s="12"/>
      <c r="F911" s="12"/>
      <c r="G911" s="17"/>
      <c r="H911" s="17"/>
      <c r="I911" s="12"/>
      <c r="J911" s="12"/>
      <c r="K911" s="12"/>
      <c r="L911" s="12"/>
      <c r="M911" s="12"/>
      <c r="N911" s="12"/>
      <c r="O911" s="12"/>
      <c r="P911" s="12"/>
      <c r="Q911" s="12"/>
      <c r="R911" s="12"/>
      <c r="S911" s="12"/>
      <c r="T911" s="12"/>
      <c r="U911" s="12"/>
      <c r="V911" s="12"/>
      <c r="W911" s="12"/>
      <c r="X911" s="12"/>
      <c r="Y911" s="12"/>
      <c r="Z911" s="12"/>
      <c r="AA911" s="12"/>
    </row>
    <row r="912" ht="13.5" customHeight="1">
      <c r="A912" s="17"/>
      <c r="B912" s="12"/>
      <c r="C912" s="12"/>
      <c r="D912" s="17"/>
      <c r="E912" s="12"/>
      <c r="F912" s="12"/>
      <c r="G912" s="17"/>
      <c r="H912" s="17"/>
      <c r="I912" s="12"/>
      <c r="J912" s="12"/>
      <c r="K912" s="12"/>
      <c r="L912" s="12"/>
      <c r="M912" s="12"/>
      <c r="N912" s="12"/>
      <c r="O912" s="12"/>
      <c r="P912" s="12"/>
      <c r="Q912" s="12"/>
      <c r="R912" s="12"/>
      <c r="S912" s="12"/>
      <c r="T912" s="12"/>
      <c r="U912" s="12"/>
      <c r="V912" s="12"/>
      <c r="W912" s="12"/>
      <c r="X912" s="12"/>
      <c r="Y912" s="12"/>
      <c r="Z912" s="12"/>
      <c r="AA912" s="12"/>
    </row>
    <row r="913" ht="13.5" customHeight="1">
      <c r="A913" s="17"/>
      <c r="B913" s="12"/>
      <c r="C913" s="12"/>
      <c r="D913" s="17"/>
      <c r="E913" s="12"/>
      <c r="F913" s="12"/>
      <c r="G913" s="17"/>
      <c r="H913" s="17"/>
      <c r="I913" s="12"/>
      <c r="J913" s="12"/>
      <c r="K913" s="12"/>
      <c r="L913" s="12"/>
      <c r="M913" s="12"/>
      <c r="N913" s="12"/>
      <c r="O913" s="12"/>
      <c r="P913" s="12"/>
      <c r="Q913" s="12"/>
      <c r="R913" s="12"/>
      <c r="S913" s="12"/>
      <c r="T913" s="12"/>
      <c r="U913" s="12"/>
      <c r="V913" s="12"/>
      <c r="W913" s="12"/>
      <c r="X913" s="12"/>
      <c r="Y913" s="12"/>
      <c r="Z913" s="12"/>
      <c r="AA913" s="12"/>
    </row>
    <row r="914" ht="13.5" customHeight="1">
      <c r="A914" s="17"/>
      <c r="B914" s="12"/>
      <c r="C914" s="12"/>
      <c r="D914" s="17"/>
      <c r="E914" s="12"/>
      <c r="F914" s="12"/>
      <c r="G914" s="17"/>
      <c r="H914" s="17"/>
      <c r="I914" s="12"/>
      <c r="J914" s="12"/>
      <c r="K914" s="12"/>
      <c r="L914" s="12"/>
      <c r="M914" s="12"/>
      <c r="N914" s="12"/>
      <c r="O914" s="12"/>
      <c r="P914" s="12"/>
      <c r="Q914" s="12"/>
      <c r="R914" s="12"/>
      <c r="S914" s="12"/>
      <c r="T914" s="12"/>
      <c r="U914" s="12"/>
      <c r="V914" s="12"/>
      <c r="W914" s="12"/>
      <c r="X914" s="12"/>
      <c r="Y914" s="12"/>
      <c r="Z914" s="12"/>
      <c r="AA914" s="12"/>
    </row>
    <row r="915" ht="13.5" customHeight="1">
      <c r="A915" s="17"/>
      <c r="B915" s="12"/>
      <c r="C915" s="12"/>
      <c r="D915" s="17"/>
      <c r="E915" s="12"/>
      <c r="F915" s="12"/>
      <c r="G915" s="17"/>
      <c r="H915" s="17"/>
      <c r="I915" s="12"/>
      <c r="J915" s="12"/>
      <c r="K915" s="12"/>
      <c r="L915" s="12"/>
      <c r="M915" s="12"/>
      <c r="N915" s="12"/>
      <c r="O915" s="12"/>
      <c r="P915" s="12"/>
      <c r="Q915" s="12"/>
      <c r="R915" s="12"/>
      <c r="S915" s="12"/>
      <c r="T915" s="12"/>
      <c r="U915" s="12"/>
      <c r="V915" s="12"/>
      <c r="W915" s="12"/>
      <c r="X915" s="12"/>
      <c r="Y915" s="12"/>
      <c r="Z915" s="12"/>
      <c r="AA915" s="12"/>
    </row>
    <row r="916" ht="13.5" customHeight="1">
      <c r="A916" s="17"/>
      <c r="B916" s="12"/>
      <c r="C916" s="12"/>
      <c r="D916" s="17"/>
      <c r="E916" s="12"/>
      <c r="F916" s="12"/>
      <c r="G916" s="17"/>
      <c r="H916" s="17"/>
      <c r="I916" s="12"/>
      <c r="J916" s="12"/>
      <c r="K916" s="12"/>
      <c r="L916" s="12"/>
      <c r="M916" s="12"/>
      <c r="N916" s="12"/>
      <c r="O916" s="12"/>
      <c r="P916" s="12"/>
      <c r="Q916" s="12"/>
      <c r="R916" s="12"/>
      <c r="S916" s="12"/>
      <c r="T916" s="12"/>
      <c r="U916" s="12"/>
      <c r="V916" s="12"/>
      <c r="W916" s="12"/>
      <c r="X916" s="12"/>
      <c r="Y916" s="12"/>
      <c r="Z916" s="12"/>
      <c r="AA916" s="12"/>
    </row>
    <row r="917" ht="13.5" customHeight="1">
      <c r="A917" s="17"/>
      <c r="B917" s="12"/>
      <c r="C917" s="12"/>
      <c r="D917" s="17"/>
      <c r="E917" s="12"/>
      <c r="F917" s="12"/>
      <c r="G917" s="17"/>
      <c r="H917" s="17"/>
      <c r="I917" s="12"/>
      <c r="J917" s="12"/>
      <c r="K917" s="12"/>
      <c r="L917" s="12"/>
      <c r="M917" s="12"/>
      <c r="N917" s="12"/>
      <c r="O917" s="12"/>
      <c r="P917" s="12"/>
      <c r="Q917" s="12"/>
      <c r="R917" s="12"/>
      <c r="S917" s="12"/>
      <c r="T917" s="12"/>
      <c r="U917" s="12"/>
      <c r="V917" s="12"/>
      <c r="W917" s="12"/>
      <c r="X917" s="12"/>
      <c r="Y917" s="12"/>
      <c r="Z917" s="12"/>
      <c r="AA917" s="12"/>
    </row>
    <row r="918" ht="13.5" customHeight="1">
      <c r="A918" s="17"/>
      <c r="B918" s="12"/>
      <c r="C918" s="12"/>
      <c r="D918" s="17"/>
      <c r="E918" s="12"/>
      <c r="F918" s="12"/>
      <c r="G918" s="17"/>
      <c r="H918" s="17"/>
      <c r="I918" s="12"/>
      <c r="J918" s="12"/>
      <c r="K918" s="12"/>
      <c r="L918" s="12"/>
      <c r="M918" s="12"/>
      <c r="N918" s="12"/>
      <c r="O918" s="12"/>
      <c r="P918" s="12"/>
      <c r="Q918" s="12"/>
      <c r="R918" s="12"/>
      <c r="S918" s="12"/>
      <c r="T918" s="12"/>
      <c r="U918" s="12"/>
      <c r="V918" s="12"/>
      <c r="W918" s="12"/>
      <c r="X918" s="12"/>
      <c r="Y918" s="12"/>
      <c r="Z918" s="12"/>
      <c r="AA918" s="12"/>
    </row>
    <row r="919" ht="13.5" customHeight="1">
      <c r="A919" s="17"/>
      <c r="B919" s="12"/>
      <c r="C919" s="12"/>
      <c r="D919" s="17"/>
      <c r="E919" s="12"/>
      <c r="F919" s="12"/>
      <c r="G919" s="17"/>
      <c r="H919" s="17"/>
      <c r="I919" s="12"/>
      <c r="J919" s="12"/>
      <c r="K919" s="12"/>
      <c r="L919" s="12"/>
      <c r="M919" s="12"/>
      <c r="N919" s="12"/>
      <c r="O919" s="12"/>
      <c r="P919" s="12"/>
      <c r="Q919" s="12"/>
      <c r="R919" s="12"/>
      <c r="S919" s="12"/>
      <c r="T919" s="12"/>
      <c r="U919" s="12"/>
      <c r="V919" s="12"/>
      <c r="W919" s="12"/>
      <c r="X919" s="12"/>
      <c r="Y919" s="12"/>
      <c r="Z919" s="12"/>
      <c r="AA919" s="12"/>
    </row>
    <row r="920" ht="13.5" customHeight="1">
      <c r="A920" s="17"/>
      <c r="B920" s="12"/>
      <c r="C920" s="12"/>
      <c r="D920" s="17"/>
      <c r="E920" s="12"/>
      <c r="F920" s="12"/>
      <c r="G920" s="17"/>
      <c r="H920" s="17"/>
      <c r="I920" s="12"/>
      <c r="J920" s="12"/>
      <c r="K920" s="12"/>
      <c r="L920" s="12"/>
      <c r="M920" s="12"/>
      <c r="N920" s="12"/>
      <c r="O920" s="12"/>
      <c r="P920" s="12"/>
      <c r="Q920" s="12"/>
      <c r="R920" s="12"/>
      <c r="S920" s="12"/>
      <c r="T920" s="12"/>
      <c r="U920" s="12"/>
      <c r="V920" s="12"/>
      <c r="W920" s="12"/>
      <c r="X920" s="12"/>
      <c r="Y920" s="12"/>
      <c r="Z920" s="12"/>
      <c r="AA920" s="12"/>
    </row>
    <row r="921" ht="13.5" customHeight="1">
      <c r="A921" s="17"/>
      <c r="B921" s="12"/>
      <c r="C921" s="12"/>
      <c r="D921" s="17"/>
      <c r="E921" s="12"/>
      <c r="F921" s="12"/>
      <c r="G921" s="17"/>
      <c r="H921" s="17"/>
      <c r="I921" s="12"/>
      <c r="J921" s="12"/>
      <c r="K921" s="12"/>
      <c r="L921" s="12"/>
      <c r="M921" s="12"/>
      <c r="N921" s="12"/>
      <c r="O921" s="12"/>
      <c r="P921" s="12"/>
      <c r="Q921" s="12"/>
      <c r="R921" s="12"/>
      <c r="S921" s="12"/>
      <c r="T921" s="12"/>
      <c r="U921" s="12"/>
      <c r="V921" s="12"/>
      <c r="W921" s="12"/>
      <c r="X921" s="12"/>
      <c r="Y921" s="12"/>
      <c r="Z921" s="12"/>
      <c r="AA921" s="12"/>
    </row>
    <row r="922" ht="13.5" customHeight="1">
      <c r="A922" s="17"/>
      <c r="B922" s="12"/>
      <c r="C922" s="12"/>
      <c r="D922" s="17"/>
      <c r="E922" s="12"/>
      <c r="F922" s="12"/>
      <c r="G922" s="17"/>
      <c r="H922" s="17"/>
      <c r="I922" s="12"/>
      <c r="J922" s="12"/>
      <c r="K922" s="12"/>
      <c r="L922" s="12"/>
      <c r="M922" s="12"/>
      <c r="N922" s="12"/>
      <c r="O922" s="12"/>
      <c r="P922" s="12"/>
      <c r="Q922" s="12"/>
      <c r="R922" s="12"/>
      <c r="S922" s="12"/>
      <c r="T922" s="12"/>
      <c r="U922" s="12"/>
      <c r="V922" s="12"/>
      <c r="W922" s="12"/>
      <c r="X922" s="12"/>
      <c r="Y922" s="12"/>
      <c r="Z922" s="12"/>
      <c r="AA922" s="12"/>
    </row>
    <row r="923" ht="13.5" customHeight="1">
      <c r="A923" s="17"/>
      <c r="B923" s="12"/>
      <c r="C923" s="12"/>
      <c r="D923" s="17"/>
      <c r="E923" s="12"/>
      <c r="F923" s="12"/>
      <c r="G923" s="17"/>
      <c r="H923" s="17"/>
      <c r="I923" s="12"/>
      <c r="J923" s="12"/>
      <c r="K923" s="12"/>
      <c r="L923" s="12"/>
      <c r="M923" s="12"/>
      <c r="N923" s="12"/>
      <c r="O923" s="12"/>
      <c r="P923" s="12"/>
      <c r="Q923" s="12"/>
      <c r="R923" s="12"/>
      <c r="S923" s="12"/>
      <c r="T923" s="12"/>
      <c r="U923" s="12"/>
      <c r="V923" s="12"/>
      <c r="W923" s="12"/>
      <c r="X923" s="12"/>
      <c r="Y923" s="12"/>
      <c r="Z923" s="12"/>
      <c r="AA923" s="12"/>
    </row>
    <row r="924" ht="13.5" customHeight="1">
      <c r="A924" s="17"/>
      <c r="B924" s="12"/>
      <c r="C924" s="12"/>
      <c r="D924" s="17"/>
      <c r="E924" s="12"/>
      <c r="F924" s="12"/>
      <c r="G924" s="17"/>
      <c r="H924" s="17"/>
      <c r="I924" s="12"/>
      <c r="J924" s="12"/>
      <c r="K924" s="12"/>
      <c r="L924" s="12"/>
      <c r="M924" s="12"/>
      <c r="N924" s="12"/>
      <c r="O924" s="12"/>
      <c r="P924" s="12"/>
      <c r="Q924" s="12"/>
      <c r="R924" s="12"/>
      <c r="S924" s="12"/>
      <c r="T924" s="12"/>
      <c r="U924" s="12"/>
      <c r="V924" s="12"/>
      <c r="W924" s="12"/>
      <c r="X924" s="12"/>
      <c r="Y924" s="12"/>
      <c r="Z924" s="12"/>
      <c r="AA924" s="12"/>
    </row>
    <row r="925" ht="13.5" customHeight="1">
      <c r="A925" s="17"/>
      <c r="B925" s="12"/>
      <c r="C925" s="12"/>
      <c r="D925" s="17"/>
      <c r="E925" s="12"/>
      <c r="F925" s="12"/>
      <c r="G925" s="17"/>
      <c r="H925" s="17"/>
      <c r="I925" s="12"/>
      <c r="J925" s="12"/>
      <c r="K925" s="12"/>
      <c r="L925" s="12"/>
      <c r="M925" s="12"/>
      <c r="N925" s="12"/>
      <c r="O925" s="12"/>
      <c r="P925" s="12"/>
      <c r="Q925" s="12"/>
      <c r="R925" s="12"/>
      <c r="S925" s="12"/>
      <c r="T925" s="12"/>
      <c r="U925" s="12"/>
      <c r="V925" s="12"/>
      <c r="W925" s="12"/>
      <c r="X925" s="12"/>
      <c r="Y925" s="12"/>
      <c r="Z925" s="12"/>
      <c r="AA925" s="12"/>
    </row>
    <row r="926" ht="13.5" customHeight="1">
      <c r="A926" s="17"/>
      <c r="B926" s="12"/>
      <c r="C926" s="12"/>
      <c r="D926" s="17"/>
      <c r="E926" s="12"/>
      <c r="F926" s="12"/>
      <c r="G926" s="17"/>
      <c r="H926" s="17"/>
      <c r="I926" s="12"/>
      <c r="J926" s="12"/>
      <c r="K926" s="12"/>
      <c r="L926" s="12"/>
      <c r="M926" s="12"/>
      <c r="N926" s="12"/>
      <c r="O926" s="12"/>
      <c r="P926" s="12"/>
      <c r="Q926" s="12"/>
      <c r="R926" s="12"/>
      <c r="S926" s="12"/>
      <c r="T926" s="12"/>
      <c r="U926" s="12"/>
      <c r="V926" s="12"/>
      <c r="W926" s="12"/>
      <c r="X926" s="12"/>
      <c r="Y926" s="12"/>
      <c r="Z926" s="12"/>
      <c r="AA926" s="12"/>
    </row>
    <row r="927" ht="13.5" customHeight="1">
      <c r="A927" s="17"/>
      <c r="B927" s="12"/>
      <c r="C927" s="12"/>
      <c r="D927" s="17"/>
      <c r="E927" s="12"/>
      <c r="F927" s="12"/>
      <c r="G927" s="17"/>
      <c r="H927" s="17"/>
      <c r="I927" s="12"/>
      <c r="J927" s="12"/>
      <c r="K927" s="12"/>
      <c r="L927" s="12"/>
      <c r="M927" s="12"/>
      <c r="N927" s="12"/>
      <c r="O927" s="12"/>
      <c r="P927" s="12"/>
      <c r="Q927" s="12"/>
      <c r="R927" s="12"/>
      <c r="S927" s="12"/>
      <c r="T927" s="12"/>
      <c r="U927" s="12"/>
      <c r="V927" s="12"/>
      <c r="W927" s="12"/>
      <c r="X927" s="12"/>
      <c r="Y927" s="12"/>
      <c r="Z927" s="12"/>
      <c r="AA927" s="12"/>
    </row>
    <row r="928" ht="13.5" customHeight="1">
      <c r="A928" s="17"/>
      <c r="B928" s="12"/>
      <c r="C928" s="12"/>
      <c r="D928" s="17"/>
      <c r="E928" s="12"/>
      <c r="F928" s="12"/>
      <c r="G928" s="17"/>
      <c r="H928" s="17"/>
      <c r="I928" s="12"/>
      <c r="J928" s="12"/>
      <c r="K928" s="12"/>
      <c r="L928" s="12"/>
      <c r="M928" s="12"/>
      <c r="N928" s="12"/>
      <c r="O928" s="12"/>
      <c r="P928" s="12"/>
      <c r="Q928" s="12"/>
      <c r="R928" s="12"/>
      <c r="S928" s="12"/>
      <c r="T928" s="12"/>
      <c r="U928" s="12"/>
      <c r="V928" s="12"/>
      <c r="W928" s="12"/>
      <c r="X928" s="12"/>
      <c r="Y928" s="12"/>
      <c r="Z928" s="12"/>
      <c r="AA928" s="12"/>
    </row>
    <row r="929" ht="13.5" customHeight="1">
      <c r="A929" s="17"/>
      <c r="B929" s="12"/>
      <c r="C929" s="12"/>
      <c r="D929" s="17"/>
      <c r="E929" s="12"/>
      <c r="F929" s="12"/>
      <c r="G929" s="17"/>
      <c r="H929" s="17"/>
      <c r="I929" s="12"/>
      <c r="J929" s="12"/>
      <c r="K929" s="12"/>
      <c r="L929" s="12"/>
      <c r="M929" s="12"/>
      <c r="N929" s="12"/>
      <c r="O929" s="12"/>
      <c r="P929" s="12"/>
      <c r="Q929" s="12"/>
      <c r="R929" s="12"/>
      <c r="S929" s="12"/>
      <c r="T929" s="12"/>
      <c r="U929" s="12"/>
      <c r="V929" s="12"/>
      <c r="W929" s="12"/>
      <c r="X929" s="12"/>
      <c r="Y929" s="12"/>
      <c r="Z929" s="12"/>
      <c r="AA929" s="12"/>
    </row>
    <row r="930" ht="13.5" customHeight="1">
      <c r="A930" s="17"/>
      <c r="B930" s="12"/>
      <c r="C930" s="12"/>
      <c r="D930" s="17"/>
      <c r="E930" s="12"/>
      <c r="F930" s="12"/>
      <c r="G930" s="17"/>
      <c r="H930" s="17"/>
      <c r="I930" s="12"/>
      <c r="J930" s="12"/>
      <c r="K930" s="12"/>
      <c r="L930" s="12"/>
      <c r="M930" s="12"/>
      <c r="N930" s="12"/>
      <c r="O930" s="12"/>
      <c r="P930" s="12"/>
      <c r="Q930" s="12"/>
      <c r="R930" s="12"/>
      <c r="S930" s="12"/>
      <c r="T930" s="12"/>
      <c r="U930" s="12"/>
      <c r="V930" s="12"/>
      <c r="W930" s="12"/>
      <c r="X930" s="12"/>
      <c r="Y930" s="12"/>
      <c r="Z930" s="12"/>
      <c r="AA930" s="12"/>
    </row>
    <row r="931" ht="13.5" customHeight="1">
      <c r="A931" s="17"/>
      <c r="B931" s="12"/>
      <c r="C931" s="12"/>
      <c r="D931" s="17"/>
      <c r="E931" s="12"/>
      <c r="F931" s="12"/>
      <c r="G931" s="17"/>
      <c r="H931" s="17"/>
      <c r="I931" s="12"/>
      <c r="J931" s="12"/>
      <c r="K931" s="12"/>
      <c r="L931" s="12"/>
      <c r="M931" s="12"/>
      <c r="N931" s="12"/>
      <c r="O931" s="12"/>
      <c r="P931" s="12"/>
      <c r="Q931" s="12"/>
      <c r="R931" s="12"/>
      <c r="S931" s="12"/>
      <c r="T931" s="12"/>
      <c r="U931" s="12"/>
      <c r="V931" s="12"/>
      <c r="W931" s="12"/>
      <c r="X931" s="12"/>
      <c r="Y931" s="12"/>
      <c r="Z931" s="12"/>
      <c r="AA931" s="12"/>
    </row>
    <row r="932" ht="13.5" customHeight="1">
      <c r="A932" s="17"/>
      <c r="B932" s="12"/>
      <c r="C932" s="12"/>
      <c r="D932" s="17"/>
      <c r="E932" s="12"/>
      <c r="F932" s="12"/>
      <c r="G932" s="17"/>
      <c r="H932" s="17"/>
      <c r="I932" s="12"/>
      <c r="J932" s="12"/>
      <c r="K932" s="12"/>
      <c r="L932" s="12"/>
      <c r="M932" s="12"/>
      <c r="N932" s="12"/>
      <c r="O932" s="12"/>
      <c r="P932" s="12"/>
      <c r="Q932" s="12"/>
      <c r="R932" s="12"/>
      <c r="S932" s="12"/>
      <c r="T932" s="12"/>
      <c r="U932" s="12"/>
      <c r="V932" s="12"/>
      <c r="W932" s="12"/>
      <c r="X932" s="12"/>
      <c r="Y932" s="12"/>
      <c r="Z932" s="12"/>
      <c r="AA932" s="12"/>
    </row>
    <row r="933" ht="13.5" customHeight="1">
      <c r="A933" s="17"/>
      <c r="B933" s="12"/>
      <c r="C933" s="12"/>
      <c r="D933" s="17"/>
      <c r="E933" s="12"/>
      <c r="F933" s="12"/>
      <c r="G933" s="17"/>
      <c r="H933" s="17"/>
      <c r="I933" s="12"/>
      <c r="J933" s="12"/>
      <c r="K933" s="12"/>
      <c r="L933" s="12"/>
      <c r="M933" s="12"/>
      <c r="N933" s="12"/>
      <c r="O933" s="12"/>
      <c r="P933" s="12"/>
      <c r="Q933" s="12"/>
      <c r="R933" s="12"/>
      <c r="S933" s="12"/>
      <c r="T933" s="12"/>
      <c r="U933" s="12"/>
      <c r="V933" s="12"/>
      <c r="W933" s="12"/>
      <c r="X933" s="12"/>
      <c r="Y933" s="12"/>
      <c r="Z933" s="12"/>
      <c r="AA933" s="12"/>
    </row>
    <row r="934" ht="13.5" customHeight="1">
      <c r="A934" s="17"/>
      <c r="B934" s="12"/>
      <c r="C934" s="12"/>
      <c r="D934" s="17"/>
      <c r="E934" s="12"/>
      <c r="F934" s="12"/>
      <c r="G934" s="17"/>
      <c r="H934" s="17"/>
      <c r="I934" s="12"/>
      <c r="J934" s="12"/>
      <c r="K934" s="12"/>
      <c r="L934" s="12"/>
      <c r="M934" s="12"/>
      <c r="N934" s="12"/>
      <c r="O934" s="12"/>
      <c r="P934" s="12"/>
      <c r="Q934" s="12"/>
      <c r="R934" s="12"/>
      <c r="S934" s="12"/>
      <c r="T934" s="12"/>
      <c r="U934" s="12"/>
      <c r="V934" s="12"/>
      <c r="W934" s="12"/>
      <c r="X934" s="12"/>
      <c r="Y934" s="12"/>
      <c r="Z934" s="12"/>
      <c r="AA934" s="12"/>
    </row>
    <row r="935" ht="13.5" customHeight="1">
      <c r="A935" s="17"/>
      <c r="B935" s="12"/>
      <c r="C935" s="12"/>
      <c r="D935" s="17"/>
      <c r="E935" s="12"/>
      <c r="F935" s="12"/>
      <c r="G935" s="17"/>
      <c r="H935" s="17"/>
      <c r="I935" s="12"/>
      <c r="J935" s="12"/>
      <c r="K935" s="12"/>
      <c r="L935" s="12"/>
      <c r="M935" s="12"/>
      <c r="N935" s="12"/>
      <c r="O935" s="12"/>
      <c r="P935" s="12"/>
      <c r="Q935" s="12"/>
      <c r="R935" s="12"/>
      <c r="S935" s="12"/>
      <c r="T935" s="12"/>
      <c r="U935" s="12"/>
      <c r="V935" s="12"/>
      <c r="W935" s="12"/>
      <c r="X935" s="12"/>
      <c r="Y935" s="12"/>
      <c r="Z935" s="12"/>
      <c r="AA935" s="12"/>
    </row>
    <row r="936" ht="13.5" customHeight="1">
      <c r="A936" s="17"/>
      <c r="B936" s="12"/>
      <c r="C936" s="12"/>
      <c r="D936" s="17"/>
      <c r="E936" s="12"/>
      <c r="F936" s="12"/>
      <c r="G936" s="17"/>
      <c r="H936" s="17"/>
      <c r="I936" s="12"/>
      <c r="J936" s="12"/>
      <c r="K936" s="12"/>
      <c r="L936" s="12"/>
      <c r="M936" s="12"/>
      <c r="N936" s="12"/>
      <c r="O936" s="12"/>
      <c r="P936" s="12"/>
      <c r="Q936" s="12"/>
      <c r="R936" s="12"/>
      <c r="S936" s="12"/>
      <c r="T936" s="12"/>
      <c r="U936" s="12"/>
      <c r="V936" s="12"/>
      <c r="W936" s="12"/>
      <c r="X936" s="12"/>
      <c r="Y936" s="12"/>
      <c r="Z936" s="12"/>
      <c r="AA936" s="12"/>
    </row>
    <row r="937" ht="13.5" customHeight="1">
      <c r="A937" s="17"/>
      <c r="B937" s="12"/>
      <c r="C937" s="12"/>
      <c r="D937" s="17"/>
      <c r="E937" s="12"/>
      <c r="F937" s="12"/>
      <c r="G937" s="17"/>
      <c r="H937" s="17"/>
      <c r="I937" s="12"/>
      <c r="J937" s="12"/>
      <c r="K937" s="12"/>
      <c r="L937" s="12"/>
      <c r="M937" s="12"/>
      <c r="N937" s="12"/>
      <c r="O937" s="12"/>
      <c r="P937" s="12"/>
      <c r="Q937" s="12"/>
      <c r="R937" s="12"/>
      <c r="S937" s="12"/>
      <c r="T937" s="12"/>
      <c r="U937" s="12"/>
      <c r="V937" s="12"/>
      <c r="W937" s="12"/>
      <c r="X937" s="12"/>
      <c r="Y937" s="12"/>
      <c r="Z937" s="12"/>
      <c r="AA937" s="12"/>
    </row>
    <row r="938" ht="13.5" customHeight="1">
      <c r="A938" s="17"/>
      <c r="B938" s="12"/>
      <c r="C938" s="12"/>
      <c r="D938" s="17"/>
      <c r="E938" s="12"/>
      <c r="F938" s="12"/>
      <c r="G938" s="17"/>
      <c r="H938" s="17"/>
      <c r="I938" s="12"/>
      <c r="J938" s="12"/>
      <c r="K938" s="12"/>
      <c r="L938" s="12"/>
      <c r="M938" s="12"/>
      <c r="N938" s="12"/>
      <c r="O938" s="12"/>
      <c r="P938" s="12"/>
      <c r="Q938" s="12"/>
      <c r="R938" s="12"/>
      <c r="S938" s="12"/>
      <c r="T938" s="12"/>
      <c r="U938" s="12"/>
      <c r="V938" s="12"/>
      <c r="W938" s="12"/>
      <c r="X938" s="12"/>
      <c r="Y938" s="12"/>
      <c r="Z938" s="12"/>
      <c r="AA938" s="12"/>
    </row>
    <row r="939" ht="13.5" customHeight="1">
      <c r="A939" s="17"/>
      <c r="B939" s="12"/>
      <c r="C939" s="12"/>
      <c r="D939" s="17"/>
      <c r="E939" s="12"/>
      <c r="F939" s="12"/>
      <c r="G939" s="17"/>
      <c r="H939" s="17"/>
      <c r="I939" s="12"/>
      <c r="J939" s="12"/>
      <c r="K939" s="12"/>
      <c r="L939" s="12"/>
      <c r="M939" s="12"/>
      <c r="N939" s="12"/>
      <c r="O939" s="12"/>
      <c r="P939" s="12"/>
      <c r="Q939" s="12"/>
      <c r="R939" s="12"/>
      <c r="S939" s="12"/>
      <c r="T939" s="12"/>
      <c r="U939" s="12"/>
      <c r="V939" s="12"/>
      <c r="W939" s="12"/>
      <c r="X939" s="12"/>
      <c r="Y939" s="12"/>
      <c r="Z939" s="12"/>
      <c r="AA939" s="12"/>
    </row>
    <row r="940" ht="13.5" customHeight="1">
      <c r="A940" s="17"/>
      <c r="B940" s="12"/>
      <c r="C940" s="12"/>
      <c r="D940" s="17"/>
      <c r="E940" s="12"/>
      <c r="F940" s="12"/>
      <c r="G940" s="17"/>
      <c r="H940" s="17"/>
      <c r="I940" s="12"/>
      <c r="J940" s="12"/>
      <c r="K940" s="12"/>
      <c r="L940" s="12"/>
      <c r="M940" s="12"/>
      <c r="N940" s="12"/>
      <c r="O940" s="12"/>
      <c r="P940" s="12"/>
      <c r="Q940" s="12"/>
      <c r="R940" s="12"/>
      <c r="S940" s="12"/>
      <c r="T940" s="12"/>
      <c r="U940" s="12"/>
      <c r="V940" s="12"/>
      <c r="W940" s="12"/>
      <c r="X940" s="12"/>
      <c r="Y940" s="12"/>
      <c r="Z940" s="12"/>
      <c r="AA940" s="12"/>
    </row>
    <row r="941" ht="13.5" customHeight="1">
      <c r="A941" s="17"/>
      <c r="B941" s="12"/>
      <c r="C941" s="12"/>
      <c r="D941" s="17"/>
      <c r="E941" s="12"/>
      <c r="F941" s="12"/>
      <c r="G941" s="17"/>
      <c r="H941" s="17"/>
      <c r="I941" s="12"/>
      <c r="J941" s="12"/>
      <c r="K941" s="12"/>
      <c r="L941" s="12"/>
      <c r="M941" s="12"/>
      <c r="N941" s="12"/>
      <c r="O941" s="12"/>
      <c r="P941" s="12"/>
      <c r="Q941" s="12"/>
      <c r="R941" s="12"/>
      <c r="S941" s="12"/>
      <c r="T941" s="12"/>
      <c r="U941" s="12"/>
      <c r="V941" s="12"/>
      <c r="W941" s="12"/>
      <c r="X941" s="12"/>
      <c r="Y941" s="12"/>
      <c r="Z941" s="12"/>
      <c r="AA941" s="12"/>
    </row>
    <row r="942" ht="13.5" customHeight="1">
      <c r="A942" s="17"/>
      <c r="B942" s="12"/>
      <c r="C942" s="12"/>
      <c r="D942" s="17"/>
      <c r="E942" s="12"/>
      <c r="F942" s="12"/>
      <c r="G942" s="17"/>
      <c r="H942" s="17"/>
      <c r="I942" s="12"/>
      <c r="J942" s="12"/>
      <c r="K942" s="12"/>
      <c r="L942" s="12"/>
      <c r="M942" s="12"/>
      <c r="N942" s="12"/>
      <c r="O942" s="12"/>
      <c r="P942" s="12"/>
      <c r="Q942" s="12"/>
      <c r="R942" s="12"/>
      <c r="S942" s="12"/>
      <c r="T942" s="12"/>
      <c r="U942" s="12"/>
      <c r="V942" s="12"/>
      <c r="W942" s="12"/>
      <c r="X942" s="12"/>
      <c r="Y942" s="12"/>
      <c r="Z942" s="12"/>
      <c r="AA942" s="12"/>
    </row>
    <row r="943" ht="13.5" customHeight="1">
      <c r="A943" s="17"/>
      <c r="B943" s="12"/>
      <c r="C943" s="12"/>
      <c r="D943" s="17"/>
      <c r="E943" s="12"/>
      <c r="F943" s="12"/>
      <c r="G943" s="17"/>
      <c r="H943" s="17"/>
      <c r="I943" s="12"/>
      <c r="J943" s="12"/>
      <c r="K943" s="12"/>
      <c r="L943" s="12"/>
      <c r="M943" s="12"/>
      <c r="N943" s="12"/>
      <c r="O943" s="12"/>
      <c r="P943" s="12"/>
      <c r="Q943" s="12"/>
      <c r="R943" s="12"/>
      <c r="S943" s="12"/>
      <c r="T943" s="12"/>
      <c r="U943" s="12"/>
      <c r="V943" s="12"/>
      <c r="W943" s="12"/>
      <c r="X943" s="12"/>
      <c r="Y943" s="12"/>
      <c r="Z943" s="12"/>
      <c r="AA943" s="12"/>
    </row>
    <row r="944" ht="13.5" customHeight="1">
      <c r="A944" s="17"/>
      <c r="B944" s="12"/>
      <c r="C944" s="12"/>
      <c r="D944" s="17"/>
      <c r="E944" s="12"/>
      <c r="F944" s="12"/>
      <c r="G944" s="17"/>
      <c r="H944" s="17"/>
      <c r="I944" s="12"/>
      <c r="J944" s="12"/>
      <c r="K944" s="12"/>
      <c r="L944" s="12"/>
      <c r="M944" s="12"/>
      <c r="N944" s="12"/>
      <c r="O944" s="12"/>
      <c r="P944" s="12"/>
      <c r="Q944" s="12"/>
      <c r="R944" s="12"/>
      <c r="S944" s="12"/>
      <c r="T944" s="12"/>
      <c r="U944" s="12"/>
      <c r="V944" s="12"/>
      <c r="W944" s="12"/>
      <c r="X944" s="12"/>
      <c r="Y944" s="12"/>
      <c r="Z944" s="12"/>
      <c r="AA944" s="12"/>
    </row>
    <row r="945" ht="13.5" customHeight="1">
      <c r="A945" s="17"/>
      <c r="B945" s="12"/>
      <c r="C945" s="12"/>
      <c r="D945" s="17"/>
      <c r="E945" s="12"/>
      <c r="F945" s="12"/>
      <c r="G945" s="17"/>
      <c r="H945" s="17"/>
      <c r="I945" s="12"/>
      <c r="J945" s="12"/>
      <c r="K945" s="12"/>
      <c r="L945" s="12"/>
      <c r="M945" s="12"/>
      <c r="N945" s="12"/>
      <c r="O945" s="12"/>
      <c r="P945" s="12"/>
      <c r="Q945" s="12"/>
      <c r="R945" s="12"/>
      <c r="S945" s="12"/>
      <c r="T945" s="12"/>
      <c r="U945" s="12"/>
      <c r="V945" s="12"/>
      <c r="W945" s="12"/>
      <c r="X945" s="12"/>
      <c r="Y945" s="12"/>
      <c r="Z945" s="12"/>
      <c r="AA945" s="12"/>
    </row>
    <row r="946" ht="13.5" customHeight="1">
      <c r="A946" s="17"/>
      <c r="B946" s="12"/>
      <c r="C946" s="12"/>
      <c r="D946" s="17"/>
      <c r="E946" s="12"/>
      <c r="F946" s="12"/>
      <c r="G946" s="17"/>
      <c r="H946" s="17"/>
      <c r="I946" s="12"/>
      <c r="J946" s="12"/>
      <c r="K946" s="12"/>
      <c r="L946" s="12"/>
      <c r="M946" s="12"/>
      <c r="N946" s="12"/>
      <c r="O946" s="12"/>
      <c r="P946" s="12"/>
      <c r="Q946" s="12"/>
      <c r="R946" s="12"/>
      <c r="S946" s="12"/>
      <c r="T946" s="12"/>
      <c r="U946" s="12"/>
      <c r="V946" s="12"/>
      <c r="W946" s="12"/>
      <c r="X946" s="12"/>
      <c r="Y946" s="12"/>
      <c r="Z946" s="12"/>
      <c r="AA946" s="12"/>
    </row>
    <row r="947" ht="13.5" customHeight="1">
      <c r="A947" s="17"/>
      <c r="B947" s="12"/>
      <c r="C947" s="12"/>
      <c r="D947" s="17"/>
      <c r="E947" s="12"/>
      <c r="F947" s="12"/>
      <c r="G947" s="17"/>
      <c r="H947" s="17"/>
      <c r="I947" s="12"/>
      <c r="J947" s="12"/>
      <c r="K947" s="12"/>
      <c r="L947" s="12"/>
      <c r="M947" s="12"/>
      <c r="N947" s="12"/>
      <c r="O947" s="12"/>
      <c r="P947" s="12"/>
      <c r="Q947" s="12"/>
      <c r="R947" s="12"/>
      <c r="S947" s="12"/>
      <c r="T947" s="12"/>
      <c r="U947" s="12"/>
      <c r="V947" s="12"/>
      <c r="W947" s="12"/>
      <c r="X947" s="12"/>
      <c r="Y947" s="12"/>
      <c r="Z947" s="12"/>
      <c r="AA947" s="12"/>
    </row>
    <row r="948" ht="13.5" customHeight="1">
      <c r="A948" s="17"/>
      <c r="B948" s="12"/>
      <c r="C948" s="12"/>
      <c r="D948" s="17"/>
      <c r="E948" s="12"/>
      <c r="F948" s="12"/>
      <c r="G948" s="17"/>
      <c r="H948" s="17"/>
      <c r="I948" s="12"/>
      <c r="J948" s="12"/>
      <c r="K948" s="12"/>
      <c r="L948" s="12"/>
      <c r="M948" s="12"/>
      <c r="N948" s="12"/>
      <c r="O948" s="12"/>
      <c r="P948" s="12"/>
      <c r="Q948" s="12"/>
      <c r="R948" s="12"/>
      <c r="S948" s="12"/>
      <c r="T948" s="12"/>
      <c r="U948" s="12"/>
      <c r="V948" s="12"/>
      <c r="W948" s="12"/>
      <c r="X948" s="12"/>
      <c r="Y948" s="12"/>
      <c r="Z948" s="12"/>
      <c r="AA948" s="12"/>
    </row>
    <row r="949" ht="13.5" customHeight="1">
      <c r="A949" s="17"/>
      <c r="B949" s="12"/>
      <c r="C949" s="12"/>
      <c r="D949" s="17"/>
      <c r="E949" s="12"/>
      <c r="F949" s="12"/>
      <c r="G949" s="17"/>
      <c r="H949" s="17"/>
      <c r="I949" s="12"/>
      <c r="J949" s="12"/>
      <c r="K949" s="12"/>
      <c r="L949" s="12"/>
      <c r="M949" s="12"/>
      <c r="N949" s="12"/>
      <c r="O949" s="12"/>
      <c r="P949" s="12"/>
      <c r="Q949" s="12"/>
      <c r="R949" s="12"/>
      <c r="S949" s="12"/>
      <c r="T949" s="12"/>
      <c r="U949" s="12"/>
      <c r="V949" s="12"/>
      <c r="W949" s="12"/>
      <c r="X949" s="12"/>
      <c r="Y949" s="12"/>
      <c r="Z949" s="12"/>
      <c r="AA949" s="12"/>
    </row>
    <row r="950" ht="13.5" customHeight="1">
      <c r="A950" s="17"/>
      <c r="B950" s="12"/>
      <c r="C950" s="12"/>
      <c r="D950" s="17"/>
      <c r="E950" s="12"/>
      <c r="F950" s="12"/>
      <c r="G950" s="17"/>
      <c r="H950" s="17"/>
      <c r="I950" s="12"/>
      <c r="J950" s="12"/>
      <c r="K950" s="12"/>
      <c r="L950" s="12"/>
      <c r="M950" s="12"/>
      <c r="N950" s="12"/>
      <c r="O950" s="12"/>
      <c r="P950" s="12"/>
      <c r="Q950" s="12"/>
      <c r="R950" s="12"/>
      <c r="S950" s="12"/>
      <c r="T950" s="12"/>
      <c r="U950" s="12"/>
      <c r="V950" s="12"/>
      <c r="W950" s="12"/>
      <c r="X950" s="12"/>
      <c r="Y950" s="12"/>
      <c r="Z950" s="12"/>
      <c r="AA950" s="12"/>
    </row>
    <row r="951" ht="13.5" customHeight="1">
      <c r="A951" s="17"/>
      <c r="B951" s="12"/>
      <c r="C951" s="12"/>
      <c r="D951" s="17"/>
      <c r="E951" s="12"/>
      <c r="F951" s="12"/>
      <c r="G951" s="17"/>
      <c r="H951" s="17"/>
      <c r="I951" s="12"/>
      <c r="J951" s="12"/>
      <c r="K951" s="12"/>
      <c r="L951" s="12"/>
      <c r="M951" s="12"/>
      <c r="N951" s="12"/>
      <c r="O951" s="12"/>
      <c r="P951" s="12"/>
      <c r="Q951" s="12"/>
      <c r="R951" s="12"/>
      <c r="S951" s="12"/>
      <c r="T951" s="12"/>
      <c r="U951" s="12"/>
      <c r="V951" s="12"/>
      <c r="W951" s="12"/>
      <c r="X951" s="12"/>
      <c r="Y951" s="12"/>
      <c r="Z951" s="12"/>
      <c r="AA951" s="12"/>
    </row>
    <row r="952" ht="13.5" customHeight="1">
      <c r="A952" s="17"/>
      <c r="B952" s="12"/>
      <c r="C952" s="12"/>
      <c r="D952" s="17"/>
      <c r="E952" s="12"/>
      <c r="F952" s="12"/>
      <c r="G952" s="17"/>
      <c r="H952" s="17"/>
      <c r="I952" s="12"/>
      <c r="J952" s="12"/>
      <c r="K952" s="12"/>
      <c r="L952" s="12"/>
      <c r="M952" s="12"/>
      <c r="N952" s="12"/>
      <c r="O952" s="12"/>
      <c r="P952" s="12"/>
      <c r="Q952" s="12"/>
      <c r="R952" s="12"/>
      <c r="S952" s="12"/>
      <c r="T952" s="12"/>
      <c r="U952" s="12"/>
      <c r="V952" s="12"/>
      <c r="W952" s="12"/>
      <c r="X952" s="12"/>
      <c r="Y952" s="12"/>
      <c r="Z952" s="12"/>
      <c r="AA952" s="12"/>
    </row>
    <row r="953" ht="13.5" customHeight="1">
      <c r="A953" s="17"/>
      <c r="B953" s="12"/>
      <c r="C953" s="12"/>
      <c r="D953" s="17"/>
      <c r="E953" s="12"/>
      <c r="F953" s="12"/>
      <c r="G953" s="17"/>
      <c r="H953" s="17"/>
      <c r="I953" s="12"/>
      <c r="J953" s="12"/>
      <c r="K953" s="12"/>
      <c r="L953" s="12"/>
      <c r="M953" s="12"/>
      <c r="N953" s="12"/>
      <c r="O953" s="12"/>
      <c r="P953" s="12"/>
      <c r="Q953" s="12"/>
      <c r="R953" s="12"/>
      <c r="S953" s="12"/>
      <c r="T953" s="12"/>
      <c r="U953" s="12"/>
      <c r="V953" s="12"/>
      <c r="W953" s="12"/>
      <c r="X953" s="12"/>
      <c r="Y953" s="12"/>
      <c r="Z953" s="12"/>
      <c r="AA953" s="12"/>
    </row>
    <row r="954" ht="13.5" customHeight="1">
      <c r="A954" s="17"/>
      <c r="B954" s="12"/>
      <c r="C954" s="12"/>
      <c r="D954" s="17"/>
      <c r="E954" s="12"/>
      <c r="F954" s="12"/>
      <c r="G954" s="17"/>
      <c r="H954" s="17"/>
      <c r="I954" s="12"/>
      <c r="J954" s="12"/>
      <c r="K954" s="12"/>
      <c r="L954" s="12"/>
      <c r="M954" s="12"/>
      <c r="N954" s="12"/>
      <c r="O954" s="12"/>
      <c r="P954" s="12"/>
      <c r="Q954" s="12"/>
      <c r="R954" s="12"/>
      <c r="S954" s="12"/>
      <c r="T954" s="12"/>
      <c r="U954" s="12"/>
      <c r="V954" s="12"/>
      <c r="W954" s="12"/>
      <c r="X954" s="12"/>
      <c r="Y954" s="12"/>
      <c r="Z954" s="12"/>
      <c r="AA954" s="12"/>
    </row>
    <row r="955" ht="13.5" customHeight="1">
      <c r="A955" s="17"/>
      <c r="B955" s="12"/>
      <c r="C955" s="12"/>
      <c r="D955" s="17"/>
      <c r="E955" s="12"/>
      <c r="F955" s="12"/>
      <c r="G955" s="17"/>
      <c r="H955" s="17"/>
      <c r="I955" s="12"/>
      <c r="J955" s="12"/>
      <c r="K955" s="12"/>
      <c r="L955" s="12"/>
      <c r="M955" s="12"/>
      <c r="N955" s="12"/>
      <c r="O955" s="12"/>
      <c r="P955" s="12"/>
      <c r="Q955" s="12"/>
      <c r="R955" s="12"/>
      <c r="S955" s="12"/>
      <c r="T955" s="12"/>
      <c r="U955" s="12"/>
      <c r="V955" s="12"/>
      <c r="W955" s="12"/>
      <c r="X955" s="12"/>
      <c r="Y955" s="12"/>
      <c r="Z955" s="12"/>
      <c r="AA955" s="12"/>
    </row>
    <row r="956" ht="13.5" customHeight="1">
      <c r="A956" s="17"/>
      <c r="B956" s="12"/>
      <c r="C956" s="12"/>
      <c r="D956" s="17"/>
      <c r="E956" s="12"/>
      <c r="F956" s="12"/>
      <c r="G956" s="17"/>
      <c r="H956" s="17"/>
      <c r="I956" s="12"/>
      <c r="J956" s="12"/>
      <c r="K956" s="12"/>
      <c r="L956" s="12"/>
      <c r="M956" s="12"/>
      <c r="N956" s="12"/>
      <c r="O956" s="12"/>
      <c r="P956" s="12"/>
      <c r="Q956" s="12"/>
      <c r="R956" s="12"/>
      <c r="S956" s="12"/>
      <c r="T956" s="12"/>
      <c r="U956" s="12"/>
      <c r="V956" s="12"/>
      <c r="W956" s="12"/>
      <c r="X956" s="12"/>
      <c r="Y956" s="12"/>
      <c r="Z956" s="12"/>
      <c r="AA956" s="12"/>
    </row>
    <row r="957" ht="13.5" customHeight="1">
      <c r="A957" s="17"/>
      <c r="B957" s="12"/>
      <c r="C957" s="12"/>
      <c r="D957" s="17"/>
      <c r="E957" s="12"/>
      <c r="F957" s="12"/>
      <c r="G957" s="17"/>
      <c r="H957" s="17"/>
      <c r="I957" s="12"/>
      <c r="J957" s="12"/>
      <c r="K957" s="12"/>
      <c r="L957" s="12"/>
      <c r="M957" s="12"/>
      <c r="N957" s="12"/>
      <c r="O957" s="12"/>
      <c r="P957" s="12"/>
      <c r="Q957" s="12"/>
      <c r="R957" s="12"/>
      <c r="S957" s="12"/>
      <c r="T957" s="12"/>
      <c r="U957" s="12"/>
      <c r="V957" s="12"/>
      <c r="W957" s="12"/>
      <c r="X957" s="12"/>
      <c r="Y957" s="12"/>
      <c r="Z957" s="12"/>
      <c r="AA957" s="12"/>
    </row>
    <row r="958" ht="13.5" customHeight="1">
      <c r="A958" s="17"/>
      <c r="B958" s="12"/>
      <c r="C958" s="12"/>
      <c r="D958" s="17"/>
      <c r="E958" s="12"/>
      <c r="F958" s="12"/>
      <c r="G958" s="17"/>
      <c r="H958" s="17"/>
      <c r="I958" s="12"/>
      <c r="J958" s="12"/>
      <c r="K958" s="12"/>
      <c r="L958" s="12"/>
      <c r="M958" s="12"/>
      <c r="N958" s="12"/>
      <c r="O958" s="12"/>
      <c r="P958" s="12"/>
      <c r="Q958" s="12"/>
      <c r="R958" s="12"/>
      <c r="S958" s="12"/>
      <c r="T958" s="12"/>
      <c r="U958" s="12"/>
      <c r="V958" s="12"/>
      <c r="W958" s="12"/>
      <c r="X958" s="12"/>
      <c r="Y958" s="12"/>
      <c r="Z958" s="12"/>
      <c r="AA958" s="12"/>
    </row>
    <row r="959" ht="13.5" customHeight="1">
      <c r="A959" s="17"/>
      <c r="B959" s="12"/>
      <c r="C959" s="12"/>
      <c r="D959" s="17"/>
      <c r="E959" s="12"/>
      <c r="F959" s="12"/>
      <c r="G959" s="17"/>
      <c r="H959" s="17"/>
      <c r="I959" s="12"/>
      <c r="J959" s="12"/>
      <c r="K959" s="12"/>
      <c r="L959" s="12"/>
      <c r="M959" s="12"/>
      <c r="N959" s="12"/>
      <c r="O959" s="12"/>
      <c r="P959" s="12"/>
      <c r="Q959" s="12"/>
      <c r="R959" s="12"/>
      <c r="S959" s="12"/>
      <c r="T959" s="12"/>
      <c r="U959" s="12"/>
      <c r="V959" s="12"/>
      <c r="W959" s="12"/>
      <c r="X959" s="12"/>
      <c r="Y959" s="12"/>
      <c r="Z959" s="12"/>
      <c r="AA959" s="12"/>
    </row>
    <row r="960" ht="13.5" customHeight="1">
      <c r="A960" s="17"/>
      <c r="B960" s="12"/>
      <c r="C960" s="12"/>
      <c r="D960" s="17"/>
      <c r="E960" s="12"/>
      <c r="F960" s="12"/>
      <c r="G960" s="17"/>
      <c r="H960" s="17"/>
      <c r="I960" s="12"/>
      <c r="J960" s="12"/>
      <c r="K960" s="12"/>
      <c r="L960" s="12"/>
      <c r="M960" s="12"/>
      <c r="N960" s="12"/>
      <c r="O960" s="12"/>
      <c r="P960" s="12"/>
      <c r="Q960" s="12"/>
      <c r="R960" s="12"/>
      <c r="S960" s="12"/>
      <c r="T960" s="12"/>
      <c r="U960" s="12"/>
      <c r="V960" s="12"/>
      <c r="W960" s="12"/>
      <c r="X960" s="12"/>
      <c r="Y960" s="12"/>
      <c r="Z960" s="12"/>
      <c r="AA960" s="12"/>
    </row>
    <row r="961" ht="13.5" customHeight="1">
      <c r="A961" s="17"/>
      <c r="B961" s="12"/>
      <c r="C961" s="12"/>
      <c r="D961" s="17"/>
      <c r="E961" s="12"/>
      <c r="F961" s="12"/>
      <c r="G961" s="17"/>
      <c r="H961" s="17"/>
      <c r="I961" s="12"/>
      <c r="J961" s="12"/>
      <c r="K961" s="12"/>
      <c r="L961" s="12"/>
      <c r="M961" s="12"/>
      <c r="N961" s="12"/>
      <c r="O961" s="12"/>
      <c r="P961" s="12"/>
      <c r="Q961" s="12"/>
      <c r="R961" s="12"/>
      <c r="S961" s="12"/>
      <c r="T961" s="12"/>
      <c r="U961" s="12"/>
      <c r="V961" s="12"/>
      <c r="W961" s="12"/>
      <c r="X961" s="12"/>
      <c r="Y961" s="12"/>
      <c r="Z961" s="12"/>
      <c r="AA961" s="12"/>
    </row>
    <row r="962" ht="13.5" customHeight="1">
      <c r="A962" s="17"/>
      <c r="B962" s="12"/>
      <c r="C962" s="12"/>
      <c r="D962" s="17"/>
      <c r="E962" s="12"/>
      <c r="F962" s="12"/>
      <c r="G962" s="17"/>
      <c r="H962" s="17"/>
      <c r="I962" s="12"/>
      <c r="J962" s="12"/>
      <c r="K962" s="12"/>
      <c r="L962" s="12"/>
      <c r="M962" s="12"/>
      <c r="N962" s="12"/>
      <c r="O962" s="12"/>
      <c r="P962" s="12"/>
      <c r="Q962" s="12"/>
      <c r="R962" s="12"/>
      <c r="S962" s="12"/>
      <c r="T962" s="12"/>
      <c r="U962" s="12"/>
      <c r="V962" s="12"/>
      <c r="W962" s="12"/>
      <c r="X962" s="12"/>
      <c r="Y962" s="12"/>
      <c r="Z962" s="12"/>
      <c r="AA962" s="12"/>
    </row>
    <row r="963" ht="13.5" customHeight="1">
      <c r="A963" s="17"/>
      <c r="B963" s="12"/>
      <c r="C963" s="12"/>
      <c r="D963" s="17"/>
      <c r="E963" s="12"/>
      <c r="F963" s="12"/>
      <c r="G963" s="17"/>
      <c r="H963" s="17"/>
      <c r="I963" s="12"/>
      <c r="J963" s="12"/>
      <c r="K963" s="12"/>
      <c r="L963" s="12"/>
      <c r="M963" s="12"/>
      <c r="N963" s="12"/>
      <c r="O963" s="12"/>
      <c r="P963" s="12"/>
      <c r="Q963" s="12"/>
      <c r="R963" s="12"/>
      <c r="S963" s="12"/>
      <c r="T963" s="12"/>
      <c r="U963" s="12"/>
      <c r="V963" s="12"/>
      <c r="W963" s="12"/>
      <c r="X963" s="12"/>
      <c r="Y963" s="12"/>
      <c r="Z963" s="12"/>
      <c r="AA963" s="12"/>
    </row>
    <row r="964" ht="13.5" customHeight="1">
      <c r="A964" s="17"/>
      <c r="B964" s="12"/>
      <c r="C964" s="12"/>
      <c r="D964" s="17"/>
      <c r="E964" s="12"/>
      <c r="F964" s="12"/>
      <c r="G964" s="17"/>
      <c r="H964" s="17"/>
      <c r="I964" s="12"/>
      <c r="J964" s="12"/>
      <c r="K964" s="12"/>
      <c r="L964" s="12"/>
      <c r="M964" s="12"/>
      <c r="N964" s="12"/>
      <c r="O964" s="12"/>
      <c r="P964" s="12"/>
      <c r="Q964" s="12"/>
      <c r="R964" s="12"/>
      <c r="S964" s="12"/>
      <c r="T964" s="12"/>
      <c r="U964" s="12"/>
      <c r="V964" s="12"/>
      <c r="W964" s="12"/>
      <c r="X964" s="12"/>
      <c r="Y964" s="12"/>
      <c r="Z964" s="12"/>
      <c r="AA964" s="12"/>
    </row>
    <row r="965" ht="13.5" customHeight="1">
      <c r="A965" s="17"/>
      <c r="B965" s="12"/>
      <c r="C965" s="12"/>
      <c r="D965" s="17"/>
      <c r="E965" s="12"/>
      <c r="F965" s="12"/>
      <c r="G965" s="17"/>
      <c r="H965" s="17"/>
      <c r="I965" s="12"/>
      <c r="J965" s="12"/>
      <c r="K965" s="12"/>
      <c r="L965" s="12"/>
      <c r="M965" s="12"/>
      <c r="N965" s="12"/>
      <c r="O965" s="12"/>
      <c r="P965" s="12"/>
      <c r="Q965" s="12"/>
      <c r="R965" s="12"/>
      <c r="S965" s="12"/>
      <c r="T965" s="12"/>
      <c r="U965" s="12"/>
      <c r="V965" s="12"/>
      <c r="W965" s="12"/>
      <c r="X965" s="12"/>
      <c r="Y965" s="12"/>
      <c r="Z965" s="12"/>
      <c r="AA965" s="12"/>
    </row>
    <row r="966" ht="13.5" customHeight="1">
      <c r="A966" s="17"/>
      <c r="B966" s="12"/>
      <c r="C966" s="12"/>
      <c r="D966" s="17"/>
      <c r="E966" s="12"/>
      <c r="F966" s="12"/>
      <c r="G966" s="17"/>
      <c r="H966" s="17"/>
      <c r="I966" s="12"/>
      <c r="J966" s="12"/>
      <c r="K966" s="12"/>
      <c r="L966" s="12"/>
      <c r="M966" s="12"/>
      <c r="N966" s="12"/>
      <c r="O966" s="12"/>
      <c r="P966" s="12"/>
      <c r="Q966" s="12"/>
      <c r="R966" s="12"/>
      <c r="S966" s="12"/>
      <c r="T966" s="12"/>
      <c r="U966" s="12"/>
      <c r="V966" s="12"/>
      <c r="W966" s="12"/>
      <c r="X966" s="12"/>
      <c r="Y966" s="12"/>
      <c r="Z966" s="12"/>
      <c r="AA966" s="12"/>
    </row>
    <row r="967" ht="13.5" customHeight="1">
      <c r="A967" s="17"/>
      <c r="B967" s="12"/>
      <c r="C967" s="12"/>
      <c r="D967" s="17"/>
      <c r="E967" s="12"/>
      <c r="F967" s="12"/>
      <c r="G967" s="17"/>
      <c r="H967" s="17"/>
      <c r="I967" s="12"/>
      <c r="J967" s="12"/>
      <c r="K967" s="12"/>
      <c r="L967" s="12"/>
      <c r="M967" s="12"/>
      <c r="N967" s="12"/>
      <c r="O967" s="12"/>
      <c r="P967" s="12"/>
      <c r="Q967" s="12"/>
      <c r="R967" s="12"/>
      <c r="S967" s="12"/>
      <c r="T967" s="12"/>
      <c r="U967" s="12"/>
      <c r="V967" s="12"/>
      <c r="W967" s="12"/>
      <c r="X967" s="12"/>
      <c r="Y967" s="12"/>
      <c r="Z967" s="12"/>
      <c r="AA967" s="12"/>
    </row>
    <row r="968" ht="13.5" customHeight="1">
      <c r="A968" s="17"/>
      <c r="B968" s="12"/>
      <c r="C968" s="12"/>
      <c r="D968" s="17"/>
      <c r="E968" s="12"/>
      <c r="F968" s="12"/>
      <c r="G968" s="17"/>
      <c r="H968" s="17"/>
      <c r="I968" s="12"/>
      <c r="J968" s="12"/>
      <c r="K968" s="12"/>
      <c r="L968" s="12"/>
      <c r="M968" s="12"/>
      <c r="N968" s="12"/>
      <c r="O968" s="12"/>
      <c r="P968" s="12"/>
      <c r="Q968" s="12"/>
      <c r="R968" s="12"/>
      <c r="S968" s="12"/>
      <c r="T968" s="12"/>
      <c r="U968" s="12"/>
      <c r="V968" s="12"/>
      <c r="W968" s="12"/>
      <c r="X968" s="12"/>
      <c r="Y968" s="12"/>
      <c r="Z968" s="12"/>
      <c r="AA968" s="12"/>
    </row>
    <row r="969" ht="13.5" customHeight="1">
      <c r="A969" s="17"/>
      <c r="B969" s="12"/>
      <c r="C969" s="12"/>
      <c r="D969" s="17"/>
      <c r="E969" s="12"/>
      <c r="F969" s="12"/>
      <c r="G969" s="17"/>
      <c r="H969" s="17"/>
      <c r="I969" s="12"/>
      <c r="J969" s="12"/>
      <c r="K969" s="12"/>
      <c r="L969" s="12"/>
      <c r="M969" s="12"/>
      <c r="N969" s="12"/>
      <c r="O969" s="12"/>
      <c r="P969" s="12"/>
      <c r="Q969" s="12"/>
      <c r="R969" s="12"/>
      <c r="S969" s="12"/>
      <c r="T969" s="12"/>
      <c r="U969" s="12"/>
      <c r="V969" s="12"/>
      <c r="W969" s="12"/>
      <c r="X969" s="12"/>
      <c r="Y969" s="12"/>
      <c r="Z969" s="12"/>
      <c r="AA969" s="12"/>
    </row>
    <row r="970" ht="13.5" customHeight="1">
      <c r="A970" s="17"/>
      <c r="B970" s="12"/>
      <c r="C970" s="12"/>
      <c r="D970" s="17"/>
      <c r="E970" s="12"/>
      <c r="F970" s="12"/>
      <c r="G970" s="17"/>
      <c r="H970" s="17"/>
      <c r="I970" s="12"/>
      <c r="J970" s="12"/>
      <c r="K970" s="12"/>
      <c r="L970" s="12"/>
      <c r="M970" s="12"/>
      <c r="N970" s="12"/>
      <c r="O970" s="12"/>
      <c r="P970" s="12"/>
      <c r="Q970" s="12"/>
      <c r="R970" s="12"/>
      <c r="S970" s="12"/>
      <c r="T970" s="12"/>
      <c r="U970" s="12"/>
      <c r="V970" s="12"/>
      <c r="W970" s="12"/>
      <c r="X970" s="12"/>
      <c r="Y970" s="12"/>
      <c r="Z970" s="12"/>
      <c r="AA970" s="12"/>
    </row>
    <row r="971" ht="13.5" customHeight="1">
      <c r="A971" s="17"/>
      <c r="B971" s="12"/>
      <c r="C971" s="12"/>
      <c r="D971" s="17"/>
      <c r="E971" s="12"/>
      <c r="F971" s="12"/>
      <c r="G971" s="17"/>
      <c r="H971" s="17"/>
      <c r="I971" s="12"/>
      <c r="J971" s="12"/>
      <c r="K971" s="12"/>
      <c r="L971" s="12"/>
      <c r="M971" s="12"/>
      <c r="N971" s="12"/>
      <c r="O971" s="12"/>
      <c r="P971" s="12"/>
      <c r="Q971" s="12"/>
      <c r="R971" s="12"/>
      <c r="S971" s="12"/>
      <c r="T971" s="12"/>
      <c r="U971" s="12"/>
      <c r="V971" s="12"/>
      <c r="W971" s="12"/>
      <c r="X971" s="12"/>
      <c r="Y971" s="12"/>
      <c r="Z971" s="12"/>
      <c r="AA971" s="12"/>
    </row>
    <row r="972" ht="13.5" customHeight="1">
      <c r="A972" s="17"/>
      <c r="B972" s="12"/>
      <c r="C972" s="12"/>
      <c r="D972" s="17"/>
      <c r="E972" s="12"/>
      <c r="F972" s="12"/>
      <c r="G972" s="17"/>
      <c r="H972" s="17"/>
      <c r="I972" s="12"/>
      <c r="J972" s="12"/>
      <c r="K972" s="12"/>
      <c r="L972" s="12"/>
      <c r="M972" s="12"/>
      <c r="N972" s="12"/>
      <c r="O972" s="12"/>
      <c r="P972" s="12"/>
      <c r="Q972" s="12"/>
      <c r="R972" s="12"/>
      <c r="S972" s="12"/>
      <c r="T972" s="12"/>
      <c r="U972" s="12"/>
      <c r="V972" s="12"/>
      <c r="W972" s="12"/>
      <c r="X972" s="12"/>
      <c r="Y972" s="12"/>
      <c r="Z972" s="12"/>
      <c r="AA972" s="12"/>
    </row>
    <row r="973" ht="13.5" customHeight="1">
      <c r="A973" s="17"/>
      <c r="B973" s="12"/>
      <c r="C973" s="12"/>
      <c r="D973" s="17"/>
      <c r="E973" s="12"/>
      <c r="F973" s="12"/>
      <c r="G973" s="17"/>
      <c r="H973" s="17"/>
      <c r="I973" s="12"/>
      <c r="J973" s="12"/>
      <c r="K973" s="12"/>
      <c r="L973" s="12"/>
      <c r="M973" s="12"/>
      <c r="N973" s="12"/>
      <c r="O973" s="12"/>
      <c r="P973" s="12"/>
      <c r="Q973" s="12"/>
      <c r="R973" s="12"/>
      <c r="S973" s="12"/>
      <c r="T973" s="12"/>
      <c r="U973" s="12"/>
      <c r="V973" s="12"/>
      <c r="W973" s="12"/>
      <c r="X973" s="12"/>
      <c r="Y973" s="12"/>
      <c r="Z973" s="12"/>
      <c r="AA973" s="12"/>
    </row>
    <row r="974" ht="13.5" customHeight="1">
      <c r="A974" s="17"/>
      <c r="B974" s="12"/>
      <c r="C974" s="12"/>
      <c r="D974" s="17"/>
      <c r="E974" s="12"/>
      <c r="F974" s="12"/>
      <c r="G974" s="17"/>
      <c r="H974" s="17"/>
      <c r="I974" s="12"/>
      <c r="J974" s="12"/>
      <c r="K974" s="12"/>
      <c r="L974" s="12"/>
      <c r="M974" s="12"/>
      <c r="N974" s="12"/>
      <c r="O974" s="12"/>
      <c r="P974" s="12"/>
      <c r="Q974" s="12"/>
      <c r="R974" s="12"/>
      <c r="S974" s="12"/>
      <c r="T974" s="12"/>
      <c r="U974" s="12"/>
      <c r="V974" s="12"/>
      <c r="W974" s="12"/>
      <c r="X974" s="12"/>
      <c r="Y974" s="12"/>
      <c r="Z974" s="12"/>
      <c r="AA974" s="12"/>
    </row>
    <row r="975" ht="13.5" customHeight="1">
      <c r="A975" s="17"/>
      <c r="B975" s="12"/>
      <c r="C975" s="12"/>
      <c r="D975" s="17"/>
      <c r="E975" s="12"/>
      <c r="F975" s="12"/>
      <c r="G975" s="17"/>
      <c r="H975" s="17"/>
      <c r="I975" s="12"/>
      <c r="J975" s="12"/>
      <c r="K975" s="12"/>
      <c r="L975" s="12"/>
      <c r="M975" s="12"/>
      <c r="N975" s="12"/>
      <c r="O975" s="12"/>
      <c r="P975" s="12"/>
      <c r="Q975" s="12"/>
      <c r="R975" s="12"/>
      <c r="S975" s="12"/>
      <c r="T975" s="12"/>
      <c r="U975" s="12"/>
      <c r="V975" s="12"/>
      <c r="W975" s="12"/>
      <c r="X975" s="12"/>
      <c r="Y975" s="12"/>
      <c r="Z975" s="12"/>
      <c r="AA975" s="12"/>
    </row>
    <row r="976" ht="13.5" customHeight="1">
      <c r="A976" s="17"/>
      <c r="B976" s="12"/>
      <c r="C976" s="12"/>
      <c r="D976" s="17"/>
      <c r="E976" s="12"/>
      <c r="F976" s="12"/>
      <c r="G976" s="17"/>
      <c r="H976" s="17"/>
      <c r="I976" s="12"/>
      <c r="J976" s="12"/>
      <c r="K976" s="12"/>
      <c r="L976" s="12"/>
      <c r="M976" s="12"/>
      <c r="N976" s="12"/>
      <c r="O976" s="12"/>
      <c r="P976" s="12"/>
      <c r="Q976" s="12"/>
      <c r="R976" s="12"/>
      <c r="S976" s="12"/>
      <c r="T976" s="12"/>
      <c r="U976" s="12"/>
      <c r="V976" s="12"/>
      <c r="W976" s="12"/>
      <c r="X976" s="12"/>
      <c r="Y976" s="12"/>
      <c r="Z976" s="12"/>
      <c r="AA976" s="12"/>
    </row>
    <row r="977" ht="13.5" customHeight="1">
      <c r="A977" s="17"/>
      <c r="B977" s="12"/>
      <c r="C977" s="12"/>
      <c r="D977" s="17"/>
      <c r="E977" s="12"/>
      <c r="F977" s="12"/>
      <c r="G977" s="17"/>
      <c r="H977" s="17"/>
      <c r="I977" s="12"/>
      <c r="J977" s="12"/>
      <c r="K977" s="12"/>
      <c r="L977" s="12"/>
      <c r="M977" s="12"/>
      <c r="N977" s="12"/>
      <c r="O977" s="12"/>
      <c r="P977" s="12"/>
      <c r="Q977" s="12"/>
      <c r="R977" s="12"/>
      <c r="S977" s="12"/>
      <c r="T977" s="12"/>
      <c r="U977" s="12"/>
      <c r="V977" s="12"/>
      <c r="W977" s="12"/>
      <c r="X977" s="12"/>
      <c r="Y977" s="12"/>
      <c r="Z977" s="12"/>
      <c r="AA977" s="12"/>
    </row>
    <row r="978" ht="13.5" customHeight="1">
      <c r="A978" s="17"/>
      <c r="B978" s="12"/>
      <c r="C978" s="12"/>
      <c r="D978" s="17"/>
      <c r="E978" s="12"/>
      <c r="F978" s="12"/>
      <c r="G978" s="17"/>
      <c r="H978" s="17"/>
      <c r="I978" s="12"/>
      <c r="J978" s="12"/>
      <c r="K978" s="12"/>
      <c r="L978" s="12"/>
      <c r="M978" s="12"/>
      <c r="N978" s="12"/>
      <c r="O978" s="12"/>
      <c r="P978" s="12"/>
      <c r="Q978" s="12"/>
      <c r="R978" s="12"/>
      <c r="S978" s="12"/>
      <c r="T978" s="12"/>
      <c r="U978" s="12"/>
      <c r="V978" s="12"/>
      <c r="W978" s="12"/>
      <c r="X978" s="12"/>
      <c r="Y978" s="12"/>
      <c r="Z978" s="12"/>
      <c r="AA978" s="12"/>
    </row>
    <row r="979" ht="13.5" customHeight="1">
      <c r="A979" s="17"/>
      <c r="B979" s="12"/>
      <c r="C979" s="12"/>
      <c r="D979" s="17"/>
      <c r="E979" s="12"/>
      <c r="F979" s="12"/>
      <c r="G979" s="17"/>
      <c r="H979" s="17"/>
      <c r="I979" s="12"/>
      <c r="J979" s="12"/>
      <c r="K979" s="12"/>
      <c r="L979" s="12"/>
      <c r="M979" s="12"/>
      <c r="N979" s="12"/>
      <c r="O979" s="12"/>
      <c r="P979" s="12"/>
      <c r="Q979" s="12"/>
      <c r="R979" s="12"/>
      <c r="S979" s="12"/>
      <c r="T979" s="12"/>
      <c r="U979" s="12"/>
      <c r="V979" s="12"/>
      <c r="W979" s="12"/>
      <c r="X979" s="12"/>
      <c r="Y979" s="12"/>
      <c r="Z979" s="12"/>
      <c r="AA979" s="12"/>
    </row>
    <row r="980" ht="13.5" customHeight="1">
      <c r="A980" s="17"/>
      <c r="B980" s="12"/>
      <c r="C980" s="12"/>
      <c r="D980" s="17"/>
      <c r="E980" s="12"/>
      <c r="F980" s="12"/>
      <c r="G980" s="17"/>
      <c r="H980" s="17"/>
      <c r="I980" s="12"/>
      <c r="J980" s="12"/>
      <c r="K980" s="12"/>
      <c r="L980" s="12"/>
      <c r="M980" s="12"/>
      <c r="N980" s="12"/>
      <c r="O980" s="12"/>
      <c r="P980" s="12"/>
      <c r="Q980" s="12"/>
      <c r="R980" s="12"/>
      <c r="S980" s="12"/>
      <c r="T980" s="12"/>
      <c r="U980" s="12"/>
      <c r="V980" s="12"/>
      <c r="W980" s="12"/>
      <c r="X980" s="12"/>
      <c r="Y980" s="12"/>
      <c r="Z980" s="12"/>
      <c r="AA980" s="12"/>
    </row>
    <row r="981" ht="13.5" customHeight="1">
      <c r="A981" s="17"/>
      <c r="B981" s="12"/>
      <c r="C981" s="12"/>
      <c r="D981" s="17"/>
      <c r="E981" s="12"/>
      <c r="F981" s="12"/>
      <c r="G981" s="17"/>
      <c r="H981" s="17"/>
      <c r="I981" s="12"/>
      <c r="J981" s="12"/>
      <c r="K981" s="12"/>
      <c r="L981" s="12"/>
      <c r="M981" s="12"/>
      <c r="N981" s="12"/>
      <c r="O981" s="12"/>
      <c r="P981" s="12"/>
      <c r="Q981" s="12"/>
      <c r="R981" s="12"/>
      <c r="S981" s="12"/>
      <c r="T981" s="12"/>
      <c r="U981" s="12"/>
      <c r="V981" s="12"/>
      <c r="W981" s="12"/>
      <c r="X981" s="12"/>
      <c r="Y981" s="12"/>
      <c r="Z981" s="12"/>
      <c r="AA981" s="12"/>
    </row>
    <row r="982" ht="13.5" customHeight="1">
      <c r="A982" s="17"/>
      <c r="B982" s="12"/>
      <c r="C982" s="12"/>
      <c r="D982" s="17"/>
      <c r="E982" s="12"/>
      <c r="F982" s="12"/>
      <c r="G982" s="17"/>
      <c r="H982" s="17"/>
      <c r="I982" s="12"/>
      <c r="J982" s="12"/>
      <c r="K982" s="12"/>
      <c r="L982" s="12"/>
      <c r="M982" s="12"/>
      <c r="N982" s="12"/>
      <c r="O982" s="12"/>
      <c r="P982" s="12"/>
      <c r="Q982" s="12"/>
      <c r="R982" s="12"/>
      <c r="S982" s="12"/>
      <c r="T982" s="12"/>
      <c r="U982" s="12"/>
      <c r="V982" s="12"/>
      <c r="W982" s="12"/>
      <c r="X982" s="12"/>
      <c r="Y982" s="12"/>
      <c r="Z982" s="12"/>
      <c r="AA982" s="12"/>
    </row>
    <row r="983" ht="13.5" customHeight="1">
      <c r="A983" s="17"/>
      <c r="B983" s="12"/>
      <c r="C983" s="12"/>
      <c r="D983" s="17"/>
      <c r="E983" s="12"/>
      <c r="F983" s="12"/>
      <c r="G983" s="17"/>
      <c r="H983" s="17"/>
      <c r="I983" s="12"/>
      <c r="J983" s="12"/>
      <c r="K983" s="12"/>
      <c r="L983" s="12"/>
      <c r="M983" s="12"/>
      <c r="N983" s="12"/>
      <c r="O983" s="12"/>
      <c r="P983" s="12"/>
      <c r="Q983" s="12"/>
      <c r="R983" s="12"/>
      <c r="S983" s="12"/>
      <c r="T983" s="12"/>
      <c r="U983" s="12"/>
      <c r="V983" s="12"/>
      <c r="W983" s="12"/>
      <c r="X983" s="12"/>
      <c r="Y983" s="12"/>
      <c r="Z983" s="12"/>
      <c r="AA983" s="12"/>
    </row>
    <row r="984" ht="13.5" customHeight="1">
      <c r="A984" s="17"/>
      <c r="B984" s="12"/>
      <c r="C984" s="12"/>
      <c r="D984" s="17"/>
      <c r="E984" s="12"/>
      <c r="F984" s="12"/>
      <c r="G984" s="17"/>
      <c r="H984" s="17"/>
      <c r="I984" s="12"/>
      <c r="J984" s="12"/>
      <c r="K984" s="12"/>
      <c r="L984" s="12"/>
      <c r="M984" s="12"/>
      <c r="N984" s="12"/>
      <c r="O984" s="12"/>
      <c r="P984" s="12"/>
      <c r="Q984" s="12"/>
      <c r="R984" s="12"/>
      <c r="S984" s="12"/>
      <c r="T984" s="12"/>
      <c r="U984" s="12"/>
      <c r="V984" s="12"/>
      <c r="W984" s="12"/>
      <c r="X984" s="12"/>
      <c r="Y984" s="12"/>
      <c r="Z984" s="12"/>
      <c r="AA984" s="12"/>
    </row>
    <row r="985" ht="13.5" customHeight="1">
      <c r="A985" s="17"/>
      <c r="B985" s="12"/>
      <c r="C985" s="12"/>
      <c r="D985" s="17"/>
      <c r="E985" s="12"/>
      <c r="F985" s="12"/>
      <c r="G985" s="17"/>
      <c r="H985" s="17"/>
      <c r="I985" s="12"/>
      <c r="J985" s="12"/>
      <c r="K985" s="12"/>
      <c r="L985" s="12"/>
      <c r="M985" s="12"/>
      <c r="N985" s="12"/>
      <c r="O985" s="12"/>
      <c r="P985" s="12"/>
      <c r="Q985" s="12"/>
      <c r="R985" s="12"/>
      <c r="S985" s="12"/>
      <c r="T985" s="12"/>
      <c r="U985" s="12"/>
      <c r="V985" s="12"/>
      <c r="W985" s="12"/>
      <c r="X985" s="12"/>
      <c r="Y985" s="12"/>
      <c r="Z985" s="12"/>
      <c r="AA985" s="12"/>
    </row>
    <row r="986" ht="13.5" customHeight="1">
      <c r="A986" s="17"/>
      <c r="B986" s="12"/>
      <c r="C986" s="12"/>
      <c r="D986" s="17"/>
      <c r="E986" s="12"/>
      <c r="F986" s="12"/>
      <c r="G986" s="17"/>
      <c r="H986" s="17"/>
      <c r="I986" s="12"/>
      <c r="J986" s="12"/>
      <c r="K986" s="12"/>
      <c r="L986" s="12"/>
      <c r="M986" s="12"/>
      <c r="N986" s="12"/>
      <c r="O986" s="12"/>
      <c r="P986" s="12"/>
      <c r="Q986" s="12"/>
      <c r="R986" s="12"/>
      <c r="S986" s="12"/>
      <c r="T986" s="12"/>
      <c r="U986" s="12"/>
      <c r="V986" s="12"/>
      <c r="W986" s="12"/>
      <c r="X986" s="12"/>
      <c r="Y986" s="12"/>
      <c r="Z986" s="12"/>
      <c r="AA986" s="12"/>
    </row>
    <row r="987" ht="13.5" customHeight="1">
      <c r="A987" s="17"/>
      <c r="B987" s="12"/>
      <c r="C987" s="12"/>
      <c r="D987" s="17"/>
      <c r="E987" s="12"/>
      <c r="F987" s="12"/>
      <c r="G987" s="17"/>
      <c r="H987" s="17"/>
      <c r="I987" s="12"/>
      <c r="J987" s="12"/>
      <c r="K987" s="12"/>
      <c r="L987" s="12"/>
      <c r="M987" s="12"/>
      <c r="N987" s="12"/>
      <c r="O987" s="12"/>
      <c r="P987" s="12"/>
      <c r="Q987" s="12"/>
      <c r="R987" s="12"/>
      <c r="S987" s="12"/>
      <c r="T987" s="12"/>
      <c r="U987" s="12"/>
      <c r="V987" s="12"/>
      <c r="W987" s="12"/>
      <c r="X987" s="12"/>
      <c r="Y987" s="12"/>
      <c r="Z987" s="12"/>
      <c r="AA987" s="12"/>
    </row>
    <row r="988" ht="13.5" customHeight="1">
      <c r="A988" s="17"/>
      <c r="B988" s="12"/>
      <c r="C988" s="12"/>
      <c r="D988" s="17"/>
      <c r="E988" s="12"/>
      <c r="F988" s="12"/>
      <c r="G988" s="17"/>
      <c r="H988" s="17"/>
      <c r="I988" s="12"/>
      <c r="J988" s="12"/>
      <c r="K988" s="12"/>
      <c r="L988" s="12"/>
      <c r="M988" s="12"/>
      <c r="N988" s="12"/>
      <c r="O988" s="12"/>
      <c r="P988" s="12"/>
      <c r="Q988" s="12"/>
      <c r="R988" s="12"/>
      <c r="S988" s="12"/>
      <c r="T988" s="12"/>
      <c r="U988" s="12"/>
      <c r="V988" s="12"/>
      <c r="W988" s="12"/>
      <c r="X988" s="12"/>
      <c r="Y988" s="12"/>
      <c r="Z988" s="12"/>
      <c r="AA988" s="12"/>
    </row>
    <row r="989" ht="13.5" customHeight="1">
      <c r="A989" s="17"/>
      <c r="B989" s="12"/>
      <c r="C989" s="12"/>
      <c r="D989" s="17"/>
      <c r="E989" s="12"/>
      <c r="F989" s="12"/>
      <c r="G989" s="17"/>
      <c r="H989" s="17"/>
      <c r="I989" s="12"/>
      <c r="J989" s="12"/>
      <c r="K989" s="12"/>
      <c r="L989" s="12"/>
      <c r="M989" s="12"/>
      <c r="N989" s="12"/>
      <c r="O989" s="12"/>
      <c r="P989" s="12"/>
      <c r="Q989" s="12"/>
      <c r="R989" s="12"/>
      <c r="S989" s="12"/>
      <c r="T989" s="12"/>
      <c r="U989" s="12"/>
      <c r="V989" s="12"/>
      <c r="W989" s="12"/>
      <c r="X989" s="12"/>
      <c r="Y989" s="12"/>
      <c r="Z989" s="12"/>
      <c r="AA989" s="12"/>
    </row>
    <row r="990" ht="13.5" customHeight="1">
      <c r="A990" s="17"/>
      <c r="B990" s="12"/>
      <c r="C990" s="12"/>
      <c r="D990" s="17"/>
      <c r="E990" s="12"/>
      <c r="F990" s="12"/>
      <c r="G990" s="17"/>
      <c r="H990" s="17"/>
      <c r="I990" s="12"/>
      <c r="J990" s="12"/>
      <c r="K990" s="12"/>
      <c r="L990" s="12"/>
      <c r="M990" s="12"/>
      <c r="N990" s="12"/>
      <c r="O990" s="12"/>
      <c r="P990" s="12"/>
      <c r="Q990" s="12"/>
      <c r="R990" s="12"/>
      <c r="S990" s="12"/>
      <c r="T990" s="12"/>
      <c r="U990" s="12"/>
      <c r="V990" s="12"/>
      <c r="W990" s="12"/>
      <c r="X990" s="12"/>
      <c r="Y990" s="12"/>
      <c r="Z990" s="12"/>
      <c r="AA990" s="12"/>
    </row>
    <row r="991" ht="13.5" customHeight="1">
      <c r="A991" s="17"/>
      <c r="B991" s="12"/>
      <c r="C991" s="12"/>
      <c r="D991" s="17"/>
      <c r="E991" s="12"/>
      <c r="F991" s="12"/>
      <c r="G991" s="17"/>
      <c r="H991" s="17"/>
      <c r="I991" s="12"/>
      <c r="J991" s="12"/>
      <c r="K991" s="12"/>
      <c r="L991" s="12"/>
      <c r="M991" s="12"/>
      <c r="N991" s="12"/>
      <c r="O991" s="12"/>
      <c r="P991" s="12"/>
      <c r="Q991" s="12"/>
      <c r="R991" s="12"/>
      <c r="S991" s="12"/>
      <c r="T991" s="12"/>
      <c r="U991" s="12"/>
      <c r="V991" s="12"/>
      <c r="W991" s="12"/>
      <c r="X991" s="12"/>
      <c r="Y991" s="12"/>
      <c r="Z991" s="12"/>
      <c r="AA991" s="12"/>
    </row>
    <row r="992" ht="13.5" customHeight="1">
      <c r="A992" s="17"/>
      <c r="B992" s="12"/>
      <c r="C992" s="12"/>
      <c r="D992" s="17"/>
      <c r="E992" s="12"/>
      <c r="F992" s="12"/>
      <c r="G992" s="17"/>
      <c r="H992" s="17"/>
      <c r="I992" s="12"/>
      <c r="J992" s="12"/>
      <c r="K992" s="12"/>
      <c r="L992" s="12"/>
      <c r="M992" s="12"/>
      <c r="N992" s="12"/>
      <c r="O992" s="12"/>
      <c r="P992" s="12"/>
      <c r="Q992" s="12"/>
      <c r="R992" s="12"/>
      <c r="S992" s="12"/>
      <c r="T992" s="12"/>
      <c r="U992" s="12"/>
      <c r="V992" s="12"/>
      <c r="W992" s="12"/>
      <c r="X992" s="12"/>
      <c r="Y992" s="12"/>
      <c r="Z992" s="12"/>
      <c r="AA992" s="12"/>
    </row>
    <row r="993" ht="13.5" customHeight="1">
      <c r="A993" s="17"/>
      <c r="B993" s="12"/>
      <c r="C993" s="12"/>
      <c r="D993" s="17"/>
      <c r="E993" s="12"/>
      <c r="F993" s="12"/>
      <c r="G993" s="17"/>
      <c r="H993" s="17"/>
      <c r="I993" s="12"/>
      <c r="J993" s="12"/>
      <c r="K993" s="12"/>
      <c r="L993" s="12"/>
      <c r="M993" s="12"/>
      <c r="N993" s="12"/>
      <c r="O993" s="12"/>
      <c r="P993" s="12"/>
      <c r="Q993" s="12"/>
      <c r="R993" s="12"/>
      <c r="S993" s="12"/>
      <c r="T993" s="12"/>
      <c r="U993" s="12"/>
      <c r="V993" s="12"/>
      <c r="W993" s="12"/>
      <c r="X993" s="12"/>
      <c r="Y993" s="12"/>
      <c r="Z993" s="12"/>
      <c r="AA993" s="12"/>
    </row>
  </sheetData>
  <autoFilter ref="$A$1:$AA$993"/>
  <customSheetViews>
    <customSheetView guid="{7E71B5F7-61AF-4C93-AAAA-D905E381EEB1}" filter="1" showAutoFilter="1">
      <autoFilter ref="$F$8"/>
    </customSheetView>
    <customSheetView guid="{029C2313-9411-4E27-907A-EFD996D6C4E5}" filter="1" showAutoFilter="1">
      <autoFilter ref="$F$1:$Z$993">
        <filterColumn colId="0">
          <filters blank="1"/>
        </filterColumn>
      </autoFilter>
    </customSheetView>
    <customSheetView guid="{3EDA368C-82AF-4F91-99D0-447C6D0C3AC0}" filter="1" showAutoFilter="1">
      <autoFilter ref="$A$1:$I$993"/>
    </customSheetView>
  </customSheetViews>
  <conditionalFormatting sqref="J14:AA14">
    <cfRule type="cellIs" dxfId="0" priority="1" operator="equal">
      <formula>"closed"</formula>
    </cfRule>
  </conditionalFormatting>
  <conditionalFormatting sqref="F2:F24">
    <cfRule type="containsText" dxfId="0" priority="2" operator="containsText" text="Closed">
      <formula>NOT(ISERROR(SEARCH(("Closed"),(F2))))</formula>
    </cfRule>
  </conditionalFormatting>
  <conditionalFormatting sqref="F2:F24">
    <cfRule type="containsText" dxfId="1" priority="3" operator="containsText" text="Open">
      <formula>NOT(ISERROR(SEARCH(("Open"),(F2))))</formula>
    </cfRule>
  </conditionalFormatting>
  <conditionalFormatting sqref="F2:F12">
    <cfRule type="containsText" dxfId="2" priority="4" operator="containsText" text="Closed">
      <formula>NOT(ISERROR(SEARCH(("Closed"),(F2))))</formula>
    </cfRule>
  </conditionalFormatting>
  <conditionalFormatting sqref="F2:F24">
    <cfRule type="containsText" dxfId="3" priority="5" operator="containsText" text="Monitor">
      <formula>NOT(ISERROR(SEARCH(("Monitor"),(F2))))</formula>
    </cfRule>
  </conditionalFormatting>
  <dataValidations>
    <dataValidation type="list" allowBlank="1" sqref="C2:C12">
      <formula1>Option!$E$2:$E$13</formula1>
    </dataValidation>
    <dataValidation type="list" allowBlank="1" sqref="F2:F12">
      <formula1>Option!$F$2:$F$4</formula1>
    </dataValidation>
    <dataValidation type="list" allowBlank="1" sqref="B2:B12">
      <formula1>Option!$C$4:$C$13</formula1>
    </dataValidation>
    <dataValidation type="list" allowBlank="1" sqref="E2:E12">
      <formula1>Option!$G$2:$G$5</formula1>
    </dataValidation>
    <dataValidation type="list" allowBlank="1" sqref="D2:D24">
      <formula1>Option!$D$2:$D$13</formula1>
    </dataValidation>
  </dataValidation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7" max="7" width="18.25"/>
  </cols>
  <sheetData>
    <row r="1">
      <c r="A1" s="1" t="s">
        <v>0</v>
      </c>
      <c r="B1" s="1" t="s">
        <v>1</v>
      </c>
      <c r="C1" s="1" t="s">
        <v>3</v>
      </c>
      <c r="D1" s="1" t="s">
        <v>4</v>
      </c>
      <c r="E1" s="1" t="s">
        <v>5</v>
      </c>
      <c r="F1" s="1" t="s">
        <v>52</v>
      </c>
      <c r="G1" s="1" t="s">
        <v>53</v>
      </c>
      <c r="H1" s="2" t="s">
        <v>8</v>
      </c>
    </row>
    <row r="2">
      <c r="A2" s="15"/>
      <c r="B2" s="7"/>
      <c r="C2" s="9"/>
      <c r="D2" s="9"/>
      <c r="E2" s="7"/>
      <c r="F2" s="7"/>
      <c r="G2" s="13"/>
      <c r="H2" s="18"/>
    </row>
    <row r="3">
      <c r="A3" s="15"/>
      <c r="B3" s="7"/>
      <c r="C3" s="9"/>
      <c r="D3" s="9"/>
      <c r="E3" s="7"/>
      <c r="F3" s="7"/>
      <c r="G3" s="13"/>
      <c r="H3" s="18"/>
    </row>
    <row r="4">
      <c r="A4" s="15"/>
      <c r="B4" s="7"/>
      <c r="C4" s="9"/>
      <c r="D4" s="9"/>
      <c r="E4" s="7"/>
      <c r="F4" s="7"/>
      <c r="G4" s="13"/>
      <c r="H4" s="18"/>
    </row>
    <row r="5">
      <c r="A5" s="15"/>
      <c r="B5" s="7"/>
      <c r="C5" s="9"/>
      <c r="D5" s="9"/>
      <c r="E5" s="7"/>
      <c r="F5" s="7"/>
      <c r="G5" s="13"/>
      <c r="H5" s="18"/>
    </row>
    <row r="6">
      <c r="A6" s="15"/>
      <c r="B6" s="7"/>
      <c r="C6" s="9"/>
      <c r="D6" s="9"/>
      <c r="E6" s="7"/>
      <c r="F6" s="7"/>
      <c r="G6" s="13"/>
      <c r="H6" s="18"/>
    </row>
    <row r="7">
      <c r="A7" s="15"/>
      <c r="B7" s="7"/>
      <c r="C7" s="9"/>
      <c r="D7" s="9"/>
      <c r="E7" s="7"/>
      <c r="F7" s="7"/>
      <c r="G7" s="13"/>
      <c r="H7" s="18"/>
    </row>
    <row r="8">
      <c r="A8" s="15"/>
      <c r="B8" s="7"/>
      <c r="C8" s="9"/>
      <c r="D8" s="9"/>
      <c r="E8" s="7"/>
      <c r="F8" s="7"/>
      <c r="G8" s="13"/>
      <c r="H8" s="18"/>
    </row>
    <row r="9">
      <c r="A9" s="15"/>
      <c r="B9" s="7"/>
      <c r="C9" s="9"/>
      <c r="D9" s="9"/>
      <c r="E9" s="7"/>
      <c r="F9" s="7"/>
      <c r="G9" s="13"/>
      <c r="H9" s="18"/>
    </row>
    <row r="10">
      <c r="A10" s="15"/>
      <c r="B10" s="7"/>
      <c r="C10" s="9"/>
      <c r="D10" s="9"/>
      <c r="E10" s="7"/>
      <c r="F10" s="7"/>
      <c r="G10" s="13"/>
      <c r="H10" s="18"/>
    </row>
    <row r="11">
      <c r="A11" s="15"/>
      <c r="B11" s="7"/>
      <c r="C11" s="9"/>
      <c r="D11" s="9"/>
      <c r="E11" s="7"/>
      <c r="F11" s="7"/>
      <c r="G11" s="13"/>
      <c r="H11" s="7"/>
    </row>
    <row r="12">
      <c r="A12" s="15"/>
      <c r="B12" s="7"/>
      <c r="C12" s="9"/>
      <c r="D12" s="9"/>
      <c r="E12" s="7"/>
      <c r="F12" s="7"/>
      <c r="G12" s="13"/>
      <c r="H12" s="7"/>
    </row>
    <row r="13">
      <c r="A13" s="15"/>
      <c r="B13" s="7"/>
      <c r="C13" s="9"/>
      <c r="D13" s="9"/>
      <c r="E13" s="7"/>
      <c r="F13" s="7"/>
      <c r="G13" s="13"/>
      <c r="H13" s="7"/>
    </row>
    <row r="14">
      <c r="A14" s="15"/>
      <c r="B14" s="7"/>
      <c r="C14" s="9"/>
      <c r="D14" s="9"/>
      <c r="E14" s="7"/>
      <c r="F14" s="7"/>
      <c r="G14" s="13"/>
      <c r="H14" s="18"/>
    </row>
    <row r="15">
      <c r="A15" s="15"/>
      <c r="B15" s="7"/>
      <c r="C15" s="9"/>
      <c r="D15" s="9"/>
      <c r="E15" s="7"/>
      <c r="F15" s="7"/>
      <c r="G15" s="13"/>
      <c r="H15" s="7"/>
    </row>
    <row r="16">
      <c r="A16" s="15"/>
      <c r="B16" s="7"/>
      <c r="C16" s="9"/>
      <c r="D16" s="9"/>
      <c r="E16" s="7"/>
      <c r="F16" s="7"/>
      <c r="G16" s="13"/>
      <c r="H16" s="7"/>
    </row>
    <row r="17">
      <c r="A17" s="15"/>
      <c r="B17" s="7"/>
      <c r="C17" s="9"/>
      <c r="D17" s="9"/>
      <c r="E17" s="7"/>
      <c r="F17" s="7"/>
      <c r="G17" s="13"/>
      <c r="H17" s="7"/>
    </row>
    <row r="18">
      <c r="A18" s="15"/>
      <c r="B18" s="7"/>
      <c r="C18" s="9"/>
      <c r="D18" s="9"/>
      <c r="E18" s="7"/>
      <c r="F18" s="7"/>
      <c r="G18" s="13"/>
      <c r="H18" s="7"/>
    </row>
    <row r="19">
      <c r="A19" s="15"/>
      <c r="B19" s="7"/>
      <c r="C19" s="9"/>
      <c r="D19" s="9"/>
      <c r="E19" s="7"/>
      <c r="F19" s="7"/>
      <c r="G19" s="13"/>
      <c r="H19" s="7"/>
    </row>
    <row r="20">
      <c r="A20" s="15"/>
      <c r="B20" s="7"/>
      <c r="C20" s="9"/>
      <c r="D20" s="9"/>
      <c r="E20" s="7"/>
      <c r="F20" s="7"/>
      <c r="G20" s="13"/>
      <c r="H20" s="7"/>
    </row>
    <row r="21">
      <c r="A21" s="15"/>
      <c r="B21" s="7"/>
      <c r="C21" s="9"/>
      <c r="D21" s="9"/>
      <c r="E21" s="7"/>
      <c r="F21" s="7"/>
      <c r="G21" s="13"/>
      <c r="H21" s="7"/>
    </row>
    <row r="22">
      <c r="A22" s="15"/>
      <c r="B22" s="7"/>
      <c r="C22" s="9"/>
      <c r="D22" s="9"/>
      <c r="E22" s="7"/>
      <c r="F22" s="7"/>
      <c r="G22" s="13"/>
      <c r="H22" s="7"/>
    </row>
  </sheetData>
  <conditionalFormatting sqref="E2:E22">
    <cfRule type="containsText" dxfId="1" priority="1" operator="containsText" text="Open">
      <formula>NOT(ISERROR(SEARCH(("Open"),(E2))))</formula>
    </cfRule>
  </conditionalFormatting>
  <conditionalFormatting sqref="E2:E22">
    <cfRule type="containsText" dxfId="0" priority="2" operator="containsText" text="Closed">
      <formula>NOT(ISERROR(SEARCH(("Closed"),(E2))))</formula>
    </cfRule>
  </conditionalFormatting>
  <conditionalFormatting sqref="E2:E22">
    <cfRule type="containsText" dxfId="3" priority="3" operator="containsText" text="Monitor">
      <formula>NOT(ISERROR(SEARCH(("Monitor"),(E2))))</formula>
    </cfRule>
  </conditionalFormatting>
  <dataValidations>
    <dataValidation type="list" allowBlank="1" sqref="C2:C22">
      <formula1>Option!$D$5:$D$10</formula1>
    </dataValidation>
    <dataValidation type="list" allowBlank="1" sqref="E2:E22">
      <formula1>Option!$F$2:$F$4</formula1>
    </dataValidation>
    <dataValidation type="list" allowBlank="1" sqref="B2:B22">
      <formula1>Option!$C$4:$C$13</formula1>
    </dataValidation>
    <dataValidation type="list" allowBlank="1" sqref="D2:D22">
      <formula1>Option!$G$2:$G$5</formula1>
    </dataValidation>
  </dataValidations>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7" max="7" width="70.25"/>
  </cols>
  <sheetData>
    <row r="1">
      <c r="A1" s="4" t="s">
        <v>54</v>
      </c>
      <c r="B1" s="4" t="s">
        <v>1</v>
      </c>
      <c r="C1" s="4" t="s">
        <v>2</v>
      </c>
      <c r="D1" s="4" t="s">
        <v>3</v>
      </c>
      <c r="E1" s="4" t="s">
        <v>4</v>
      </c>
      <c r="F1" s="4" t="s">
        <v>5</v>
      </c>
      <c r="G1" s="4" t="s">
        <v>6</v>
      </c>
      <c r="H1" s="4" t="s">
        <v>7</v>
      </c>
      <c r="I1" s="3" t="s">
        <v>8</v>
      </c>
      <c r="J1" s="3" t="s">
        <v>9</v>
      </c>
      <c r="K1" s="4" t="s">
        <v>10</v>
      </c>
      <c r="L1" s="4" t="s">
        <v>11</v>
      </c>
      <c r="M1" s="19" t="s">
        <v>55</v>
      </c>
    </row>
    <row r="2">
      <c r="A2" s="20">
        <v>46151.0</v>
      </c>
      <c r="B2" s="21" t="s">
        <v>56</v>
      </c>
      <c r="C2" s="22" t="s">
        <v>57</v>
      </c>
      <c r="D2" s="23" t="s">
        <v>58</v>
      </c>
      <c r="E2" s="23" t="s">
        <v>15</v>
      </c>
      <c r="F2" s="24" t="s">
        <v>59</v>
      </c>
      <c r="G2" s="25" t="s">
        <v>60</v>
      </c>
      <c r="H2" s="26" t="s">
        <v>61</v>
      </c>
      <c r="I2" s="27" t="s">
        <v>62</v>
      </c>
      <c r="J2" s="28"/>
      <c r="K2" s="28"/>
      <c r="L2" s="27" t="s">
        <v>63</v>
      </c>
      <c r="M2" s="29"/>
      <c r="N2" s="28"/>
      <c r="O2" s="29"/>
      <c r="P2" s="29"/>
      <c r="Q2" s="29"/>
      <c r="R2" s="29"/>
      <c r="S2" s="29"/>
      <c r="T2" s="29"/>
      <c r="U2" s="29"/>
      <c r="V2" s="29"/>
      <c r="W2" s="29"/>
      <c r="X2" s="29"/>
      <c r="Y2" s="29"/>
      <c r="Z2" s="29"/>
    </row>
    <row r="3">
      <c r="A3" s="20">
        <v>46153.0</v>
      </c>
      <c r="B3" s="21" t="s">
        <v>56</v>
      </c>
      <c r="C3" s="22" t="s">
        <v>26</v>
      </c>
      <c r="D3" s="23" t="s">
        <v>27</v>
      </c>
      <c r="E3" s="23" t="s">
        <v>64</v>
      </c>
      <c r="F3" s="24" t="s">
        <v>16</v>
      </c>
      <c r="G3" s="25" t="s">
        <v>65</v>
      </c>
      <c r="H3" s="30"/>
      <c r="I3" s="27" t="s">
        <v>66</v>
      </c>
      <c r="J3" s="27" t="s">
        <v>67</v>
      </c>
      <c r="K3" s="28"/>
      <c r="L3" s="27" t="s">
        <v>68</v>
      </c>
      <c r="M3" s="29"/>
      <c r="N3" s="28"/>
      <c r="O3" s="29"/>
      <c r="P3" s="29"/>
      <c r="Q3" s="29"/>
      <c r="R3" s="29"/>
      <c r="S3" s="29"/>
      <c r="T3" s="29"/>
      <c r="U3" s="29"/>
      <c r="V3" s="29"/>
      <c r="W3" s="29"/>
      <c r="X3" s="29"/>
      <c r="Y3" s="29"/>
      <c r="Z3" s="29"/>
    </row>
    <row r="4">
      <c r="A4" s="20">
        <v>46153.0</v>
      </c>
      <c r="B4" s="21" t="s">
        <v>56</v>
      </c>
      <c r="C4" s="22" t="s">
        <v>26</v>
      </c>
      <c r="D4" s="23" t="s">
        <v>58</v>
      </c>
      <c r="E4" s="23" t="s">
        <v>22</v>
      </c>
      <c r="F4" s="24" t="s">
        <v>16</v>
      </c>
      <c r="G4" s="25" t="s">
        <v>69</v>
      </c>
      <c r="H4" s="30"/>
      <c r="I4" s="27" t="s">
        <v>70</v>
      </c>
      <c r="J4" s="28"/>
      <c r="K4" s="28"/>
      <c r="L4" s="27" t="s">
        <v>71</v>
      </c>
      <c r="M4" s="29"/>
      <c r="N4" s="28"/>
      <c r="O4" s="29"/>
      <c r="P4" s="29"/>
      <c r="Q4" s="29"/>
      <c r="R4" s="29"/>
      <c r="S4" s="29"/>
      <c r="T4" s="29"/>
      <c r="U4" s="29"/>
      <c r="V4" s="29"/>
      <c r="W4" s="29"/>
      <c r="X4" s="29"/>
      <c r="Y4" s="29"/>
      <c r="Z4" s="29"/>
    </row>
    <row r="5" ht="107.25" customHeight="1">
      <c r="A5" s="20">
        <v>46141.0</v>
      </c>
      <c r="B5" s="21" t="s">
        <v>56</v>
      </c>
      <c r="C5" s="22" t="s">
        <v>72</v>
      </c>
      <c r="D5" s="23" t="s">
        <v>27</v>
      </c>
      <c r="E5" s="23" t="s">
        <v>22</v>
      </c>
      <c r="F5" s="24" t="s">
        <v>16</v>
      </c>
      <c r="G5" s="25" t="s">
        <v>73</v>
      </c>
      <c r="H5" s="30"/>
      <c r="I5" s="27" t="s">
        <v>74</v>
      </c>
      <c r="J5" s="28"/>
      <c r="K5" s="28"/>
      <c r="L5" s="27" t="s">
        <v>71</v>
      </c>
      <c r="M5" s="29"/>
      <c r="N5" s="28"/>
      <c r="O5" s="29"/>
      <c r="P5" s="29"/>
      <c r="Q5" s="29"/>
      <c r="R5" s="29"/>
      <c r="S5" s="29"/>
      <c r="T5" s="29"/>
      <c r="U5" s="29"/>
      <c r="V5" s="29"/>
      <c r="W5" s="29"/>
      <c r="X5" s="29"/>
      <c r="Y5" s="29"/>
      <c r="Z5" s="29"/>
    </row>
    <row r="6" ht="85.5" customHeight="1">
      <c r="A6" s="31">
        <v>46115.0</v>
      </c>
      <c r="B6" s="32" t="s">
        <v>75</v>
      </c>
      <c r="C6" s="22" t="s">
        <v>76</v>
      </c>
      <c r="D6" s="33" t="s">
        <v>77</v>
      </c>
      <c r="E6" s="33" t="s">
        <v>22</v>
      </c>
      <c r="F6" s="24" t="s">
        <v>16</v>
      </c>
      <c r="G6" s="25" t="s">
        <v>78</v>
      </c>
      <c r="H6" s="30"/>
      <c r="I6" s="30" t="s">
        <v>79</v>
      </c>
      <c r="J6" s="28"/>
      <c r="K6" s="28"/>
      <c r="L6" s="30" t="s">
        <v>63</v>
      </c>
      <c r="M6" s="29"/>
      <c r="N6" s="28"/>
      <c r="O6" s="29"/>
      <c r="P6" s="29"/>
      <c r="Q6" s="29"/>
      <c r="R6" s="29"/>
      <c r="S6" s="29"/>
      <c r="T6" s="29"/>
      <c r="U6" s="29"/>
      <c r="V6" s="29"/>
      <c r="W6" s="29"/>
      <c r="X6" s="29"/>
      <c r="Y6" s="29"/>
      <c r="Z6" s="29"/>
    </row>
    <row r="7" ht="85.5" customHeight="1">
      <c r="A7" s="20">
        <v>46115.0</v>
      </c>
      <c r="B7" s="21" t="s">
        <v>75</v>
      </c>
      <c r="C7" s="22" t="s">
        <v>20</v>
      </c>
      <c r="D7" s="23" t="s">
        <v>77</v>
      </c>
      <c r="E7" s="23" t="s">
        <v>22</v>
      </c>
      <c r="F7" s="24" t="s">
        <v>16</v>
      </c>
      <c r="G7" s="25" t="s">
        <v>80</v>
      </c>
      <c r="H7" s="34"/>
      <c r="I7" s="27" t="s">
        <v>67</v>
      </c>
      <c r="J7" s="27" t="s">
        <v>79</v>
      </c>
      <c r="K7" s="35"/>
      <c r="L7" s="27" t="s">
        <v>63</v>
      </c>
      <c r="N7" s="36"/>
      <c r="O7" s="29"/>
      <c r="P7" s="29"/>
      <c r="Q7" s="29"/>
      <c r="R7" s="29"/>
      <c r="S7" s="29"/>
      <c r="T7" s="29"/>
      <c r="U7" s="29"/>
      <c r="V7" s="29"/>
      <c r="W7" s="29"/>
      <c r="X7" s="29"/>
      <c r="Y7" s="29"/>
      <c r="Z7" s="29"/>
    </row>
    <row r="8" ht="85.5" customHeight="1">
      <c r="A8" s="20">
        <v>46115.0</v>
      </c>
      <c r="B8" s="21" t="s">
        <v>75</v>
      </c>
      <c r="C8" s="22" t="s">
        <v>20</v>
      </c>
      <c r="D8" s="23" t="s">
        <v>81</v>
      </c>
      <c r="E8" s="23" t="s">
        <v>22</v>
      </c>
      <c r="F8" s="24" t="s">
        <v>16</v>
      </c>
      <c r="G8" s="25" t="s">
        <v>82</v>
      </c>
      <c r="H8" s="37"/>
      <c r="I8" s="30" t="s">
        <v>79</v>
      </c>
      <c r="J8" s="28"/>
      <c r="K8" s="28"/>
      <c r="L8" s="30" t="s">
        <v>63</v>
      </c>
      <c r="N8" s="36"/>
      <c r="O8" s="29"/>
      <c r="P8" s="29"/>
      <c r="Q8" s="29"/>
      <c r="R8" s="29"/>
      <c r="S8" s="29"/>
      <c r="T8" s="29"/>
      <c r="U8" s="29"/>
      <c r="V8" s="29"/>
      <c r="W8" s="29"/>
      <c r="X8" s="29"/>
      <c r="Y8" s="29"/>
      <c r="Z8" s="29"/>
    </row>
    <row r="9">
      <c r="A9" s="20">
        <v>46115.0</v>
      </c>
      <c r="B9" s="21" t="s">
        <v>75</v>
      </c>
      <c r="C9" s="22" t="s">
        <v>83</v>
      </c>
      <c r="D9" s="23" t="s">
        <v>81</v>
      </c>
      <c r="E9" s="23" t="s">
        <v>22</v>
      </c>
      <c r="F9" s="24" t="s">
        <v>16</v>
      </c>
      <c r="G9" s="25" t="s">
        <v>84</v>
      </c>
      <c r="H9" s="37"/>
      <c r="I9" s="27" t="s">
        <v>66</v>
      </c>
      <c r="J9" s="30" t="s">
        <v>79</v>
      </c>
      <c r="K9" s="28"/>
      <c r="L9" s="30" t="s">
        <v>63</v>
      </c>
    </row>
  </sheetData>
  <conditionalFormatting sqref="F2:F9">
    <cfRule type="containsText" dxfId="0" priority="1" operator="containsText" text="Closed">
      <formula>NOT(ISERROR(SEARCH(("Closed"),(F2))))</formula>
    </cfRule>
  </conditionalFormatting>
  <conditionalFormatting sqref="F2:F9">
    <cfRule type="containsText" dxfId="3" priority="2" operator="containsText" text="Monitor">
      <formula>NOT(ISERROR(SEARCH(("Monitor"),(F2))))</formula>
    </cfRule>
  </conditionalFormatting>
  <conditionalFormatting sqref="F2:F9">
    <cfRule type="containsText" dxfId="4" priority="3" operator="containsText" text="Open">
      <formula>NOT(ISERROR(SEARCH(("Open"),(F2))))</formula>
    </cfRule>
  </conditionalFormatting>
  <conditionalFormatting sqref="F2:F9">
    <cfRule type="containsText" dxfId="5" priority="4" operator="containsText" text="NA">
      <formula>NOT(ISERROR(SEARCH(("NA"),(F2))))</formula>
    </cfRule>
  </conditionalFormatting>
  <dataValidations>
    <dataValidation type="list" allowBlank="1" sqref="B2:B9">
      <formula1>Option!$C$2:$C$16</formula1>
    </dataValidation>
    <dataValidation type="list" allowBlank="1" sqref="I2 I3:J3 I4:I6 I7:J7 I8 I9:J9">
      <formula1>Option!$K$2:$K$17</formula1>
    </dataValidation>
    <dataValidation type="list" allowBlank="1" sqref="D2:D9">
      <formula1>Option!$D$2:$D$15</formula1>
    </dataValidation>
    <dataValidation type="list" allowBlank="1" sqref="F2:F9">
      <formula1>Option!$F$2:$F$5</formula1>
    </dataValidation>
    <dataValidation type="list" allowBlank="1" sqref="L2:L9">
      <formula1>"1.SCH,2.PCB,3.BOM,4.Parameter,5.SW/ME/RF/ANT/Component/MFG/Vendor,6.No Change"</formula1>
    </dataValidation>
    <dataValidation type="list" allowBlank="1" sqref="E2:E9">
      <formula1>Option!$G$2:$G$5</formula1>
    </dataValidation>
    <dataValidation type="list" allowBlank="1" sqref="C2:C9">
      <formula1>Option!$E$2:$E$15</formula1>
    </dataValidation>
  </dataValidations>
  <hyperlinks>
    <hyperlink r:id="rId4" location="slide=id.g3e2dc31d900_0_556" ref="H2"/>
  </hyperlinks>
  <drawing r:id="rId5"/>
  <legacy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7" max="7" width="99.25"/>
  </cols>
  <sheetData>
    <row r="1">
      <c r="A1" s="4" t="s">
        <v>85</v>
      </c>
      <c r="B1" s="4" t="s">
        <v>1</v>
      </c>
      <c r="C1" s="4" t="s">
        <v>2</v>
      </c>
      <c r="D1" s="4" t="s">
        <v>3</v>
      </c>
      <c r="E1" s="4" t="s">
        <v>4</v>
      </c>
      <c r="F1" s="4" t="s">
        <v>5</v>
      </c>
      <c r="G1" s="4" t="s">
        <v>6</v>
      </c>
      <c r="H1" s="4" t="s">
        <v>7</v>
      </c>
      <c r="I1" s="3" t="s">
        <v>8</v>
      </c>
      <c r="J1" s="3" t="s">
        <v>9</v>
      </c>
      <c r="K1" s="4" t="s">
        <v>10</v>
      </c>
      <c r="L1" s="4" t="s">
        <v>11</v>
      </c>
      <c r="M1" s="19" t="s">
        <v>55</v>
      </c>
    </row>
    <row r="2">
      <c r="A2" s="20">
        <v>46160.0</v>
      </c>
      <c r="B2" s="21" t="s">
        <v>25</v>
      </c>
      <c r="C2" s="22" t="s">
        <v>36</v>
      </c>
      <c r="D2" s="23" t="s">
        <v>14</v>
      </c>
      <c r="E2" s="23" t="s">
        <v>64</v>
      </c>
      <c r="F2" s="24" t="s">
        <v>86</v>
      </c>
      <c r="G2" s="38" t="s">
        <v>87</v>
      </c>
      <c r="H2" s="26" t="s">
        <v>61</v>
      </c>
      <c r="I2" s="27" t="s">
        <v>66</v>
      </c>
      <c r="J2" s="27"/>
      <c r="K2" s="28"/>
      <c r="L2" s="27" t="s">
        <v>71</v>
      </c>
      <c r="M2" s="29"/>
      <c r="N2" s="28"/>
      <c r="O2" s="29"/>
      <c r="P2" s="29"/>
      <c r="Q2" s="29"/>
      <c r="R2" s="29"/>
      <c r="S2" s="29"/>
      <c r="T2" s="29"/>
      <c r="U2" s="29"/>
      <c r="V2" s="29"/>
      <c r="W2" s="29"/>
      <c r="X2" s="29"/>
      <c r="Y2" s="29"/>
      <c r="Z2" s="29"/>
    </row>
    <row r="3">
      <c r="A3" s="20">
        <v>46150.0</v>
      </c>
      <c r="B3" s="21" t="s">
        <v>25</v>
      </c>
      <c r="C3" s="22" t="s">
        <v>36</v>
      </c>
      <c r="D3" s="23" t="s">
        <v>27</v>
      </c>
      <c r="E3" s="23" t="s">
        <v>64</v>
      </c>
      <c r="F3" s="24" t="s">
        <v>16</v>
      </c>
      <c r="G3" s="38" t="s">
        <v>88</v>
      </c>
      <c r="H3" s="34"/>
      <c r="I3" s="27" t="s">
        <v>66</v>
      </c>
      <c r="J3" s="27"/>
      <c r="K3" s="28"/>
      <c r="L3" s="27" t="s">
        <v>71</v>
      </c>
      <c r="M3" s="29"/>
      <c r="N3" s="28"/>
      <c r="O3" s="29"/>
      <c r="P3" s="29"/>
      <c r="Q3" s="29"/>
      <c r="R3" s="29"/>
      <c r="S3" s="29"/>
      <c r="T3" s="29"/>
      <c r="U3" s="29"/>
      <c r="V3" s="29"/>
      <c r="W3" s="29"/>
      <c r="X3" s="29"/>
      <c r="Y3" s="29"/>
      <c r="Z3" s="29"/>
    </row>
    <row r="4">
      <c r="A4" s="20">
        <v>46150.0</v>
      </c>
      <c r="B4" s="21" t="s">
        <v>19</v>
      </c>
      <c r="C4" s="22" t="s">
        <v>36</v>
      </c>
      <c r="D4" s="23" t="s">
        <v>89</v>
      </c>
      <c r="E4" s="23" t="s">
        <v>15</v>
      </c>
      <c r="F4" s="24" t="s">
        <v>59</v>
      </c>
      <c r="G4" s="38" t="s">
        <v>90</v>
      </c>
      <c r="H4" s="26" t="s">
        <v>61</v>
      </c>
      <c r="I4" s="27" t="s">
        <v>66</v>
      </c>
      <c r="J4" s="27"/>
      <c r="K4" s="28"/>
      <c r="L4" s="30"/>
      <c r="M4" s="29"/>
      <c r="N4" s="28"/>
      <c r="O4" s="29"/>
      <c r="P4" s="29"/>
      <c r="Q4" s="29"/>
      <c r="R4" s="29"/>
      <c r="S4" s="29"/>
      <c r="T4" s="29"/>
      <c r="U4" s="29"/>
      <c r="V4" s="29"/>
      <c r="W4" s="29"/>
      <c r="X4" s="29"/>
      <c r="Y4" s="29"/>
      <c r="Z4" s="29"/>
    </row>
    <row r="5" ht="54.75" customHeight="1">
      <c r="A5" s="20">
        <v>46149.0</v>
      </c>
      <c r="B5" s="21" t="s">
        <v>25</v>
      </c>
      <c r="C5" s="22" t="s">
        <v>36</v>
      </c>
      <c r="D5" s="23" t="s">
        <v>27</v>
      </c>
      <c r="E5" s="23" t="s">
        <v>64</v>
      </c>
      <c r="F5" s="24" t="s">
        <v>64</v>
      </c>
      <c r="G5" s="39" t="s">
        <v>91</v>
      </c>
      <c r="H5" s="34"/>
      <c r="I5" s="27" t="s">
        <v>66</v>
      </c>
      <c r="J5" s="27"/>
      <c r="K5" s="28"/>
      <c r="L5" s="30"/>
      <c r="M5" s="29"/>
      <c r="N5" s="28"/>
      <c r="O5" s="29"/>
      <c r="P5" s="29"/>
      <c r="Q5" s="29"/>
      <c r="R5" s="29"/>
      <c r="S5" s="29"/>
      <c r="T5" s="29"/>
      <c r="U5" s="29"/>
      <c r="V5" s="29"/>
      <c r="W5" s="29"/>
      <c r="X5" s="29"/>
      <c r="Y5" s="29"/>
      <c r="Z5" s="29"/>
    </row>
    <row r="6">
      <c r="A6" s="20">
        <v>46149.0</v>
      </c>
      <c r="B6" s="21" t="s">
        <v>25</v>
      </c>
      <c r="C6" s="22" t="s">
        <v>36</v>
      </c>
      <c r="D6" s="23" t="s">
        <v>27</v>
      </c>
      <c r="E6" s="23" t="s">
        <v>64</v>
      </c>
      <c r="F6" s="24" t="s">
        <v>64</v>
      </c>
      <c r="G6" s="40" t="s">
        <v>92</v>
      </c>
      <c r="H6" s="34"/>
      <c r="I6" s="27" t="s">
        <v>66</v>
      </c>
      <c r="J6" s="27"/>
      <c r="K6" s="28"/>
      <c r="L6" s="30"/>
      <c r="M6" s="29"/>
      <c r="N6" s="28"/>
      <c r="O6" s="29"/>
      <c r="P6" s="29"/>
      <c r="Q6" s="29"/>
      <c r="R6" s="29"/>
      <c r="S6" s="29"/>
      <c r="T6" s="29"/>
      <c r="U6" s="29"/>
      <c r="V6" s="29"/>
      <c r="W6" s="29"/>
      <c r="X6" s="29"/>
      <c r="Y6" s="29"/>
      <c r="Z6" s="29"/>
    </row>
    <row r="7">
      <c r="A7" s="20">
        <v>46149.0</v>
      </c>
      <c r="B7" s="21" t="s">
        <v>25</v>
      </c>
      <c r="C7" s="22" t="s">
        <v>36</v>
      </c>
      <c r="D7" s="23" t="s">
        <v>27</v>
      </c>
      <c r="E7" s="23" t="s">
        <v>22</v>
      </c>
      <c r="F7" s="24" t="s">
        <v>86</v>
      </c>
      <c r="G7" s="38" t="s">
        <v>93</v>
      </c>
      <c r="H7" s="26" t="s">
        <v>61</v>
      </c>
      <c r="I7" s="27" t="s">
        <v>66</v>
      </c>
      <c r="J7" s="27"/>
      <c r="K7" s="28"/>
      <c r="L7" s="30"/>
      <c r="M7" s="29"/>
      <c r="N7" s="28"/>
      <c r="O7" s="29"/>
      <c r="P7" s="29"/>
      <c r="Q7" s="29"/>
      <c r="R7" s="29"/>
      <c r="S7" s="29"/>
      <c r="T7" s="29"/>
      <c r="U7" s="29"/>
      <c r="V7" s="29"/>
      <c r="W7" s="29"/>
      <c r="X7" s="29"/>
      <c r="Y7" s="29"/>
      <c r="Z7" s="29"/>
    </row>
    <row r="8">
      <c r="A8" s="41">
        <v>46135.0</v>
      </c>
      <c r="B8" s="21" t="s">
        <v>19</v>
      </c>
      <c r="C8" s="22" t="s">
        <v>94</v>
      </c>
      <c r="D8" s="23" t="s">
        <v>95</v>
      </c>
      <c r="E8" s="23" t="s">
        <v>15</v>
      </c>
      <c r="F8" s="24" t="s">
        <v>86</v>
      </c>
      <c r="G8" s="38" t="s">
        <v>96</v>
      </c>
      <c r="H8" s="26" t="s">
        <v>97</v>
      </c>
      <c r="I8" s="27" t="s">
        <v>70</v>
      </c>
      <c r="J8" s="27" t="s">
        <v>67</v>
      </c>
      <c r="K8" s="28"/>
      <c r="L8" s="30"/>
      <c r="M8" s="29"/>
      <c r="N8" s="28"/>
      <c r="O8" s="29"/>
      <c r="P8" s="29"/>
      <c r="Q8" s="29"/>
      <c r="R8" s="29"/>
      <c r="S8" s="29"/>
      <c r="T8" s="29"/>
      <c r="U8" s="29"/>
      <c r="V8" s="29"/>
      <c r="W8" s="29"/>
      <c r="X8" s="29"/>
      <c r="Y8" s="29"/>
      <c r="Z8" s="29"/>
    </row>
    <row r="9" ht="35.25" customHeight="1">
      <c r="A9" s="42"/>
      <c r="B9" s="21" t="s">
        <v>19</v>
      </c>
      <c r="C9" s="22" t="s">
        <v>26</v>
      </c>
      <c r="D9" s="23" t="s">
        <v>21</v>
      </c>
      <c r="E9" s="23" t="s">
        <v>15</v>
      </c>
      <c r="F9" s="24" t="s">
        <v>59</v>
      </c>
      <c r="G9" s="38" t="s">
        <v>98</v>
      </c>
      <c r="H9" s="34"/>
      <c r="I9" s="27"/>
      <c r="J9" s="27"/>
      <c r="K9" s="28"/>
      <c r="L9" s="30"/>
      <c r="M9" s="29"/>
      <c r="N9" s="28"/>
      <c r="O9" s="29"/>
      <c r="P9" s="29"/>
      <c r="Q9" s="29"/>
      <c r="R9" s="29"/>
      <c r="S9" s="29"/>
      <c r="T9" s="29"/>
      <c r="U9" s="29"/>
      <c r="V9" s="29"/>
      <c r="W9" s="29"/>
      <c r="X9" s="29"/>
      <c r="Y9" s="29"/>
      <c r="Z9" s="29"/>
    </row>
    <row r="10" ht="72.75" customHeight="1">
      <c r="A10" s="42" t="s">
        <v>99</v>
      </c>
      <c r="B10" s="21" t="s">
        <v>19</v>
      </c>
      <c r="C10" s="22" t="s">
        <v>26</v>
      </c>
      <c r="D10" s="23" t="s">
        <v>27</v>
      </c>
      <c r="E10" s="23" t="s">
        <v>15</v>
      </c>
      <c r="F10" s="24" t="s">
        <v>59</v>
      </c>
      <c r="G10" s="38" t="s">
        <v>100</v>
      </c>
      <c r="H10" s="34" t="s">
        <v>61</v>
      </c>
      <c r="I10" s="27" t="s">
        <v>101</v>
      </c>
      <c r="J10" s="27"/>
      <c r="K10" s="28"/>
      <c r="L10" s="30"/>
      <c r="M10" s="29"/>
      <c r="N10" s="28"/>
      <c r="O10" s="29"/>
      <c r="P10" s="29"/>
      <c r="Q10" s="29"/>
      <c r="R10" s="29"/>
      <c r="S10" s="29"/>
      <c r="T10" s="29"/>
      <c r="U10" s="29"/>
      <c r="V10" s="29"/>
      <c r="W10" s="29"/>
      <c r="X10" s="29"/>
      <c r="Y10" s="29"/>
      <c r="Z10" s="29"/>
    </row>
    <row r="11" ht="85.5" customHeight="1">
      <c r="A11" s="20">
        <v>46094.0</v>
      </c>
      <c r="B11" s="21" t="s">
        <v>43</v>
      </c>
      <c r="C11" s="22" t="s">
        <v>26</v>
      </c>
      <c r="D11" s="23" t="s">
        <v>58</v>
      </c>
      <c r="E11" s="23" t="s">
        <v>15</v>
      </c>
      <c r="F11" s="24" t="s">
        <v>59</v>
      </c>
      <c r="G11" s="38" t="s">
        <v>102</v>
      </c>
      <c r="H11" s="26" t="s">
        <v>97</v>
      </c>
      <c r="I11" s="27" t="s">
        <v>67</v>
      </c>
      <c r="J11" s="27"/>
      <c r="K11" s="28"/>
      <c r="L11" s="30"/>
      <c r="M11" s="29"/>
      <c r="N11" s="28"/>
      <c r="O11" s="29"/>
      <c r="P11" s="29"/>
      <c r="Q11" s="29"/>
      <c r="R11" s="29"/>
      <c r="S11" s="29"/>
      <c r="T11" s="29"/>
      <c r="U11" s="29"/>
      <c r="V11" s="29"/>
      <c r="W11" s="29"/>
      <c r="X11" s="29"/>
      <c r="Y11" s="29"/>
      <c r="Z11" s="29"/>
    </row>
    <row r="12">
      <c r="A12" s="20">
        <v>46094.0</v>
      </c>
      <c r="B12" s="21" t="s">
        <v>43</v>
      </c>
      <c r="C12" s="22" t="s">
        <v>57</v>
      </c>
      <c r="D12" s="23" t="s">
        <v>58</v>
      </c>
      <c r="E12" s="23" t="s">
        <v>15</v>
      </c>
      <c r="F12" s="24" t="s">
        <v>59</v>
      </c>
      <c r="G12" s="38" t="s">
        <v>103</v>
      </c>
      <c r="H12" s="34"/>
      <c r="I12" s="27" t="s">
        <v>62</v>
      </c>
      <c r="J12" s="27" t="s">
        <v>66</v>
      </c>
      <c r="K12" s="28"/>
      <c r="L12" s="30"/>
      <c r="M12" s="29"/>
      <c r="N12" s="28"/>
      <c r="O12" s="29"/>
      <c r="P12" s="29"/>
      <c r="Q12" s="29"/>
      <c r="R12" s="29"/>
      <c r="S12" s="29"/>
      <c r="T12" s="29"/>
      <c r="U12" s="29"/>
      <c r="V12" s="29"/>
      <c r="W12" s="29"/>
      <c r="X12" s="29"/>
      <c r="Y12" s="29"/>
      <c r="Z12" s="29"/>
    </row>
    <row r="13">
      <c r="A13" s="20">
        <v>46093.0</v>
      </c>
      <c r="B13" s="21" t="s">
        <v>43</v>
      </c>
      <c r="C13" s="22" t="s">
        <v>36</v>
      </c>
      <c r="D13" s="23" t="s">
        <v>44</v>
      </c>
      <c r="E13" s="23" t="s">
        <v>22</v>
      </c>
      <c r="F13" s="24" t="s">
        <v>86</v>
      </c>
      <c r="G13" s="38" t="s">
        <v>104</v>
      </c>
      <c r="H13" s="26" t="s">
        <v>61</v>
      </c>
      <c r="I13" s="27" t="s">
        <v>66</v>
      </c>
      <c r="J13" s="30"/>
      <c r="K13" s="28"/>
      <c r="L13" s="30"/>
      <c r="M13" s="29"/>
      <c r="N13" s="28"/>
      <c r="O13" s="29"/>
      <c r="P13" s="29"/>
      <c r="Q13" s="29"/>
      <c r="R13" s="29"/>
      <c r="S13" s="29"/>
      <c r="T13" s="29"/>
      <c r="U13" s="29"/>
      <c r="V13" s="29"/>
      <c r="W13" s="29"/>
      <c r="X13" s="29"/>
      <c r="Y13" s="29"/>
      <c r="Z13" s="29"/>
    </row>
    <row r="14">
      <c r="A14" s="20">
        <v>46084.0</v>
      </c>
      <c r="B14" s="21" t="s">
        <v>43</v>
      </c>
      <c r="C14" s="22" t="s">
        <v>26</v>
      </c>
      <c r="D14" s="23" t="s">
        <v>58</v>
      </c>
      <c r="E14" s="23" t="s">
        <v>15</v>
      </c>
      <c r="F14" s="24" t="s">
        <v>16</v>
      </c>
      <c r="G14" s="38" t="s">
        <v>105</v>
      </c>
      <c r="H14" s="34"/>
      <c r="I14" s="30" t="s">
        <v>66</v>
      </c>
      <c r="J14" s="30"/>
      <c r="K14" s="28"/>
      <c r="L14" s="27" t="s">
        <v>71</v>
      </c>
      <c r="M14" s="29"/>
      <c r="N14" s="28"/>
      <c r="O14" s="29"/>
      <c r="P14" s="29"/>
      <c r="Q14" s="29"/>
      <c r="R14" s="29"/>
      <c r="S14" s="29"/>
      <c r="T14" s="29"/>
      <c r="U14" s="29"/>
      <c r="V14" s="29"/>
      <c r="W14" s="29"/>
      <c r="X14" s="29"/>
      <c r="Y14" s="29"/>
      <c r="Z14" s="29"/>
    </row>
    <row r="15">
      <c r="A15" s="20">
        <v>46064.0</v>
      </c>
      <c r="B15" s="21" t="s">
        <v>43</v>
      </c>
      <c r="C15" s="22" t="s">
        <v>57</v>
      </c>
      <c r="D15" s="23" t="s">
        <v>21</v>
      </c>
      <c r="E15" s="23" t="s">
        <v>15</v>
      </c>
      <c r="F15" s="24" t="s">
        <v>59</v>
      </c>
      <c r="G15" s="38" t="s">
        <v>106</v>
      </c>
      <c r="H15" s="26" t="s">
        <v>61</v>
      </c>
      <c r="I15" s="27" t="s">
        <v>62</v>
      </c>
      <c r="J15" s="30"/>
      <c r="K15" s="28"/>
      <c r="L15" s="30"/>
      <c r="M15" s="29"/>
      <c r="N15" s="28"/>
      <c r="O15" s="29"/>
      <c r="P15" s="29"/>
      <c r="Q15" s="29"/>
      <c r="R15" s="29"/>
      <c r="S15" s="29"/>
      <c r="T15" s="29"/>
      <c r="U15" s="29"/>
      <c r="V15" s="29"/>
      <c r="W15" s="29"/>
      <c r="X15" s="29"/>
      <c r="Y15" s="29"/>
      <c r="Z15" s="29"/>
    </row>
    <row r="16" ht="88.5" customHeight="1">
      <c r="A16" s="20">
        <v>46058.0</v>
      </c>
      <c r="B16" s="32" t="s">
        <v>56</v>
      </c>
      <c r="C16" s="43" t="s">
        <v>36</v>
      </c>
      <c r="D16" s="33" t="s">
        <v>44</v>
      </c>
      <c r="E16" s="33" t="s">
        <v>64</v>
      </c>
      <c r="F16" s="24" t="s">
        <v>64</v>
      </c>
      <c r="G16" s="25" t="s">
        <v>107</v>
      </c>
      <c r="H16" s="30"/>
      <c r="I16" s="30" t="s">
        <v>66</v>
      </c>
      <c r="J16" s="30"/>
      <c r="K16" s="28"/>
      <c r="L16" s="30"/>
      <c r="M16" s="29"/>
      <c r="N16" s="28"/>
      <c r="O16" s="29"/>
      <c r="P16" s="29"/>
      <c r="Q16" s="29"/>
      <c r="R16" s="29"/>
      <c r="S16" s="29"/>
      <c r="T16" s="29"/>
      <c r="U16" s="29"/>
      <c r="V16" s="29"/>
      <c r="W16" s="29"/>
      <c r="X16" s="29"/>
      <c r="Y16" s="29"/>
      <c r="Z16" s="29"/>
    </row>
    <row r="17">
      <c r="A17" s="20">
        <v>46052.0</v>
      </c>
      <c r="B17" s="21" t="s">
        <v>56</v>
      </c>
      <c r="C17" s="22" t="s">
        <v>36</v>
      </c>
      <c r="D17" s="23" t="s">
        <v>44</v>
      </c>
      <c r="E17" s="23" t="s">
        <v>64</v>
      </c>
      <c r="F17" s="44" t="s">
        <v>16</v>
      </c>
      <c r="G17" s="25" t="s">
        <v>108</v>
      </c>
      <c r="H17" s="34"/>
      <c r="I17" s="27" t="s">
        <v>66</v>
      </c>
      <c r="J17" s="27"/>
      <c r="K17" s="35"/>
      <c r="L17" s="27" t="s">
        <v>63</v>
      </c>
      <c r="N17" s="36"/>
      <c r="O17" s="29"/>
      <c r="P17" s="29"/>
      <c r="Q17" s="29"/>
      <c r="R17" s="29"/>
      <c r="S17" s="29"/>
      <c r="T17" s="29"/>
      <c r="U17" s="29"/>
      <c r="V17" s="29"/>
      <c r="W17" s="29"/>
      <c r="X17" s="29"/>
      <c r="Y17" s="29"/>
      <c r="Z17" s="29"/>
    </row>
    <row r="18" ht="55.5" customHeight="1">
      <c r="A18" s="20">
        <v>46050.0</v>
      </c>
      <c r="B18" s="21" t="s">
        <v>56</v>
      </c>
      <c r="C18" s="22" t="s">
        <v>36</v>
      </c>
      <c r="D18" s="23" t="s">
        <v>44</v>
      </c>
      <c r="E18" s="23" t="s">
        <v>64</v>
      </c>
      <c r="F18" s="44" t="s">
        <v>16</v>
      </c>
      <c r="G18" s="25" t="s">
        <v>109</v>
      </c>
      <c r="H18" s="34"/>
      <c r="I18" s="27" t="s">
        <v>66</v>
      </c>
      <c r="J18" s="27"/>
      <c r="K18" s="35"/>
      <c r="L18" s="27" t="s">
        <v>71</v>
      </c>
      <c r="N18" s="36"/>
      <c r="O18" s="29"/>
      <c r="P18" s="29"/>
      <c r="Q18" s="29"/>
      <c r="R18" s="29"/>
      <c r="S18" s="29"/>
      <c r="T18" s="29"/>
      <c r="U18" s="29"/>
      <c r="V18" s="29"/>
      <c r="W18" s="29"/>
      <c r="X18" s="29"/>
      <c r="Y18" s="29"/>
      <c r="Z18" s="29"/>
    </row>
    <row r="19">
      <c r="A19" s="20">
        <v>46050.0</v>
      </c>
      <c r="B19" s="21" t="s">
        <v>56</v>
      </c>
      <c r="C19" s="22" t="s">
        <v>36</v>
      </c>
      <c r="D19" s="23" t="s">
        <v>44</v>
      </c>
      <c r="E19" s="23" t="s">
        <v>64</v>
      </c>
      <c r="F19" s="44" t="s">
        <v>16</v>
      </c>
      <c r="G19" s="25" t="s">
        <v>110</v>
      </c>
      <c r="H19" s="34"/>
      <c r="I19" s="27"/>
      <c r="J19" s="27"/>
      <c r="K19" s="35"/>
      <c r="L19" s="27"/>
      <c r="N19" s="36"/>
      <c r="O19" s="29"/>
      <c r="P19" s="29"/>
      <c r="Q19" s="29"/>
      <c r="R19" s="29"/>
      <c r="S19" s="29"/>
      <c r="T19" s="29"/>
      <c r="U19" s="29"/>
      <c r="V19" s="29"/>
      <c r="W19" s="29"/>
      <c r="X19" s="29"/>
      <c r="Y19" s="29"/>
      <c r="Z19" s="29"/>
    </row>
    <row r="20">
      <c r="A20" s="20">
        <v>46038.0</v>
      </c>
      <c r="B20" s="21" t="s">
        <v>56</v>
      </c>
      <c r="C20" s="22" t="s">
        <v>76</v>
      </c>
      <c r="D20" s="23" t="s">
        <v>44</v>
      </c>
      <c r="E20" s="23" t="s">
        <v>15</v>
      </c>
      <c r="F20" s="44" t="s">
        <v>59</v>
      </c>
      <c r="G20" s="25" t="s">
        <v>111</v>
      </c>
      <c r="H20" s="26" t="s">
        <v>112</v>
      </c>
      <c r="I20" s="27" t="s">
        <v>79</v>
      </c>
      <c r="J20" s="27"/>
      <c r="K20" s="35"/>
      <c r="L20" s="27"/>
      <c r="N20" s="36"/>
      <c r="O20" s="29"/>
      <c r="P20" s="29"/>
      <c r="Q20" s="29"/>
      <c r="R20" s="29"/>
      <c r="S20" s="29"/>
      <c r="T20" s="29"/>
      <c r="U20" s="29"/>
      <c r="V20" s="29"/>
      <c r="W20" s="29"/>
      <c r="X20" s="29"/>
      <c r="Y20" s="29"/>
      <c r="Z20" s="29"/>
    </row>
    <row r="21">
      <c r="A21" s="20">
        <v>46037.0</v>
      </c>
      <c r="B21" s="21" t="s">
        <v>56</v>
      </c>
      <c r="C21" s="22" t="s">
        <v>36</v>
      </c>
      <c r="D21" s="23" t="s">
        <v>77</v>
      </c>
      <c r="E21" s="23" t="s">
        <v>22</v>
      </c>
      <c r="F21" s="44" t="s">
        <v>16</v>
      </c>
      <c r="G21" s="25" t="s">
        <v>113</v>
      </c>
      <c r="H21" s="34"/>
      <c r="I21" s="27" t="s">
        <v>66</v>
      </c>
      <c r="J21" s="27"/>
      <c r="K21" s="35"/>
      <c r="L21" s="27" t="s">
        <v>63</v>
      </c>
      <c r="N21" s="36"/>
      <c r="O21" s="29"/>
      <c r="P21" s="29"/>
      <c r="Q21" s="29"/>
      <c r="R21" s="29"/>
      <c r="S21" s="29"/>
      <c r="T21" s="29"/>
      <c r="U21" s="29"/>
      <c r="V21" s="29"/>
      <c r="W21" s="29"/>
      <c r="X21" s="29"/>
      <c r="Y21" s="29"/>
      <c r="Z21" s="29"/>
    </row>
    <row r="22">
      <c r="A22" s="20">
        <v>46037.0</v>
      </c>
      <c r="B22" s="21" t="s">
        <v>56</v>
      </c>
      <c r="C22" s="22" t="s">
        <v>49</v>
      </c>
      <c r="D22" s="23" t="s">
        <v>58</v>
      </c>
      <c r="E22" s="23" t="s">
        <v>22</v>
      </c>
      <c r="F22" s="44" t="s">
        <v>86</v>
      </c>
      <c r="G22" s="25" t="s">
        <v>114</v>
      </c>
      <c r="H22" s="34"/>
      <c r="I22" s="27" t="s">
        <v>115</v>
      </c>
      <c r="J22" s="27"/>
      <c r="K22" s="35"/>
      <c r="L22" s="27"/>
      <c r="N22" s="36"/>
      <c r="O22" s="29"/>
      <c r="P22" s="29"/>
      <c r="Q22" s="29"/>
      <c r="R22" s="29"/>
      <c r="S22" s="29"/>
      <c r="T22" s="29"/>
      <c r="U22" s="29"/>
      <c r="V22" s="29"/>
      <c r="W22" s="29"/>
      <c r="X22" s="29"/>
      <c r="Y22" s="29"/>
      <c r="Z22" s="29"/>
    </row>
    <row r="23">
      <c r="A23" s="20">
        <v>46037.0</v>
      </c>
      <c r="B23" s="21" t="s">
        <v>56</v>
      </c>
      <c r="C23" s="22" t="s">
        <v>49</v>
      </c>
      <c r="D23" s="23" t="s">
        <v>58</v>
      </c>
      <c r="E23" s="23" t="s">
        <v>15</v>
      </c>
      <c r="F23" s="44" t="s">
        <v>59</v>
      </c>
      <c r="G23" s="25" t="s">
        <v>116</v>
      </c>
      <c r="H23" s="34"/>
      <c r="I23" s="27"/>
      <c r="J23" s="27"/>
      <c r="K23" s="35"/>
      <c r="L23" s="27"/>
      <c r="N23" s="36"/>
      <c r="O23" s="29"/>
      <c r="P23" s="29"/>
      <c r="Q23" s="29"/>
      <c r="R23" s="29"/>
      <c r="S23" s="29"/>
      <c r="T23" s="29"/>
      <c r="U23" s="29"/>
      <c r="V23" s="29"/>
      <c r="W23" s="29"/>
      <c r="X23" s="29"/>
      <c r="Y23" s="29"/>
      <c r="Z23" s="29"/>
    </row>
    <row r="24">
      <c r="A24" s="20">
        <v>46032.0</v>
      </c>
      <c r="B24" s="21" t="s">
        <v>56</v>
      </c>
      <c r="C24" s="22" t="s">
        <v>57</v>
      </c>
      <c r="D24" s="23" t="s">
        <v>44</v>
      </c>
      <c r="E24" s="23" t="s">
        <v>15</v>
      </c>
      <c r="F24" s="44" t="s">
        <v>86</v>
      </c>
      <c r="G24" s="25" t="s">
        <v>117</v>
      </c>
      <c r="H24" s="26" t="s">
        <v>61</v>
      </c>
      <c r="I24" s="27" t="s">
        <v>62</v>
      </c>
      <c r="J24" s="27" t="s">
        <v>66</v>
      </c>
      <c r="K24" s="35"/>
      <c r="L24" s="27"/>
      <c r="N24" s="36"/>
      <c r="O24" s="29"/>
      <c r="P24" s="29"/>
      <c r="Q24" s="29"/>
      <c r="R24" s="29"/>
      <c r="S24" s="29"/>
      <c r="T24" s="29"/>
      <c r="U24" s="29"/>
      <c r="V24" s="29"/>
      <c r="W24" s="29"/>
      <c r="X24" s="29"/>
      <c r="Y24" s="29"/>
      <c r="Z24" s="29"/>
    </row>
    <row r="25" ht="312.0" customHeight="1">
      <c r="A25" s="20">
        <v>46032.0</v>
      </c>
      <c r="B25" s="21" t="s">
        <v>56</v>
      </c>
      <c r="C25" s="22" t="s">
        <v>57</v>
      </c>
      <c r="D25" s="23" t="s">
        <v>44</v>
      </c>
      <c r="E25" s="23" t="s">
        <v>15</v>
      </c>
      <c r="F25" s="44" t="s">
        <v>86</v>
      </c>
      <c r="G25" s="25" t="s">
        <v>118</v>
      </c>
      <c r="H25" s="26" t="s">
        <v>61</v>
      </c>
      <c r="I25" s="27" t="s">
        <v>62</v>
      </c>
      <c r="J25" s="27"/>
      <c r="K25" s="35"/>
      <c r="L25" s="27"/>
      <c r="N25" s="36"/>
      <c r="O25" s="29"/>
      <c r="P25" s="29"/>
      <c r="Q25" s="29"/>
      <c r="R25" s="29"/>
      <c r="S25" s="29"/>
      <c r="T25" s="29"/>
      <c r="U25" s="29"/>
      <c r="V25" s="29"/>
      <c r="W25" s="29"/>
      <c r="X25" s="29"/>
      <c r="Y25" s="29"/>
      <c r="Z25" s="29"/>
    </row>
    <row r="26" ht="195.0" customHeight="1">
      <c r="A26" s="20">
        <v>46030.0</v>
      </c>
      <c r="B26" s="21" t="s">
        <v>56</v>
      </c>
      <c r="C26" s="22" t="s">
        <v>57</v>
      </c>
      <c r="D26" s="23" t="s">
        <v>27</v>
      </c>
      <c r="E26" s="23" t="s">
        <v>15</v>
      </c>
      <c r="F26" s="44" t="s">
        <v>59</v>
      </c>
      <c r="G26" s="25" t="s">
        <v>119</v>
      </c>
      <c r="H26" s="26" t="s">
        <v>61</v>
      </c>
      <c r="I26" s="27" t="s">
        <v>62</v>
      </c>
      <c r="J26" s="27"/>
      <c r="K26" s="35"/>
      <c r="L26" s="27"/>
      <c r="N26" s="36"/>
      <c r="O26" s="29"/>
      <c r="P26" s="29"/>
      <c r="Q26" s="29"/>
      <c r="R26" s="29"/>
      <c r="S26" s="29"/>
      <c r="T26" s="29"/>
      <c r="U26" s="29"/>
      <c r="V26" s="29"/>
      <c r="W26" s="29"/>
      <c r="X26" s="29"/>
      <c r="Y26" s="29"/>
      <c r="Z26" s="29"/>
    </row>
    <row r="27" ht="85.5" customHeight="1">
      <c r="A27" s="20">
        <v>46030.0</v>
      </c>
      <c r="B27" s="21" t="s">
        <v>56</v>
      </c>
      <c r="C27" s="22" t="s">
        <v>36</v>
      </c>
      <c r="D27" s="23" t="s">
        <v>58</v>
      </c>
      <c r="E27" s="23" t="s">
        <v>15</v>
      </c>
      <c r="F27" s="44" t="s">
        <v>86</v>
      </c>
      <c r="G27" s="25" t="s">
        <v>120</v>
      </c>
      <c r="H27" s="34"/>
      <c r="I27" s="27" t="s">
        <v>79</v>
      </c>
      <c r="J27" s="27" t="s">
        <v>66</v>
      </c>
      <c r="K27" s="35"/>
      <c r="L27" s="27" t="s">
        <v>71</v>
      </c>
      <c r="N27" s="36"/>
      <c r="O27" s="29"/>
      <c r="P27" s="29"/>
      <c r="Q27" s="29"/>
      <c r="R27" s="29"/>
      <c r="S27" s="29"/>
      <c r="T27" s="29"/>
      <c r="U27" s="29"/>
      <c r="V27" s="29"/>
      <c r="W27" s="29"/>
      <c r="X27" s="29"/>
      <c r="Y27" s="29"/>
      <c r="Z27" s="29"/>
    </row>
    <row r="28" ht="85.5" customHeight="1">
      <c r="A28" s="20">
        <v>46010.0</v>
      </c>
      <c r="B28" s="21" t="s">
        <v>121</v>
      </c>
      <c r="C28" s="22" t="s">
        <v>76</v>
      </c>
      <c r="D28" s="23" t="s">
        <v>77</v>
      </c>
      <c r="E28" s="23" t="s">
        <v>46</v>
      </c>
      <c r="F28" s="44" t="s">
        <v>16</v>
      </c>
      <c r="G28" s="25" t="s">
        <v>122</v>
      </c>
      <c r="H28" s="34"/>
      <c r="I28" s="27" t="s">
        <v>79</v>
      </c>
      <c r="J28" s="27"/>
      <c r="K28" s="35"/>
      <c r="L28" s="27" t="s">
        <v>71</v>
      </c>
      <c r="N28" s="36"/>
      <c r="O28" s="29"/>
      <c r="P28" s="29"/>
      <c r="Q28" s="29"/>
      <c r="R28" s="29"/>
      <c r="S28" s="29"/>
      <c r="T28" s="29"/>
      <c r="U28" s="29"/>
      <c r="V28" s="29"/>
      <c r="W28" s="29"/>
      <c r="X28" s="29"/>
      <c r="Y28" s="29"/>
      <c r="Z28" s="29"/>
    </row>
    <row r="29" ht="85.5" customHeight="1">
      <c r="A29" s="20">
        <v>46003.0</v>
      </c>
      <c r="B29" s="21" t="s">
        <v>75</v>
      </c>
      <c r="C29" s="22" t="s">
        <v>76</v>
      </c>
      <c r="D29" s="23" t="s">
        <v>77</v>
      </c>
      <c r="E29" s="23" t="s">
        <v>22</v>
      </c>
      <c r="F29" s="44" t="s">
        <v>16</v>
      </c>
      <c r="G29" s="25" t="s">
        <v>123</v>
      </c>
      <c r="H29" s="26" t="s">
        <v>61</v>
      </c>
      <c r="I29" s="27" t="s">
        <v>79</v>
      </c>
      <c r="J29" s="27"/>
      <c r="K29" s="35"/>
      <c r="L29" s="27" t="s">
        <v>71</v>
      </c>
      <c r="N29" s="36"/>
      <c r="O29" s="29"/>
      <c r="P29" s="29"/>
      <c r="Q29" s="29"/>
      <c r="R29" s="29"/>
      <c r="S29" s="29"/>
      <c r="T29" s="29"/>
      <c r="U29" s="29"/>
      <c r="V29" s="29"/>
      <c r="W29" s="29"/>
      <c r="X29" s="29"/>
      <c r="Y29" s="29"/>
      <c r="Z29" s="29"/>
    </row>
    <row r="30">
      <c r="A30" s="20">
        <v>45973.0</v>
      </c>
      <c r="B30" s="21" t="s">
        <v>75</v>
      </c>
      <c r="C30" s="22" t="s">
        <v>36</v>
      </c>
      <c r="D30" s="23" t="s">
        <v>77</v>
      </c>
      <c r="E30" s="23" t="s">
        <v>22</v>
      </c>
      <c r="F30" s="44" t="s">
        <v>16</v>
      </c>
      <c r="G30" s="25" t="s">
        <v>124</v>
      </c>
      <c r="H30" s="34"/>
      <c r="I30" s="27" t="s">
        <v>66</v>
      </c>
      <c r="J30" s="27"/>
      <c r="K30" s="45"/>
      <c r="L30" s="27" t="s">
        <v>63</v>
      </c>
      <c r="N30" s="36"/>
      <c r="O30" s="29"/>
      <c r="P30" s="29"/>
      <c r="Q30" s="29"/>
      <c r="R30" s="29"/>
      <c r="S30" s="29"/>
      <c r="T30" s="29"/>
      <c r="U30" s="29"/>
      <c r="V30" s="29"/>
      <c r="W30" s="29"/>
      <c r="X30" s="29"/>
      <c r="Y30" s="29"/>
      <c r="Z30" s="29"/>
    </row>
  </sheetData>
  <conditionalFormatting sqref="F2:F30">
    <cfRule type="containsText" dxfId="0" priority="1" operator="containsText" text="Closed">
      <formula>NOT(ISERROR(SEARCH(("Closed"),(F2))))</formula>
    </cfRule>
  </conditionalFormatting>
  <conditionalFormatting sqref="F2:F30">
    <cfRule type="containsText" dxfId="3" priority="2" operator="containsText" text="Monitor">
      <formula>NOT(ISERROR(SEARCH(("Monitor"),(F2))))</formula>
    </cfRule>
  </conditionalFormatting>
  <conditionalFormatting sqref="F2:F30">
    <cfRule type="containsText" dxfId="4" priority="3" operator="containsText" text="Open">
      <formula>NOT(ISERROR(SEARCH(("Open"),(F2))))</formula>
    </cfRule>
  </conditionalFormatting>
  <conditionalFormatting sqref="F2:F30">
    <cfRule type="containsText" dxfId="5" priority="4" operator="containsText" text="NA">
      <formula>NOT(ISERROR(SEARCH(("NA"),(F2))))</formula>
    </cfRule>
  </conditionalFormatting>
  <dataValidations>
    <dataValidation type="list" allowBlank="1" sqref="B2:B30">
      <formula1>Option!$C$2:$C$16</formula1>
    </dataValidation>
    <dataValidation type="list" allowBlank="1" sqref="I2:J30">
      <formula1>Option!$K$2:$K$17</formula1>
    </dataValidation>
    <dataValidation type="list" allowBlank="1" sqref="D2:D30">
      <formula1>Option!$D$2:$D$15</formula1>
    </dataValidation>
    <dataValidation type="list" allowBlank="1" sqref="F2:F30">
      <formula1>Option!$F$2:$F$5</formula1>
    </dataValidation>
    <dataValidation type="list" allowBlank="1" sqref="L2:L30">
      <formula1>"1.SCH,2.PCB,3.BOM,4.Parameter,5.SW/ME/RF/ANT/Component/MFG/Vendor,6.No Change"</formula1>
    </dataValidation>
    <dataValidation type="list" allowBlank="1" sqref="E2:E30">
      <formula1>Option!$G$2:$G$5</formula1>
    </dataValidation>
    <dataValidation type="list" allowBlank="1" sqref="C2:C30">
      <formula1>Option!$E$2:$E$15</formula1>
    </dataValidation>
  </dataValidations>
  <hyperlinks>
    <hyperlink r:id="rId2" location="slide=id.g3bd82dabf54_0_1000" ref="H2"/>
    <hyperlink r:id="rId3" location="slide=id.g4057557fca_0_46" ref="H4"/>
    <hyperlink r:id="rId4" ref="G5"/>
    <hyperlink r:id="rId5" location="slide=id.g4057557fca_0_46" ref="H7"/>
    <hyperlink r:id="rId6" location="slide=id.g3e6c11f8795_0_1534" ref="H8"/>
    <hyperlink r:id="rId7" location="gid=0" ref="H11"/>
    <hyperlink r:id="rId8" location="slide=id.g4057557fca_0_46" ref="H13"/>
    <hyperlink r:id="rId9" location="slide=id.g3b64d1e5f1d_7_7" ref="H15"/>
    <hyperlink r:id="rId10" location="slide=id.g3b8ed285337_1_4" ref="H20"/>
    <hyperlink r:id="rId11" location="slide=id.g3b72306d46a_0_0" ref="H24"/>
    <hyperlink r:id="rId12" location="slide=id.g3b8cf5b156b_0_0" ref="H25"/>
    <hyperlink r:id="rId13" location="slide=id.g3b64d1e5f1d_7_2" ref="H26"/>
    <hyperlink r:id="rId14" location="gid=294267230" ref="H29"/>
  </hyperlinks>
  <drawing r:id="rId15"/>
  <legacyDrawing r:id="rId1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1" max="1" width="12.13"/>
    <col customWidth="1" min="2" max="2" width="11.75"/>
    <col customWidth="1" min="3" max="3" width="12.38"/>
    <col customWidth="1" min="5" max="5" width="8.63"/>
    <col customWidth="1" min="6" max="6" width="11.38"/>
    <col customWidth="1" min="7" max="7" width="108.63"/>
    <col customWidth="1" min="8" max="8" width="17.25"/>
  </cols>
  <sheetData>
    <row r="1">
      <c r="A1" s="4" t="s">
        <v>54</v>
      </c>
      <c r="B1" s="4" t="s">
        <v>1</v>
      </c>
      <c r="C1" s="4" t="s">
        <v>2</v>
      </c>
      <c r="D1" s="4" t="s">
        <v>3</v>
      </c>
      <c r="E1" s="4" t="s">
        <v>4</v>
      </c>
      <c r="F1" s="4" t="s">
        <v>5</v>
      </c>
      <c r="G1" s="4" t="s">
        <v>6</v>
      </c>
      <c r="H1" s="4" t="s">
        <v>7</v>
      </c>
      <c r="I1" s="3" t="s">
        <v>8</v>
      </c>
      <c r="J1" s="3" t="s">
        <v>9</v>
      </c>
      <c r="K1" s="4" t="s">
        <v>10</v>
      </c>
      <c r="L1" s="4" t="s">
        <v>11</v>
      </c>
      <c r="M1" s="19" t="s">
        <v>55</v>
      </c>
    </row>
    <row r="2">
      <c r="A2" s="20">
        <v>46090.0</v>
      </c>
      <c r="B2" s="21" t="s">
        <v>12</v>
      </c>
      <c r="C2" s="22" t="s">
        <v>125</v>
      </c>
      <c r="D2" s="23" t="s">
        <v>27</v>
      </c>
      <c r="E2" s="23"/>
      <c r="F2" s="44" t="s">
        <v>86</v>
      </c>
      <c r="G2" s="25" t="s">
        <v>126</v>
      </c>
      <c r="H2" s="26" t="s">
        <v>97</v>
      </c>
      <c r="I2" s="27" t="s">
        <v>127</v>
      </c>
      <c r="J2" s="27" t="s">
        <v>67</v>
      </c>
      <c r="K2" s="46"/>
      <c r="L2" s="27"/>
      <c r="N2" s="36"/>
      <c r="O2" s="29"/>
      <c r="P2" s="29"/>
      <c r="Q2" s="29"/>
      <c r="R2" s="29"/>
      <c r="S2" s="29"/>
      <c r="T2" s="29"/>
      <c r="U2" s="29"/>
      <c r="V2" s="29"/>
      <c r="W2" s="29"/>
      <c r="X2" s="29"/>
      <c r="Y2" s="29"/>
      <c r="Z2" s="29"/>
    </row>
    <row r="3">
      <c r="A3" s="20">
        <v>46081.0</v>
      </c>
      <c r="B3" s="21" t="s">
        <v>19</v>
      </c>
      <c r="C3" s="22" t="s">
        <v>36</v>
      </c>
      <c r="D3" s="23" t="s">
        <v>89</v>
      </c>
      <c r="E3" s="23" t="s">
        <v>64</v>
      </c>
      <c r="F3" s="44" t="s">
        <v>86</v>
      </c>
      <c r="G3" s="25" t="s">
        <v>128</v>
      </c>
      <c r="H3" s="26" t="s">
        <v>129</v>
      </c>
      <c r="I3" s="27" t="s">
        <v>66</v>
      </c>
      <c r="J3" s="27"/>
      <c r="K3" s="46"/>
      <c r="L3" s="27"/>
      <c r="N3" s="36"/>
      <c r="O3" s="29"/>
      <c r="P3" s="29"/>
      <c r="Q3" s="29"/>
      <c r="R3" s="29"/>
      <c r="S3" s="29"/>
      <c r="T3" s="29"/>
      <c r="U3" s="29"/>
      <c r="V3" s="29"/>
      <c r="W3" s="29"/>
      <c r="X3" s="29"/>
      <c r="Y3" s="29"/>
      <c r="Z3" s="29"/>
    </row>
    <row r="4">
      <c r="A4" s="20">
        <v>46062.0</v>
      </c>
      <c r="B4" s="21" t="s">
        <v>19</v>
      </c>
      <c r="C4" s="22" t="s">
        <v>36</v>
      </c>
      <c r="D4" s="23" t="s">
        <v>44</v>
      </c>
      <c r="E4" s="23" t="s">
        <v>64</v>
      </c>
      <c r="F4" s="44" t="s">
        <v>64</v>
      </c>
      <c r="G4" s="25" t="s">
        <v>130</v>
      </c>
      <c r="H4" s="34"/>
      <c r="I4" s="27" t="s">
        <v>66</v>
      </c>
      <c r="J4" s="27"/>
      <c r="K4" s="46"/>
      <c r="L4" s="27"/>
      <c r="N4" s="36"/>
      <c r="O4" s="29"/>
      <c r="P4" s="29"/>
      <c r="Q4" s="29"/>
      <c r="R4" s="29"/>
      <c r="S4" s="29"/>
      <c r="T4" s="29"/>
      <c r="U4" s="29"/>
      <c r="V4" s="29"/>
      <c r="W4" s="29"/>
      <c r="X4" s="29"/>
      <c r="Y4" s="29"/>
      <c r="Z4" s="29"/>
    </row>
    <row r="5">
      <c r="A5" s="20">
        <v>46056.0</v>
      </c>
      <c r="B5" s="21" t="s">
        <v>19</v>
      </c>
      <c r="C5" s="22" t="s">
        <v>26</v>
      </c>
      <c r="D5" s="23" t="s">
        <v>44</v>
      </c>
      <c r="E5" s="23" t="s">
        <v>64</v>
      </c>
      <c r="F5" s="44" t="s">
        <v>64</v>
      </c>
      <c r="G5" s="25" t="s">
        <v>131</v>
      </c>
      <c r="H5" s="26" t="s">
        <v>61</v>
      </c>
      <c r="I5" s="27" t="s">
        <v>66</v>
      </c>
      <c r="J5" s="27" t="s">
        <v>132</v>
      </c>
      <c r="K5" s="46"/>
      <c r="L5" s="27"/>
      <c r="N5" s="36"/>
      <c r="O5" s="29"/>
      <c r="P5" s="29"/>
      <c r="Q5" s="29"/>
      <c r="R5" s="29"/>
      <c r="S5" s="29"/>
      <c r="T5" s="29"/>
      <c r="U5" s="29"/>
      <c r="V5" s="29"/>
      <c r="W5" s="29"/>
      <c r="X5" s="29"/>
      <c r="Y5" s="29"/>
      <c r="Z5" s="29"/>
    </row>
    <row r="6">
      <c r="A6" s="20">
        <v>46036.0</v>
      </c>
      <c r="B6" s="21" t="s">
        <v>43</v>
      </c>
      <c r="C6" s="22" t="s">
        <v>36</v>
      </c>
      <c r="D6" s="23" t="s">
        <v>44</v>
      </c>
      <c r="E6" s="23" t="s">
        <v>15</v>
      </c>
      <c r="F6" s="44" t="s">
        <v>16</v>
      </c>
      <c r="G6" s="25" t="s">
        <v>133</v>
      </c>
      <c r="H6" s="26" t="s">
        <v>61</v>
      </c>
      <c r="I6" s="27" t="s">
        <v>66</v>
      </c>
      <c r="J6" s="27"/>
      <c r="K6" s="46"/>
      <c r="L6" s="27" t="s">
        <v>71</v>
      </c>
      <c r="N6" s="36"/>
      <c r="O6" s="29"/>
      <c r="P6" s="29"/>
      <c r="Q6" s="29"/>
      <c r="R6" s="29"/>
      <c r="S6" s="29"/>
      <c r="T6" s="29"/>
      <c r="U6" s="29"/>
      <c r="V6" s="29"/>
      <c r="W6" s="29"/>
      <c r="X6" s="29"/>
      <c r="Y6" s="29"/>
      <c r="Z6" s="29"/>
    </row>
    <row r="7" ht="134.25" customHeight="1">
      <c r="A7" s="20">
        <v>46013.0</v>
      </c>
      <c r="B7" s="21" t="s">
        <v>43</v>
      </c>
      <c r="C7" s="22" t="s">
        <v>76</v>
      </c>
      <c r="D7" s="23" t="s">
        <v>14</v>
      </c>
      <c r="E7" s="23" t="s">
        <v>15</v>
      </c>
      <c r="F7" s="44" t="s">
        <v>59</v>
      </c>
      <c r="G7" s="25" t="s">
        <v>134</v>
      </c>
      <c r="H7" s="26" t="s">
        <v>112</v>
      </c>
      <c r="I7" s="27" t="s">
        <v>79</v>
      </c>
      <c r="J7" s="27"/>
      <c r="K7" s="46"/>
      <c r="L7" s="27"/>
      <c r="N7" s="36"/>
      <c r="O7" s="29"/>
      <c r="P7" s="29"/>
      <c r="Q7" s="29"/>
      <c r="R7" s="29"/>
      <c r="S7" s="29"/>
      <c r="T7" s="29"/>
      <c r="U7" s="29"/>
      <c r="V7" s="29"/>
      <c r="W7" s="29"/>
      <c r="X7" s="29"/>
      <c r="Y7" s="29"/>
      <c r="Z7" s="29"/>
    </row>
    <row r="8" ht="297.0" customHeight="1">
      <c r="A8" s="20">
        <v>46013.0</v>
      </c>
      <c r="B8" s="21" t="s">
        <v>43</v>
      </c>
      <c r="C8" s="22" t="s">
        <v>57</v>
      </c>
      <c r="D8" s="23" t="s">
        <v>58</v>
      </c>
      <c r="E8" s="23" t="s">
        <v>15</v>
      </c>
      <c r="F8" s="44" t="s">
        <v>86</v>
      </c>
      <c r="G8" s="25" t="s">
        <v>135</v>
      </c>
      <c r="H8" s="26" t="s">
        <v>97</v>
      </c>
      <c r="I8" s="27" t="s">
        <v>62</v>
      </c>
      <c r="J8" s="27"/>
      <c r="K8" s="46"/>
      <c r="L8" s="27"/>
      <c r="N8" s="36"/>
      <c r="O8" s="29"/>
      <c r="P8" s="29"/>
      <c r="Q8" s="29"/>
      <c r="R8" s="29"/>
      <c r="S8" s="29"/>
      <c r="T8" s="29"/>
      <c r="U8" s="29"/>
      <c r="V8" s="29"/>
      <c r="W8" s="29"/>
      <c r="X8" s="29"/>
      <c r="Y8" s="29"/>
      <c r="Z8" s="29"/>
    </row>
    <row r="9" ht="134.25" customHeight="1">
      <c r="A9" s="20"/>
      <c r="B9" s="21" t="s">
        <v>43</v>
      </c>
      <c r="C9" s="22" t="s">
        <v>94</v>
      </c>
      <c r="D9" s="23" t="s">
        <v>27</v>
      </c>
      <c r="E9" s="23" t="s">
        <v>46</v>
      </c>
      <c r="F9" s="44" t="s">
        <v>86</v>
      </c>
      <c r="G9" s="47" t="s">
        <v>136</v>
      </c>
      <c r="H9" s="26" t="s">
        <v>97</v>
      </c>
      <c r="I9" s="27" t="s">
        <v>70</v>
      </c>
      <c r="J9" s="27" t="s">
        <v>127</v>
      </c>
      <c r="K9" s="46"/>
      <c r="L9" s="27"/>
      <c r="N9" s="36"/>
      <c r="O9" s="29"/>
      <c r="P9" s="29"/>
      <c r="Q9" s="29"/>
      <c r="R9" s="29"/>
      <c r="S9" s="29"/>
      <c r="T9" s="29"/>
      <c r="U9" s="29"/>
      <c r="V9" s="29"/>
      <c r="W9" s="29"/>
      <c r="X9" s="29"/>
      <c r="Y9" s="29"/>
      <c r="Z9" s="29"/>
    </row>
    <row r="10">
      <c r="A10" s="20">
        <v>46000.0</v>
      </c>
      <c r="B10" s="21" t="s">
        <v>43</v>
      </c>
      <c r="C10" s="22" t="s">
        <v>36</v>
      </c>
      <c r="D10" s="23" t="s">
        <v>27</v>
      </c>
      <c r="E10" s="23" t="s">
        <v>22</v>
      </c>
      <c r="F10" s="44" t="s">
        <v>16</v>
      </c>
      <c r="G10" s="25" t="s">
        <v>137</v>
      </c>
      <c r="H10" s="34"/>
      <c r="I10" s="27" t="s">
        <v>66</v>
      </c>
      <c r="J10" s="27"/>
      <c r="K10" s="46"/>
      <c r="L10" s="27" t="s">
        <v>68</v>
      </c>
      <c r="N10" s="36"/>
      <c r="O10" s="29"/>
      <c r="P10" s="29"/>
      <c r="Q10" s="29"/>
      <c r="R10" s="29"/>
      <c r="S10" s="29"/>
      <c r="T10" s="29"/>
      <c r="U10" s="29"/>
      <c r="V10" s="29"/>
      <c r="W10" s="29"/>
      <c r="X10" s="29"/>
      <c r="Y10" s="29"/>
      <c r="Z10" s="29"/>
    </row>
    <row r="11" ht="134.25" customHeight="1">
      <c r="A11" s="20">
        <v>45986.0</v>
      </c>
      <c r="B11" s="21" t="s">
        <v>56</v>
      </c>
      <c r="C11" s="22" t="s">
        <v>76</v>
      </c>
      <c r="D11" s="23" t="s">
        <v>44</v>
      </c>
      <c r="E11" s="23" t="s">
        <v>46</v>
      </c>
      <c r="F11" s="44" t="s">
        <v>59</v>
      </c>
      <c r="G11" s="25" t="s">
        <v>138</v>
      </c>
      <c r="H11" s="26" t="s">
        <v>61</v>
      </c>
      <c r="I11" s="27" t="s">
        <v>79</v>
      </c>
      <c r="J11" s="27" t="s">
        <v>127</v>
      </c>
      <c r="K11" s="46"/>
      <c r="L11" s="27"/>
      <c r="N11" s="36"/>
      <c r="O11" s="29"/>
      <c r="P11" s="29"/>
      <c r="Q11" s="29"/>
      <c r="R11" s="29"/>
      <c r="S11" s="29"/>
      <c r="T11" s="29"/>
      <c r="U11" s="29"/>
      <c r="V11" s="29"/>
      <c r="W11" s="29"/>
      <c r="X11" s="29"/>
      <c r="Y11" s="29"/>
      <c r="Z11" s="29"/>
    </row>
    <row r="12" ht="113.25" customHeight="1">
      <c r="A12" s="20">
        <v>45986.0</v>
      </c>
      <c r="B12" s="21" t="s">
        <v>56</v>
      </c>
      <c r="C12" s="22" t="s">
        <v>76</v>
      </c>
      <c r="D12" s="23" t="s">
        <v>44</v>
      </c>
      <c r="E12" s="23" t="s">
        <v>64</v>
      </c>
      <c r="F12" s="44" t="s">
        <v>64</v>
      </c>
      <c r="G12" s="25" t="s">
        <v>139</v>
      </c>
      <c r="H12" s="34" t="s">
        <v>61</v>
      </c>
      <c r="I12" s="27" t="s">
        <v>79</v>
      </c>
      <c r="J12" s="27" t="s">
        <v>127</v>
      </c>
      <c r="K12" s="46"/>
      <c r="L12" s="27"/>
      <c r="N12" s="36"/>
      <c r="O12" s="29"/>
      <c r="P12" s="29"/>
      <c r="Q12" s="29"/>
      <c r="R12" s="29"/>
      <c r="S12" s="29"/>
      <c r="T12" s="29"/>
      <c r="U12" s="29"/>
      <c r="V12" s="29"/>
      <c r="W12" s="29"/>
      <c r="X12" s="29"/>
      <c r="Y12" s="29"/>
      <c r="Z12" s="29"/>
    </row>
    <row r="13" ht="283.5" customHeight="1">
      <c r="A13" s="20">
        <v>45968.0</v>
      </c>
      <c r="B13" s="21" t="s">
        <v>56</v>
      </c>
      <c r="C13" s="22" t="s">
        <v>76</v>
      </c>
      <c r="D13" s="23" t="s">
        <v>44</v>
      </c>
      <c r="E13" s="23" t="s">
        <v>46</v>
      </c>
      <c r="F13" s="44" t="s">
        <v>86</v>
      </c>
      <c r="G13" s="25" t="s">
        <v>140</v>
      </c>
      <c r="H13" s="26" t="s">
        <v>61</v>
      </c>
      <c r="I13" s="27" t="s">
        <v>79</v>
      </c>
      <c r="J13" s="27" t="s">
        <v>127</v>
      </c>
      <c r="K13" s="46"/>
      <c r="L13" s="27"/>
      <c r="N13" s="36"/>
      <c r="O13" s="29"/>
      <c r="P13" s="29"/>
      <c r="Q13" s="29"/>
      <c r="R13" s="29"/>
      <c r="S13" s="29"/>
      <c r="T13" s="29"/>
      <c r="U13" s="29"/>
      <c r="V13" s="29"/>
      <c r="W13" s="29"/>
      <c r="X13" s="29"/>
      <c r="Y13" s="29"/>
      <c r="Z13" s="29"/>
    </row>
    <row r="14">
      <c r="A14" s="20">
        <v>45967.0</v>
      </c>
      <c r="B14" s="21" t="s">
        <v>56</v>
      </c>
      <c r="C14" s="22" t="s">
        <v>13</v>
      </c>
      <c r="D14" s="23" t="s">
        <v>27</v>
      </c>
      <c r="E14" s="23" t="s">
        <v>15</v>
      </c>
      <c r="F14" s="44" t="s">
        <v>86</v>
      </c>
      <c r="G14" s="48" t="s">
        <v>141</v>
      </c>
      <c r="H14" s="26" t="s">
        <v>97</v>
      </c>
      <c r="I14" s="27" t="s">
        <v>62</v>
      </c>
      <c r="J14" s="27"/>
      <c r="K14" s="35"/>
      <c r="L14" s="27"/>
      <c r="N14" s="36"/>
      <c r="O14" s="29"/>
      <c r="P14" s="29"/>
      <c r="Q14" s="29"/>
      <c r="R14" s="29"/>
      <c r="S14" s="29"/>
      <c r="T14" s="29"/>
      <c r="U14" s="29"/>
      <c r="V14" s="29"/>
      <c r="W14" s="29"/>
      <c r="X14" s="29"/>
      <c r="Y14" s="29"/>
      <c r="Z14" s="29"/>
    </row>
    <row r="15">
      <c r="A15" s="20">
        <v>45973.0</v>
      </c>
      <c r="B15" s="21" t="s">
        <v>56</v>
      </c>
      <c r="C15" s="22" t="s">
        <v>57</v>
      </c>
      <c r="D15" s="23" t="s">
        <v>21</v>
      </c>
      <c r="E15" s="23" t="s">
        <v>15</v>
      </c>
      <c r="F15" s="44" t="s">
        <v>16</v>
      </c>
      <c r="G15" s="25" t="s">
        <v>142</v>
      </c>
      <c r="H15" s="26" t="s">
        <v>143</v>
      </c>
      <c r="I15" s="27" t="s">
        <v>62</v>
      </c>
      <c r="J15" s="27" t="s">
        <v>66</v>
      </c>
      <c r="K15" s="35"/>
      <c r="L15" s="27" t="s">
        <v>144</v>
      </c>
      <c r="N15" s="36"/>
      <c r="O15" s="29"/>
      <c r="P15" s="29"/>
      <c r="Q15" s="29"/>
      <c r="R15" s="29"/>
      <c r="S15" s="29"/>
      <c r="T15" s="29"/>
      <c r="U15" s="29"/>
      <c r="V15" s="29"/>
      <c r="W15" s="29"/>
      <c r="X15" s="29"/>
      <c r="Y15" s="29"/>
      <c r="Z15" s="29"/>
    </row>
    <row r="16">
      <c r="A16" s="31">
        <v>45973.0</v>
      </c>
      <c r="B16" s="32" t="s">
        <v>56</v>
      </c>
      <c r="C16" s="43" t="s">
        <v>36</v>
      </c>
      <c r="D16" s="23" t="s">
        <v>44</v>
      </c>
      <c r="E16" s="33" t="s">
        <v>15</v>
      </c>
      <c r="F16" s="49" t="s">
        <v>16</v>
      </c>
      <c r="G16" s="25" t="s">
        <v>145</v>
      </c>
      <c r="H16" s="26" t="s">
        <v>61</v>
      </c>
      <c r="I16" s="30" t="s">
        <v>66</v>
      </c>
      <c r="J16" s="30"/>
      <c r="K16" s="50" t="s">
        <v>146</v>
      </c>
      <c r="L16" s="27" t="s">
        <v>71</v>
      </c>
      <c r="M16" s="29"/>
      <c r="N16" s="28"/>
      <c r="O16" s="29"/>
      <c r="P16" s="29"/>
      <c r="Q16" s="29"/>
      <c r="R16" s="29"/>
      <c r="S16" s="29"/>
      <c r="T16" s="29"/>
      <c r="U16" s="29"/>
      <c r="V16" s="29"/>
      <c r="W16" s="29"/>
      <c r="X16" s="29"/>
      <c r="Y16" s="29"/>
      <c r="Z16" s="29"/>
    </row>
    <row r="17">
      <c r="A17" s="20">
        <v>45973.0</v>
      </c>
      <c r="B17" s="21" t="s">
        <v>56</v>
      </c>
      <c r="C17" s="22" t="s">
        <v>36</v>
      </c>
      <c r="D17" s="23" t="s">
        <v>27</v>
      </c>
      <c r="E17" s="23" t="s">
        <v>22</v>
      </c>
      <c r="F17" s="44" t="s">
        <v>16</v>
      </c>
      <c r="G17" s="25" t="s">
        <v>147</v>
      </c>
      <c r="H17" s="26" t="s">
        <v>61</v>
      </c>
      <c r="I17" s="27" t="s">
        <v>66</v>
      </c>
      <c r="J17" s="27"/>
      <c r="K17" s="51" t="s">
        <v>146</v>
      </c>
      <c r="L17" s="27" t="s">
        <v>71</v>
      </c>
      <c r="N17" s="36"/>
      <c r="O17" s="29"/>
      <c r="P17" s="29"/>
      <c r="Q17" s="29"/>
      <c r="R17" s="29"/>
      <c r="S17" s="29"/>
      <c r="T17" s="29"/>
      <c r="U17" s="29"/>
      <c r="V17" s="29"/>
      <c r="W17" s="29"/>
      <c r="X17" s="29"/>
      <c r="Y17" s="29"/>
      <c r="Z17" s="29"/>
    </row>
    <row r="18">
      <c r="A18" s="20">
        <v>45967.0</v>
      </c>
      <c r="B18" s="21" t="s">
        <v>56</v>
      </c>
      <c r="C18" s="22" t="s">
        <v>13</v>
      </c>
      <c r="D18" s="23" t="s">
        <v>27</v>
      </c>
      <c r="E18" s="23" t="s">
        <v>15</v>
      </c>
      <c r="F18" s="44" t="s">
        <v>86</v>
      </c>
      <c r="G18" s="25" t="s">
        <v>148</v>
      </c>
      <c r="H18" s="26" t="s">
        <v>97</v>
      </c>
      <c r="I18" s="27" t="s">
        <v>62</v>
      </c>
      <c r="J18" s="27"/>
      <c r="K18" s="35"/>
      <c r="L18" s="27" t="s">
        <v>71</v>
      </c>
      <c r="N18" s="36"/>
      <c r="O18" s="29"/>
      <c r="P18" s="29"/>
      <c r="Q18" s="29"/>
      <c r="R18" s="29"/>
      <c r="S18" s="29"/>
      <c r="T18" s="29"/>
      <c r="U18" s="29"/>
      <c r="V18" s="29"/>
      <c r="W18" s="29"/>
      <c r="X18" s="29"/>
      <c r="Y18" s="29"/>
      <c r="Z18" s="29"/>
    </row>
    <row r="19">
      <c r="A19" s="20">
        <v>45964.0</v>
      </c>
      <c r="B19" s="21" t="s">
        <v>56</v>
      </c>
      <c r="C19" s="22" t="s">
        <v>57</v>
      </c>
      <c r="D19" s="23" t="s">
        <v>77</v>
      </c>
      <c r="E19" s="23" t="s">
        <v>15</v>
      </c>
      <c r="F19" s="44" t="s">
        <v>16</v>
      </c>
      <c r="G19" s="25" t="s">
        <v>149</v>
      </c>
      <c r="H19" s="34"/>
      <c r="I19" s="27" t="s">
        <v>127</v>
      </c>
      <c r="J19" s="27" t="s">
        <v>66</v>
      </c>
      <c r="K19" s="35"/>
      <c r="L19" s="27" t="s">
        <v>71</v>
      </c>
      <c r="N19" s="36"/>
      <c r="O19" s="29"/>
      <c r="P19" s="29"/>
      <c r="Q19" s="29"/>
      <c r="R19" s="29"/>
      <c r="S19" s="29"/>
      <c r="T19" s="29"/>
      <c r="U19" s="29"/>
      <c r="V19" s="29"/>
      <c r="W19" s="29"/>
      <c r="X19" s="29"/>
      <c r="Y19" s="29"/>
      <c r="Z19" s="29"/>
    </row>
    <row r="20">
      <c r="A20" s="20">
        <v>45950.0</v>
      </c>
      <c r="B20" s="21" t="s">
        <v>75</v>
      </c>
      <c r="C20" s="22" t="s">
        <v>33</v>
      </c>
      <c r="D20" s="23" t="s">
        <v>77</v>
      </c>
      <c r="E20" s="23" t="s">
        <v>22</v>
      </c>
      <c r="F20" s="44" t="s">
        <v>16</v>
      </c>
      <c r="G20" s="25" t="s">
        <v>150</v>
      </c>
      <c r="H20" s="34"/>
      <c r="I20" s="27" t="s">
        <v>151</v>
      </c>
      <c r="J20" s="27"/>
      <c r="K20" s="46"/>
      <c r="L20" s="27" t="s">
        <v>63</v>
      </c>
      <c r="N20" s="36"/>
      <c r="O20" s="29"/>
      <c r="P20" s="29"/>
      <c r="Q20" s="29"/>
      <c r="R20" s="29"/>
      <c r="S20" s="29"/>
      <c r="T20" s="29"/>
      <c r="U20" s="29"/>
      <c r="V20" s="29"/>
      <c r="W20" s="29"/>
      <c r="X20" s="29"/>
      <c r="Y20" s="29"/>
      <c r="Z20" s="29"/>
    </row>
    <row r="21">
      <c r="A21" s="20"/>
      <c r="B21" s="21"/>
      <c r="C21" s="22"/>
      <c r="D21" s="23"/>
      <c r="E21" s="23"/>
      <c r="F21" s="44"/>
      <c r="G21" s="25"/>
      <c r="H21" s="34"/>
      <c r="I21" s="27"/>
      <c r="J21" s="27"/>
      <c r="K21" s="52"/>
      <c r="L21" s="27"/>
      <c r="N21" s="36"/>
      <c r="O21" s="29"/>
      <c r="P21" s="29"/>
      <c r="Q21" s="29"/>
      <c r="R21" s="29"/>
      <c r="S21" s="29"/>
      <c r="T21" s="29"/>
      <c r="U21" s="29"/>
      <c r="V21" s="29"/>
      <c r="W21" s="29"/>
      <c r="X21" s="29"/>
      <c r="Y21" s="29"/>
      <c r="Z21" s="29"/>
    </row>
    <row r="22">
      <c r="A22" s="20"/>
      <c r="B22" s="21"/>
      <c r="C22" s="22"/>
      <c r="D22" s="23"/>
      <c r="E22" s="23"/>
      <c r="F22" s="44"/>
      <c r="G22" s="25"/>
      <c r="H22" s="34"/>
      <c r="I22" s="27"/>
      <c r="J22" s="27"/>
      <c r="K22" s="52"/>
      <c r="L22" s="27"/>
      <c r="N22" s="36"/>
      <c r="O22" s="29"/>
      <c r="P22" s="29"/>
      <c r="Q22" s="29"/>
      <c r="R22" s="29"/>
      <c r="S22" s="29"/>
      <c r="T22" s="29"/>
      <c r="U22" s="29"/>
      <c r="V22" s="29"/>
      <c r="W22" s="29"/>
      <c r="X22" s="29"/>
      <c r="Y22" s="29"/>
      <c r="Z22" s="29"/>
    </row>
    <row r="23">
      <c r="A23" s="20"/>
      <c r="B23" s="21"/>
      <c r="C23" s="22"/>
      <c r="D23" s="23"/>
      <c r="E23" s="23"/>
      <c r="F23" s="44"/>
      <c r="G23" s="25"/>
      <c r="H23" s="34"/>
      <c r="I23" s="27"/>
      <c r="J23" s="27"/>
      <c r="K23" s="52"/>
      <c r="L23" s="27"/>
      <c r="N23" s="36"/>
      <c r="O23" s="29"/>
      <c r="P23" s="29"/>
      <c r="Q23" s="29"/>
      <c r="R23" s="29"/>
      <c r="S23" s="29"/>
      <c r="T23" s="29"/>
      <c r="U23" s="29"/>
      <c r="V23" s="29"/>
      <c r="W23" s="29"/>
      <c r="X23" s="29"/>
      <c r="Y23" s="29"/>
      <c r="Z23" s="29"/>
    </row>
    <row r="24">
      <c r="A24" s="20"/>
      <c r="B24" s="21"/>
      <c r="C24" s="22"/>
      <c r="D24" s="23"/>
      <c r="E24" s="23"/>
      <c r="F24" s="44"/>
      <c r="G24" s="25"/>
      <c r="H24" s="34"/>
      <c r="I24" s="27"/>
      <c r="J24" s="27"/>
      <c r="K24" s="52"/>
      <c r="L24" s="27"/>
      <c r="N24" s="36"/>
      <c r="O24" s="29"/>
      <c r="P24" s="29"/>
      <c r="Q24" s="29"/>
      <c r="R24" s="29"/>
      <c r="S24" s="29"/>
      <c r="T24" s="29"/>
      <c r="U24" s="29"/>
      <c r="V24" s="29"/>
      <c r="W24" s="29"/>
      <c r="X24" s="29"/>
      <c r="Y24" s="29"/>
      <c r="Z24" s="29"/>
    </row>
    <row r="25">
      <c r="A25" s="20"/>
      <c r="B25" s="21"/>
      <c r="C25" s="22"/>
      <c r="D25" s="23"/>
      <c r="E25" s="23"/>
      <c r="F25" s="44"/>
      <c r="H25" s="34"/>
      <c r="I25" s="27"/>
      <c r="J25" s="27"/>
      <c r="K25" s="53"/>
      <c r="L25" s="27"/>
      <c r="N25" s="36"/>
      <c r="O25" s="29"/>
      <c r="P25" s="29"/>
      <c r="Q25" s="29"/>
      <c r="R25" s="29"/>
      <c r="S25" s="29"/>
      <c r="T25" s="29"/>
      <c r="U25" s="29"/>
      <c r="V25" s="29"/>
      <c r="W25" s="29"/>
      <c r="X25" s="29"/>
      <c r="Y25" s="29"/>
      <c r="Z25" s="29"/>
    </row>
    <row r="26">
      <c r="A26" s="20"/>
      <c r="B26" s="21"/>
      <c r="C26" s="22"/>
      <c r="D26" s="23"/>
      <c r="E26" s="23"/>
      <c r="F26" s="44"/>
      <c r="G26" s="54"/>
      <c r="H26" s="55"/>
      <c r="I26" s="56"/>
      <c r="J26" s="27"/>
      <c r="K26" s="55"/>
      <c r="L26" s="55"/>
    </row>
    <row r="27">
      <c r="A27" s="20"/>
      <c r="B27" s="21"/>
      <c r="C27" s="22"/>
      <c r="D27" s="23"/>
      <c r="E27" s="23"/>
      <c r="F27" s="44"/>
      <c r="G27" s="25"/>
      <c r="H27" s="34"/>
      <c r="I27" s="56"/>
      <c r="J27" s="27"/>
      <c r="K27" s="53"/>
      <c r="L27" s="27"/>
      <c r="N27" s="57"/>
      <c r="O27" s="29"/>
      <c r="P27" s="29"/>
      <c r="Q27" s="29"/>
      <c r="R27" s="29"/>
      <c r="S27" s="29"/>
      <c r="T27" s="29"/>
      <c r="U27" s="29"/>
      <c r="V27" s="29"/>
      <c r="W27" s="29"/>
      <c r="X27" s="29"/>
      <c r="Y27" s="29"/>
      <c r="Z27" s="29"/>
    </row>
  </sheetData>
  <conditionalFormatting sqref="D2:D13 F2:F27">
    <cfRule type="containsText" dxfId="0" priority="1" operator="containsText" text="Closed">
      <formula>NOT(ISERROR(SEARCH(("Closed"),(D2))))</formula>
    </cfRule>
  </conditionalFormatting>
  <conditionalFormatting sqref="D2:D13 F2:F27">
    <cfRule type="containsText" dxfId="3" priority="2" operator="containsText" text="Monitor">
      <formula>NOT(ISERROR(SEARCH(("Monitor"),(D2))))</formula>
    </cfRule>
  </conditionalFormatting>
  <conditionalFormatting sqref="D2:D13 F2:F27">
    <cfRule type="containsText" dxfId="4" priority="3" operator="containsText" text="Open">
      <formula>NOT(ISERROR(SEARCH(("Open"),(D2))))</formula>
    </cfRule>
  </conditionalFormatting>
  <conditionalFormatting sqref="D2:D13 F2:F27">
    <cfRule type="containsText" dxfId="5" priority="4" operator="containsText" text="NA">
      <formula>NOT(ISERROR(SEARCH(("NA"),(D2))))</formula>
    </cfRule>
  </conditionalFormatting>
  <dataValidations>
    <dataValidation type="list" allowBlank="1" sqref="B2:B27">
      <formula1>Option!$C$2:$C$16</formula1>
    </dataValidation>
    <dataValidation type="list" allowBlank="1" sqref="I2:J27">
      <formula1>Option!$K$2:$K$17</formula1>
    </dataValidation>
    <dataValidation type="list" allowBlank="1" sqref="D2:D27">
      <formula1>Option!$D$2:$D$15</formula1>
    </dataValidation>
    <dataValidation type="list" allowBlank="1" sqref="F2:F27">
      <formula1>Option!$F$2:$F$5</formula1>
    </dataValidation>
    <dataValidation type="list" allowBlank="1" sqref="L2:L25 L27">
      <formula1>"1.SCH,2.PCB,3.BOM,4.Parameter,5.SW/ME/RF/ANT/Component/MFG/Vendor,6.No Change"</formula1>
    </dataValidation>
    <dataValidation type="list" allowBlank="1" sqref="E2:E27">
      <formula1>Option!$G$2:$G$5</formula1>
    </dataValidation>
    <dataValidation type="list" allowBlank="1" sqref="C2:C27">
      <formula1>Option!$E$2:$E$15</formula1>
    </dataValidation>
  </dataValidations>
  <hyperlinks>
    <hyperlink r:id="rId4" location="slide=id.g4057557fca_0_46" ref="H2"/>
    <hyperlink r:id="rId5" ref="H3"/>
    <hyperlink r:id="rId6" location="slide=id.g4057557fca_0_46" ref="H5"/>
    <hyperlink r:id="rId7" location="slide=id.g3a7d2f18eda_0_1" ref="H6"/>
    <hyperlink r:id="rId8" location="slide=id.g3aa45faaec9_0_2" ref="H7"/>
    <hyperlink r:id="rId9" location="slide=id.g31774eae4e2_1_4" ref="H8"/>
    <hyperlink r:id="rId10" location="slide=id.g4057557fca_0_46" ref="H9"/>
    <hyperlink r:id="rId11" location="slide=id.g3aa45faaec9_0_2" ref="H11"/>
    <hyperlink r:id="rId12" location="slide=id.g3604203e1b6_0_5" ref="H13"/>
    <hyperlink r:id="rId13" ref="G14"/>
    <hyperlink r:id="rId14" location="slide=id.g3a1c26a8540_0_9" ref="H14"/>
    <hyperlink r:id="rId15" location="slide=id.p7" ref="H15"/>
    <hyperlink r:id="rId16" location="slide=id.g3a06e91e72e_0_6" ref="H16"/>
    <hyperlink r:id="rId17" ref="K16"/>
    <hyperlink r:id="rId18" ref="H17"/>
    <hyperlink r:id="rId19" ref="K17"/>
    <hyperlink r:id="rId20" location="slide=id.g3a1e8c62dc1_0_0" ref="H18"/>
  </hyperlinks>
  <drawing r:id="rId21"/>
  <legacyDrawing r:id="rId2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1" max="1" width="12.13"/>
    <col customWidth="1" min="2" max="2" width="11.75"/>
    <col customWidth="1" min="3" max="3" width="12.38"/>
    <col customWidth="1" min="5" max="5" width="8.63"/>
    <col customWidth="1" min="6" max="6" width="11.38"/>
    <col customWidth="1" min="7" max="7" width="108.63"/>
    <col customWidth="1" min="8" max="8" width="17.25"/>
  </cols>
  <sheetData>
    <row r="1">
      <c r="A1" s="4" t="s">
        <v>54</v>
      </c>
      <c r="B1" s="4" t="s">
        <v>1</v>
      </c>
      <c r="C1" s="4" t="s">
        <v>2</v>
      </c>
      <c r="D1" s="4" t="s">
        <v>3</v>
      </c>
      <c r="E1" s="4" t="s">
        <v>4</v>
      </c>
      <c r="F1" s="4" t="s">
        <v>5</v>
      </c>
      <c r="G1" s="4" t="s">
        <v>6</v>
      </c>
      <c r="H1" s="4" t="s">
        <v>7</v>
      </c>
      <c r="I1" s="3" t="s">
        <v>8</v>
      </c>
      <c r="J1" s="3" t="s">
        <v>9</v>
      </c>
      <c r="K1" s="4" t="s">
        <v>10</v>
      </c>
      <c r="L1" s="4" t="s">
        <v>11</v>
      </c>
      <c r="M1" s="19" t="s">
        <v>55</v>
      </c>
    </row>
    <row r="2">
      <c r="A2" s="20">
        <v>46027.0</v>
      </c>
      <c r="B2" s="21" t="s">
        <v>25</v>
      </c>
      <c r="C2" s="22" t="s">
        <v>72</v>
      </c>
      <c r="D2" s="23" t="s">
        <v>14</v>
      </c>
      <c r="E2" s="23" t="s">
        <v>15</v>
      </c>
      <c r="F2" s="44" t="s">
        <v>86</v>
      </c>
      <c r="G2" s="25" t="s">
        <v>152</v>
      </c>
      <c r="H2" s="26" t="s">
        <v>97</v>
      </c>
      <c r="I2" s="27" t="s">
        <v>74</v>
      </c>
      <c r="J2" s="27" t="s">
        <v>67</v>
      </c>
      <c r="K2" s="58" t="s">
        <v>153</v>
      </c>
      <c r="L2" s="27" t="s">
        <v>71</v>
      </c>
      <c r="N2" s="36"/>
      <c r="O2" s="29"/>
      <c r="P2" s="29"/>
      <c r="Q2" s="29"/>
      <c r="R2" s="29"/>
      <c r="S2" s="29"/>
      <c r="T2" s="29"/>
      <c r="U2" s="29"/>
      <c r="V2" s="29"/>
      <c r="W2" s="29"/>
      <c r="X2" s="29"/>
      <c r="Y2" s="29"/>
      <c r="Z2" s="29"/>
    </row>
    <row r="3">
      <c r="A3" s="20">
        <v>45985.0</v>
      </c>
      <c r="B3" s="21" t="s">
        <v>25</v>
      </c>
      <c r="C3" s="22" t="s">
        <v>36</v>
      </c>
      <c r="D3" s="23" t="s">
        <v>27</v>
      </c>
      <c r="E3" s="23" t="s">
        <v>22</v>
      </c>
      <c r="F3" s="44" t="s">
        <v>16</v>
      </c>
      <c r="G3" s="25" t="s">
        <v>154</v>
      </c>
      <c r="H3" s="26" t="s">
        <v>61</v>
      </c>
      <c r="I3" s="27" t="s">
        <v>66</v>
      </c>
      <c r="J3" s="27"/>
      <c r="K3" s="46"/>
      <c r="L3" s="27" t="s">
        <v>71</v>
      </c>
      <c r="N3" s="36"/>
      <c r="O3" s="29"/>
      <c r="P3" s="29"/>
      <c r="Q3" s="29"/>
      <c r="R3" s="29"/>
      <c r="S3" s="29"/>
      <c r="T3" s="29"/>
      <c r="U3" s="29"/>
      <c r="V3" s="29"/>
      <c r="W3" s="29"/>
      <c r="X3" s="29"/>
      <c r="Y3" s="29"/>
      <c r="Z3" s="29"/>
    </row>
    <row r="4">
      <c r="A4" s="20">
        <v>45951.0</v>
      </c>
      <c r="B4" s="21" t="s">
        <v>43</v>
      </c>
      <c r="C4" s="22" t="s">
        <v>94</v>
      </c>
      <c r="D4" s="23" t="s">
        <v>27</v>
      </c>
      <c r="E4" s="23" t="s">
        <v>15</v>
      </c>
      <c r="F4" s="44" t="s">
        <v>16</v>
      </c>
      <c r="G4" s="25" t="s">
        <v>155</v>
      </c>
      <c r="H4" s="26" t="s">
        <v>61</v>
      </c>
      <c r="I4" s="27" t="s">
        <v>70</v>
      </c>
      <c r="J4" s="27"/>
      <c r="K4" s="46"/>
      <c r="L4" s="27" t="s">
        <v>63</v>
      </c>
      <c r="N4" s="36"/>
      <c r="O4" s="29"/>
      <c r="P4" s="29"/>
      <c r="Q4" s="29"/>
      <c r="R4" s="29"/>
      <c r="S4" s="29"/>
      <c r="T4" s="29"/>
      <c r="U4" s="29"/>
      <c r="V4" s="29"/>
      <c r="W4" s="29"/>
      <c r="X4" s="29"/>
      <c r="Y4" s="29"/>
      <c r="Z4" s="29"/>
    </row>
    <row r="5">
      <c r="A5" s="20">
        <v>45941.0</v>
      </c>
      <c r="B5" s="21" t="s">
        <v>43</v>
      </c>
      <c r="C5" s="22" t="s">
        <v>36</v>
      </c>
      <c r="D5" s="23" t="s">
        <v>27</v>
      </c>
      <c r="E5" s="23" t="s">
        <v>22</v>
      </c>
      <c r="F5" s="44" t="s">
        <v>16</v>
      </c>
      <c r="G5" s="25" t="s">
        <v>156</v>
      </c>
      <c r="H5" s="26" t="s">
        <v>61</v>
      </c>
      <c r="I5" s="27" t="s">
        <v>66</v>
      </c>
      <c r="J5" s="27"/>
      <c r="K5" s="59" t="s">
        <v>157</v>
      </c>
      <c r="L5" s="27" t="s">
        <v>71</v>
      </c>
      <c r="N5" s="36"/>
      <c r="O5" s="29"/>
      <c r="P5" s="29"/>
      <c r="Q5" s="29"/>
      <c r="R5" s="29"/>
      <c r="S5" s="29"/>
      <c r="T5" s="29"/>
      <c r="U5" s="29"/>
      <c r="V5" s="29"/>
      <c r="W5" s="29"/>
      <c r="X5" s="29"/>
      <c r="Y5" s="29"/>
      <c r="Z5" s="29"/>
    </row>
    <row r="6">
      <c r="A6" s="20">
        <v>45925.0</v>
      </c>
      <c r="B6" s="21" t="s">
        <v>43</v>
      </c>
      <c r="C6" s="22" t="s">
        <v>20</v>
      </c>
      <c r="D6" s="23" t="s">
        <v>27</v>
      </c>
      <c r="E6" s="23" t="s">
        <v>22</v>
      </c>
      <c r="F6" s="44" t="s">
        <v>16</v>
      </c>
      <c r="G6" s="25" t="s">
        <v>158</v>
      </c>
      <c r="H6" s="26" t="s">
        <v>61</v>
      </c>
      <c r="I6" s="27" t="s">
        <v>67</v>
      </c>
      <c r="J6" s="27" t="s">
        <v>66</v>
      </c>
      <c r="K6" s="51" t="s">
        <v>159</v>
      </c>
      <c r="L6" s="27" t="s">
        <v>71</v>
      </c>
      <c r="N6" s="36"/>
      <c r="O6" s="29"/>
      <c r="P6" s="29"/>
      <c r="Q6" s="29"/>
      <c r="R6" s="29"/>
      <c r="S6" s="29"/>
      <c r="T6" s="29"/>
      <c r="U6" s="29"/>
      <c r="V6" s="29"/>
      <c r="W6" s="29"/>
      <c r="X6" s="29"/>
      <c r="Y6" s="29"/>
      <c r="Z6" s="29"/>
    </row>
    <row r="7">
      <c r="A7" s="20">
        <v>45941.0</v>
      </c>
      <c r="B7" s="21" t="s">
        <v>43</v>
      </c>
      <c r="C7" s="22" t="s">
        <v>76</v>
      </c>
      <c r="D7" s="23" t="s">
        <v>27</v>
      </c>
      <c r="E7" s="23" t="s">
        <v>15</v>
      </c>
      <c r="F7" s="44" t="s">
        <v>16</v>
      </c>
      <c r="G7" s="25" t="s">
        <v>160</v>
      </c>
      <c r="H7" s="26" t="s">
        <v>61</v>
      </c>
      <c r="I7" s="27" t="s">
        <v>79</v>
      </c>
      <c r="J7" s="27"/>
      <c r="K7" s="46"/>
      <c r="L7" s="27" t="s">
        <v>71</v>
      </c>
      <c r="N7" s="36"/>
      <c r="O7" s="29"/>
      <c r="P7" s="29"/>
      <c r="Q7" s="29"/>
      <c r="R7" s="29"/>
      <c r="S7" s="29"/>
      <c r="T7" s="29"/>
      <c r="U7" s="29"/>
      <c r="V7" s="29"/>
      <c r="W7" s="29"/>
      <c r="X7" s="29"/>
      <c r="Y7" s="29"/>
      <c r="Z7" s="29"/>
    </row>
    <row r="8" ht="52.5" customHeight="1">
      <c r="A8" s="20">
        <v>45941.0</v>
      </c>
      <c r="B8" s="21" t="s">
        <v>43</v>
      </c>
      <c r="C8" s="22" t="s">
        <v>49</v>
      </c>
      <c r="D8" s="23" t="s">
        <v>44</v>
      </c>
      <c r="E8" s="23" t="s">
        <v>15</v>
      </c>
      <c r="F8" s="44" t="s">
        <v>16</v>
      </c>
      <c r="G8" s="25" t="s">
        <v>161</v>
      </c>
      <c r="H8" s="34"/>
      <c r="I8" s="27" t="s">
        <v>115</v>
      </c>
      <c r="J8" s="27"/>
      <c r="K8" s="46"/>
      <c r="L8" s="27" t="s">
        <v>162</v>
      </c>
      <c r="N8" s="36"/>
      <c r="O8" s="29"/>
      <c r="P8" s="29"/>
      <c r="Q8" s="29"/>
      <c r="R8" s="29"/>
      <c r="S8" s="29"/>
      <c r="T8" s="29"/>
      <c r="U8" s="29"/>
      <c r="V8" s="29"/>
      <c r="W8" s="29"/>
      <c r="X8" s="29"/>
      <c r="Y8" s="29"/>
      <c r="Z8" s="29"/>
    </row>
    <row r="9">
      <c r="A9" s="20">
        <v>45940.0</v>
      </c>
      <c r="B9" s="21" t="s">
        <v>56</v>
      </c>
      <c r="C9" s="22" t="s">
        <v>36</v>
      </c>
      <c r="D9" s="23" t="s">
        <v>27</v>
      </c>
      <c r="E9" s="23" t="s">
        <v>64</v>
      </c>
      <c r="F9" s="44" t="s">
        <v>16</v>
      </c>
      <c r="G9" s="25" t="s">
        <v>163</v>
      </c>
      <c r="H9" s="34"/>
      <c r="I9" s="27" t="s">
        <v>66</v>
      </c>
      <c r="J9" s="27"/>
      <c r="K9" s="52"/>
      <c r="L9" s="27" t="s">
        <v>71</v>
      </c>
      <c r="N9" s="36"/>
      <c r="O9" s="29"/>
      <c r="P9" s="29"/>
      <c r="Q9" s="29"/>
      <c r="R9" s="29"/>
      <c r="S9" s="29"/>
      <c r="T9" s="29"/>
      <c r="U9" s="29"/>
      <c r="V9" s="29"/>
      <c r="W9" s="29"/>
      <c r="X9" s="29"/>
      <c r="Y9" s="29"/>
      <c r="Z9" s="29"/>
    </row>
    <row r="10">
      <c r="A10" s="20">
        <v>45925.0</v>
      </c>
      <c r="B10" s="21" t="s">
        <v>56</v>
      </c>
      <c r="C10" s="22" t="s">
        <v>20</v>
      </c>
      <c r="D10" s="23" t="s">
        <v>27</v>
      </c>
      <c r="E10" s="23" t="s">
        <v>64</v>
      </c>
      <c r="F10" s="44" t="s">
        <v>64</v>
      </c>
      <c r="G10" s="25" t="s">
        <v>164</v>
      </c>
      <c r="H10" s="34"/>
      <c r="I10" s="27" t="s">
        <v>66</v>
      </c>
      <c r="J10" s="27"/>
      <c r="K10" s="52"/>
      <c r="L10" s="27" t="s">
        <v>68</v>
      </c>
      <c r="N10" s="36"/>
      <c r="O10" s="29"/>
      <c r="P10" s="29"/>
      <c r="Q10" s="29"/>
      <c r="R10" s="29"/>
      <c r="S10" s="29"/>
      <c r="T10" s="29"/>
      <c r="U10" s="29"/>
      <c r="V10" s="29"/>
      <c r="W10" s="29"/>
      <c r="X10" s="29"/>
      <c r="Y10" s="29"/>
      <c r="Z10" s="29"/>
    </row>
    <row r="11">
      <c r="A11" s="20">
        <v>45901.0</v>
      </c>
      <c r="B11" s="21" t="s">
        <v>56</v>
      </c>
      <c r="C11" s="22" t="s">
        <v>49</v>
      </c>
      <c r="D11" s="23" t="s">
        <v>58</v>
      </c>
      <c r="E11" s="23" t="s">
        <v>15</v>
      </c>
      <c r="F11" s="44" t="s">
        <v>16</v>
      </c>
      <c r="G11" s="25" t="s">
        <v>165</v>
      </c>
      <c r="H11" s="34"/>
      <c r="I11" s="27" t="s">
        <v>115</v>
      </c>
      <c r="J11" s="27"/>
      <c r="K11" s="60" t="s">
        <v>166</v>
      </c>
      <c r="L11" s="27" t="s">
        <v>167</v>
      </c>
      <c r="N11" s="36"/>
      <c r="O11" s="29"/>
      <c r="P11" s="29"/>
      <c r="Q11" s="29"/>
      <c r="R11" s="29"/>
      <c r="S11" s="29"/>
      <c r="T11" s="29"/>
      <c r="U11" s="29"/>
      <c r="V11" s="29"/>
      <c r="W11" s="29"/>
      <c r="X11" s="29"/>
      <c r="Y11" s="29"/>
      <c r="Z11" s="29"/>
    </row>
    <row r="12">
      <c r="A12" s="20">
        <v>45916.0</v>
      </c>
      <c r="B12" s="21" t="s">
        <v>56</v>
      </c>
      <c r="C12" s="22" t="s">
        <v>36</v>
      </c>
      <c r="D12" s="23" t="s">
        <v>44</v>
      </c>
      <c r="E12" s="23" t="s">
        <v>22</v>
      </c>
      <c r="F12" s="44" t="s">
        <v>16</v>
      </c>
      <c r="G12" s="25" t="s">
        <v>168</v>
      </c>
      <c r="H12" s="26" t="s">
        <v>61</v>
      </c>
      <c r="I12" s="27" t="s">
        <v>66</v>
      </c>
      <c r="J12" s="27"/>
      <c r="K12" s="52"/>
      <c r="L12" s="27" t="s">
        <v>71</v>
      </c>
      <c r="N12" s="36"/>
      <c r="O12" s="29"/>
      <c r="P12" s="29"/>
      <c r="Q12" s="29"/>
      <c r="R12" s="29"/>
      <c r="S12" s="29"/>
      <c r="T12" s="29"/>
      <c r="U12" s="29"/>
      <c r="V12" s="29"/>
      <c r="W12" s="29"/>
      <c r="X12" s="29"/>
      <c r="Y12" s="29"/>
      <c r="Z12" s="29"/>
    </row>
    <row r="13">
      <c r="A13" s="20">
        <v>45873.0</v>
      </c>
      <c r="B13" s="21" t="s">
        <v>56</v>
      </c>
      <c r="C13" s="22" t="s">
        <v>36</v>
      </c>
      <c r="D13" s="23" t="s">
        <v>27</v>
      </c>
      <c r="E13" s="23" t="s">
        <v>64</v>
      </c>
      <c r="F13" s="44" t="s">
        <v>16</v>
      </c>
      <c r="G13" s="25" t="s">
        <v>169</v>
      </c>
      <c r="H13" s="26" t="s">
        <v>61</v>
      </c>
      <c r="I13" s="27" t="s">
        <v>66</v>
      </c>
      <c r="J13" s="27" t="s">
        <v>79</v>
      </c>
      <c r="K13" s="53"/>
      <c r="L13" s="27" t="s">
        <v>71</v>
      </c>
      <c r="N13" s="36"/>
      <c r="O13" s="29"/>
      <c r="P13" s="29"/>
      <c r="Q13" s="29"/>
      <c r="R13" s="29"/>
      <c r="S13" s="29"/>
      <c r="T13" s="29"/>
      <c r="U13" s="29"/>
      <c r="V13" s="29"/>
      <c r="W13" s="29"/>
      <c r="X13" s="29"/>
      <c r="Y13" s="29"/>
      <c r="Z13" s="29"/>
    </row>
    <row r="14">
      <c r="A14" s="20">
        <v>45873.0</v>
      </c>
      <c r="B14" s="21" t="s">
        <v>121</v>
      </c>
      <c r="C14" s="22" t="s">
        <v>57</v>
      </c>
      <c r="D14" s="23" t="s">
        <v>81</v>
      </c>
      <c r="E14" s="23" t="s">
        <v>15</v>
      </c>
      <c r="F14" s="44" t="s">
        <v>16</v>
      </c>
      <c r="G14" s="54" t="s">
        <v>170</v>
      </c>
      <c r="H14" s="55"/>
      <c r="I14" s="56" t="s">
        <v>62</v>
      </c>
      <c r="J14" s="27" t="s">
        <v>66</v>
      </c>
      <c r="K14" s="55"/>
      <c r="L14" s="27" t="s">
        <v>68</v>
      </c>
    </row>
    <row r="15">
      <c r="A15" s="20">
        <v>45873.0</v>
      </c>
      <c r="B15" s="21" t="s">
        <v>121</v>
      </c>
      <c r="C15" s="22" t="s">
        <v>57</v>
      </c>
      <c r="D15" s="23" t="s">
        <v>81</v>
      </c>
      <c r="E15" s="23" t="s">
        <v>22</v>
      </c>
      <c r="F15" s="44" t="s">
        <v>16</v>
      </c>
      <c r="G15" s="25" t="s">
        <v>171</v>
      </c>
      <c r="H15" s="26" t="s">
        <v>61</v>
      </c>
      <c r="I15" s="56" t="s">
        <v>62</v>
      </c>
      <c r="J15" s="27" t="s">
        <v>66</v>
      </c>
      <c r="K15" s="53"/>
      <c r="L15" s="27" t="s">
        <v>68</v>
      </c>
      <c r="N15" s="57"/>
      <c r="O15" s="29"/>
      <c r="P15" s="29"/>
      <c r="Q15" s="29"/>
      <c r="R15" s="29"/>
      <c r="S15" s="29"/>
      <c r="T15" s="29"/>
      <c r="U15" s="29"/>
      <c r="V15" s="29"/>
      <c r="W15" s="29"/>
      <c r="X15" s="29"/>
      <c r="Y15" s="29"/>
      <c r="Z15" s="29"/>
    </row>
  </sheetData>
  <conditionalFormatting sqref="F2:F15 D8">
    <cfRule type="containsText" dxfId="0" priority="1" operator="containsText" text="Closed">
      <formula>NOT(ISERROR(SEARCH(("Closed"),(F2))))</formula>
    </cfRule>
  </conditionalFormatting>
  <conditionalFormatting sqref="F2:F15 D8">
    <cfRule type="containsText" dxfId="3" priority="2" operator="containsText" text="Monitor">
      <formula>NOT(ISERROR(SEARCH(("Monitor"),(F2))))</formula>
    </cfRule>
  </conditionalFormatting>
  <conditionalFormatting sqref="F2:F15 D8">
    <cfRule type="containsText" dxfId="4" priority="3" operator="containsText" text="Open">
      <formula>NOT(ISERROR(SEARCH(("Open"),(F2))))</formula>
    </cfRule>
  </conditionalFormatting>
  <conditionalFormatting sqref="F2:F15 D8">
    <cfRule type="containsText" dxfId="5" priority="4" operator="containsText" text="NA">
      <formula>NOT(ISERROR(SEARCH(("NA"),(F2))))</formula>
    </cfRule>
  </conditionalFormatting>
  <dataValidations>
    <dataValidation type="list" allowBlank="1" sqref="B2:B15">
      <formula1>Option!$C$2:$C$16</formula1>
    </dataValidation>
    <dataValidation type="list" allowBlank="1" sqref="I2:J15">
      <formula1>Option!$K$2:$K$17</formula1>
    </dataValidation>
    <dataValidation type="list" allowBlank="1" sqref="D2:D15">
      <formula1>Option!$D$2:$D$15</formula1>
    </dataValidation>
    <dataValidation type="list" allowBlank="1" sqref="F2:F15">
      <formula1>Option!$F$2:$F$5</formula1>
    </dataValidation>
    <dataValidation type="list" allowBlank="1" sqref="L2:L15">
      <formula1>"1.SCH,2.PCB,3.BOM,4.Parameter,5.SW/ME/RF/ANT/Component/MFG/Vendor,6.No Change"</formula1>
    </dataValidation>
    <dataValidation type="list" allowBlank="1" sqref="E2:E15">
      <formula1>Option!$G$2:$G$5</formula1>
    </dataValidation>
    <dataValidation type="list" allowBlank="1" sqref="C2:C15">
      <formula1>Option!$E$2:$E$15</formula1>
    </dataValidation>
  </dataValidations>
  <hyperlinks>
    <hyperlink r:id="rId4" location="slide=id.g4057557fca_0_46" ref="H2"/>
    <hyperlink r:id="rId5" location="gid=1509180577" ref="K2"/>
    <hyperlink r:id="rId6" location="slide=id.g3aa44df3a84_0_14" ref="H3"/>
    <hyperlink r:id="rId7" location="slide=id.g39884ded053_0_417" ref="H4"/>
    <hyperlink r:id="rId8" location="slide=id.g3732879c705_0_0" ref="H5"/>
    <hyperlink r:id="rId9" ref="K5"/>
    <hyperlink r:id="rId10" location="slide=id.g384c0765c91_0_1" ref="H6"/>
    <hyperlink r:id="rId11" ref="K6"/>
    <hyperlink r:id="rId12" location="slide=id.p" ref="H7"/>
    <hyperlink r:id="rId13" location="slide=id.g3830732499c_0_33" ref="K11"/>
    <hyperlink r:id="rId14" location="slide=id.g4057557fca_0_46" ref="H12"/>
    <hyperlink r:id="rId15" location="slide=id.g3457ae85bc8_0_7" ref="H13"/>
    <hyperlink r:id="rId16" location="slide=id.g375b9312c87_0_25" ref="H15"/>
  </hyperlinks>
  <drawing r:id="rId17"/>
  <legacyDrawing r:id="rId18"/>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5.13" defaultRowHeight="15.0"/>
  <cols>
    <col customWidth="1" min="2" max="2" width="11.13"/>
    <col customWidth="1" min="3" max="3" width="12.5"/>
    <col customWidth="1" min="4" max="4" width="16.0"/>
    <col customWidth="1" min="5" max="5" width="10.25"/>
    <col customWidth="1" min="6" max="6" width="10.75"/>
    <col customWidth="1" min="7" max="7" width="101.75"/>
  </cols>
  <sheetData>
    <row r="1">
      <c r="A1" s="61" t="s">
        <v>54</v>
      </c>
      <c r="B1" s="61" t="s">
        <v>1</v>
      </c>
      <c r="C1" s="61" t="s">
        <v>2</v>
      </c>
      <c r="D1" s="61" t="s">
        <v>3</v>
      </c>
      <c r="E1" s="61" t="s">
        <v>4</v>
      </c>
      <c r="F1" s="61" t="s">
        <v>5</v>
      </c>
      <c r="G1" s="61" t="s">
        <v>6</v>
      </c>
      <c r="H1" s="61" t="s">
        <v>7</v>
      </c>
      <c r="I1" s="62" t="s">
        <v>8</v>
      </c>
      <c r="J1" s="62" t="s">
        <v>9</v>
      </c>
      <c r="K1" s="61" t="s">
        <v>10</v>
      </c>
      <c r="L1" s="61" t="s">
        <v>11</v>
      </c>
      <c r="M1" s="63"/>
      <c r="N1" s="64"/>
      <c r="O1" s="64"/>
      <c r="P1" s="64"/>
      <c r="Q1" s="64"/>
      <c r="R1" s="64"/>
      <c r="S1" s="64"/>
      <c r="T1" s="64"/>
      <c r="U1" s="64"/>
      <c r="V1" s="64"/>
      <c r="W1" s="64"/>
      <c r="X1" s="64"/>
      <c r="Y1" s="64"/>
      <c r="Z1" s="64"/>
    </row>
    <row r="2">
      <c r="A2" s="65">
        <v>45972.0</v>
      </c>
      <c r="B2" s="66" t="s">
        <v>172</v>
      </c>
      <c r="C2" s="67" t="s">
        <v>36</v>
      </c>
      <c r="D2" s="66" t="s">
        <v>14</v>
      </c>
      <c r="E2" s="66" t="s">
        <v>64</v>
      </c>
      <c r="F2" s="68" t="s">
        <v>64</v>
      </c>
      <c r="G2" s="69" t="s">
        <v>173</v>
      </c>
      <c r="H2" s="70"/>
      <c r="I2" s="71" t="s">
        <v>66</v>
      </c>
      <c r="J2" s="27"/>
      <c r="K2" s="72"/>
      <c r="L2" s="73"/>
      <c r="M2" s="28"/>
      <c r="N2" s="28"/>
      <c r="O2" s="29"/>
      <c r="P2" s="29"/>
      <c r="Q2" s="29"/>
      <c r="R2" s="29"/>
      <c r="S2" s="29"/>
      <c r="T2" s="29"/>
      <c r="U2" s="29"/>
      <c r="V2" s="29"/>
      <c r="W2" s="29"/>
      <c r="X2" s="29"/>
      <c r="Y2" s="29"/>
      <c r="Z2" s="29"/>
    </row>
    <row r="3">
      <c r="A3" s="65">
        <v>45972.0</v>
      </c>
      <c r="B3" s="66" t="s">
        <v>172</v>
      </c>
      <c r="C3" s="67" t="s">
        <v>36</v>
      </c>
      <c r="D3" s="66" t="s">
        <v>14</v>
      </c>
      <c r="E3" s="66" t="s">
        <v>64</v>
      </c>
      <c r="F3" s="68" t="s">
        <v>59</v>
      </c>
      <c r="G3" s="69" t="s">
        <v>174</v>
      </c>
      <c r="H3" s="74" t="s">
        <v>61</v>
      </c>
      <c r="I3" s="71" t="s">
        <v>66</v>
      </c>
      <c r="J3" s="27"/>
      <c r="K3" s="72"/>
      <c r="L3" s="73"/>
      <c r="M3" s="28"/>
      <c r="N3" s="28"/>
      <c r="O3" s="29"/>
      <c r="P3" s="29"/>
      <c r="Q3" s="29"/>
      <c r="R3" s="29"/>
      <c r="S3" s="29"/>
      <c r="T3" s="29"/>
      <c r="U3" s="29"/>
      <c r="V3" s="29"/>
      <c r="W3" s="29"/>
      <c r="X3" s="29"/>
      <c r="Y3" s="29"/>
      <c r="Z3" s="29"/>
    </row>
    <row r="4">
      <c r="A4" s="65">
        <v>45928.0</v>
      </c>
      <c r="B4" s="66" t="s">
        <v>25</v>
      </c>
      <c r="C4" s="67" t="s">
        <v>36</v>
      </c>
      <c r="D4" s="66" t="s">
        <v>89</v>
      </c>
      <c r="E4" s="66" t="s">
        <v>64</v>
      </c>
      <c r="F4" s="68" t="s">
        <v>64</v>
      </c>
      <c r="G4" s="69" t="s">
        <v>175</v>
      </c>
      <c r="H4" s="74" t="s">
        <v>61</v>
      </c>
      <c r="I4" s="71" t="s">
        <v>66</v>
      </c>
      <c r="J4" s="27" t="s">
        <v>70</v>
      </c>
      <c r="K4" s="72"/>
      <c r="L4" s="73"/>
      <c r="M4" s="28"/>
      <c r="N4" s="28"/>
      <c r="O4" s="29"/>
      <c r="P4" s="29"/>
      <c r="Q4" s="29"/>
      <c r="R4" s="29"/>
      <c r="S4" s="29"/>
      <c r="T4" s="29"/>
      <c r="U4" s="29"/>
      <c r="V4" s="29"/>
      <c r="W4" s="29"/>
      <c r="X4" s="29"/>
      <c r="Y4" s="29"/>
      <c r="Z4" s="29"/>
    </row>
    <row r="5" ht="148.5" customHeight="1">
      <c r="A5" s="65">
        <v>45926.0</v>
      </c>
      <c r="B5" s="66" t="s">
        <v>25</v>
      </c>
      <c r="C5" s="67" t="s">
        <v>36</v>
      </c>
      <c r="D5" s="66" t="s">
        <v>14</v>
      </c>
      <c r="E5" s="66" t="s">
        <v>64</v>
      </c>
      <c r="F5" s="68" t="s">
        <v>64</v>
      </c>
      <c r="G5" s="69" t="s">
        <v>176</v>
      </c>
      <c r="H5" s="75" t="s">
        <v>61</v>
      </c>
      <c r="I5" s="71" t="s">
        <v>66</v>
      </c>
      <c r="J5" s="30"/>
      <c r="K5" s="72"/>
      <c r="L5" s="73"/>
      <c r="M5" s="28"/>
      <c r="N5" s="28"/>
      <c r="O5" s="29"/>
      <c r="P5" s="29"/>
      <c r="Q5" s="29"/>
      <c r="R5" s="29"/>
      <c r="S5" s="29"/>
      <c r="T5" s="29"/>
      <c r="U5" s="29"/>
      <c r="V5" s="29"/>
      <c r="W5" s="29"/>
      <c r="X5" s="29"/>
      <c r="Y5" s="29"/>
      <c r="Z5" s="29"/>
    </row>
    <row r="6">
      <c r="A6" s="65">
        <v>45912.0</v>
      </c>
      <c r="B6" s="66" t="s">
        <v>25</v>
      </c>
      <c r="C6" s="67" t="s">
        <v>83</v>
      </c>
      <c r="D6" s="66" t="s">
        <v>27</v>
      </c>
      <c r="E6" s="66" t="s">
        <v>15</v>
      </c>
      <c r="F6" s="68" t="s">
        <v>86</v>
      </c>
      <c r="G6" s="69" t="s">
        <v>177</v>
      </c>
      <c r="H6" s="75" t="s">
        <v>61</v>
      </c>
      <c r="I6" s="71" t="s">
        <v>66</v>
      </c>
      <c r="J6" s="30"/>
      <c r="K6" s="72"/>
      <c r="L6" s="73"/>
      <c r="M6" s="28"/>
      <c r="N6" s="28"/>
      <c r="O6" s="29"/>
      <c r="P6" s="29"/>
      <c r="Q6" s="29"/>
      <c r="R6" s="29"/>
      <c r="S6" s="29"/>
      <c r="T6" s="29"/>
      <c r="U6" s="29"/>
      <c r="V6" s="29"/>
      <c r="W6" s="29"/>
      <c r="X6" s="29"/>
      <c r="Y6" s="29"/>
      <c r="Z6" s="29"/>
    </row>
    <row r="7" ht="148.5" customHeight="1">
      <c r="A7" s="65">
        <v>45908.0</v>
      </c>
      <c r="B7" s="66" t="s">
        <v>25</v>
      </c>
      <c r="C7" s="67" t="s">
        <v>26</v>
      </c>
      <c r="D7" s="66" t="s">
        <v>58</v>
      </c>
      <c r="E7" s="66" t="s">
        <v>46</v>
      </c>
      <c r="F7" s="68" t="s">
        <v>59</v>
      </c>
      <c r="G7" s="69" t="s">
        <v>178</v>
      </c>
      <c r="H7" s="75" t="s">
        <v>61</v>
      </c>
      <c r="I7" s="71" t="s">
        <v>70</v>
      </c>
      <c r="J7" s="30"/>
      <c r="K7" s="72"/>
      <c r="L7" s="73"/>
      <c r="M7" s="28"/>
      <c r="N7" s="28"/>
      <c r="O7" s="29"/>
      <c r="P7" s="29"/>
      <c r="Q7" s="29"/>
      <c r="R7" s="29"/>
      <c r="S7" s="29"/>
      <c r="T7" s="29"/>
      <c r="U7" s="29"/>
      <c r="V7" s="29"/>
      <c r="W7" s="29"/>
      <c r="X7" s="29"/>
      <c r="Y7" s="29"/>
      <c r="Z7" s="29"/>
    </row>
    <row r="8" ht="148.5" customHeight="1">
      <c r="A8" s="65">
        <v>45880.0</v>
      </c>
      <c r="B8" s="66" t="s">
        <v>19</v>
      </c>
      <c r="C8" s="67" t="s">
        <v>76</v>
      </c>
      <c r="D8" s="66" t="s">
        <v>27</v>
      </c>
      <c r="E8" s="66" t="s">
        <v>22</v>
      </c>
      <c r="F8" s="68" t="s">
        <v>86</v>
      </c>
      <c r="G8" s="69" t="s">
        <v>179</v>
      </c>
      <c r="H8" s="75" t="s">
        <v>61</v>
      </c>
      <c r="I8" s="71" t="s">
        <v>79</v>
      </c>
      <c r="J8" s="30"/>
      <c r="K8" s="72"/>
      <c r="L8" s="73"/>
      <c r="M8" s="28"/>
      <c r="N8" s="28"/>
      <c r="O8" s="29"/>
      <c r="P8" s="29"/>
      <c r="Q8" s="29"/>
      <c r="R8" s="29"/>
      <c r="S8" s="29"/>
      <c r="T8" s="29"/>
      <c r="U8" s="29"/>
      <c r="V8" s="29"/>
      <c r="W8" s="29"/>
      <c r="X8" s="29"/>
      <c r="Y8" s="29"/>
      <c r="Z8" s="29"/>
    </row>
    <row r="9" ht="148.5" customHeight="1">
      <c r="A9" s="65">
        <v>45876.0</v>
      </c>
      <c r="B9" s="66" t="s">
        <v>19</v>
      </c>
      <c r="C9" s="67" t="s">
        <v>49</v>
      </c>
      <c r="D9" s="66" t="s">
        <v>44</v>
      </c>
      <c r="E9" s="66" t="s">
        <v>22</v>
      </c>
      <c r="F9" s="68" t="s">
        <v>86</v>
      </c>
      <c r="G9" s="69" t="s">
        <v>180</v>
      </c>
      <c r="H9" s="76"/>
      <c r="I9" s="71" t="s">
        <v>115</v>
      </c>
      <c r="J9" s="30"/>
      <c r="K9" s="72"/>
      <c r="L9" s="73"/>
      <c r="M9" s="28"/>
      <c r="N9" s="28"/>
      <c r="O9" s="29"/>
      <c r="P9" s="29"/>
      <c r="Q9" s="29"/>
      <c r="R9" s="29"/>
      <c r="S9" s="29"/>
      <c r="T9" s="29"/>
      <c r="U9" s="29"/>
      <c r="V9" s="29"/>
      <c r="W9" s="29"/>
      <c r="X9" s="29"/>
      <c r="Y9" s="29"/>
      <c r="Z9" s="29"/>
    </row>
    <row r="10">
      <c r="A10" s="65">
        <v>45876.0</v>
      </c>
      <c r="B10" s="66" t="s">
        <v>19</v>
      </c>
      <c r="C10" s="67" t="s">
        <v>49</v>
      </c>
      <c r="D10" s="66" t="s">
        <v>27</v>
      </c>
      <c r="E10" s="66" t="s">
        <v>15</v>
      </c>
      <c r="F10" s="68" t="s">
        <v>86</v>
      </c>
      <c r="G10" s="69" t="s">
        <v>181</v>
      </c>
      <c r="H10" s="76"/>
      <c r="I10" s="71"/>
      <c r="J10" s="30"/>
      <c r="K10" s="72"/>
      <c r="L10" s="73"/>
      <c r="M10" s="28"/>
      <c r="N10" s="28"/>
      <c r="O10" s="29"/>
      <c r="P10" s="29"/>
      <c r="Q10" s="29"/>
      <c r="R10" s="29"/>
      <c r="S10" s="29"/>
      <c r="T10" s="29"/>
      <c r="U10" s="29"/>
      <c r="V10" s="29"/>
      <c r="W10" s="29"/>
      <c r="X10" s="29"/>
      <c r="Y10" s="29"/>
      <c r="Z10" s="29"/>
    </row>
    <row r="11">
      <c r="A11" s="65">
        <v>45876.0</v>
      </c>
      <c r="B11" s="66" t="s">
        <v>19</v>
      </c>
      <c r="C11" s="67" t="s">
        <v>20</v>
      </c>
      <c r="D11" s="66" t="s">
        <v>58</v>
      </c>
      <c r="E11" s="66" t="s">
        <v>15</v>
      </c>
      <c r="F11" s="68" t="s">
        <v>86</v>
      </c>
      <c r="G11" s="69" t="s">
        <v>182</v>
      </c>
      <c r="H11" s="75" t="s">
        <v>61</v>
      </c>
      <c r="I11" s="71" t="s">
        <v>67</v>
      </c>
      <c r="J11" s="30"/>
      <c r="K11" s="72"/>
      <c r="L11" s="73"/>
      <c r="M11" s="28"/>
      <c r="N11" s="28"/>
      <c r="O11" s="29"/>
      <c r="P11" s="29"/>
      <c r="Q11" s="29"/>
      <c r="R11" s="29"/>
      <c r="S11" s="29"/>
      <c r="T11" s="29"/>
      <c r="U11" s="29"/>
      <c r="V11" s="29"/>
      <c r="W11" s="29"/>
      <c r="X11" s="29"/>
      <c r="Y11" s="29"/>
      <c r="Z11" s="29"/>
    </row>
    <row r="12">
      <c r="A12" s="65">
        <v>45873.0</v>
      </c>
      <c r="B12" s="66" t="s">
        <v>19</v>
      </c>
      <c r="C12" s="67" t="s">
        <v>83</v>
      </c>
      <c r="D12" s="66" t="s">
        <v>27</v>
      </c>
      <c r="E12" s="66" t="s">
        <v>22</v>
      </c>
      <c r="F12" s="68" t="s">
        <v>86</v>
      </c>
      <c r="G12" s="69" t="s">
        <v>183</v>
      </c>
      <c r="H12" s="51" t="s">
        <v>61</v>
      </c>
      <c r="I12" s="71" t="s">
        <v>66</v>
      </c>
      <c r="J12" s="30"/>
      <c r="K12" s="75" t="s">
        <v>184</v>
      </c>
      <c r="L12" s="73"/>
      <c r="M12" s="28"/>
      <c r="N12" s="28"/>
      <c r="O12" s="29"/>
      <c r="P12" s="29"/>
      <c r="Q12" s="29"/>
      <c r="R12" s="29"/>
      <c r="S12" s="29"/>
      <c r="T12" s="29"/>
      <c r="U12" s="29"/>
      <c r="V12" s="29"/>
      <c r="W12" s="29"/>
      <c r="X12" s="29"/>
      <c r="Y12" s="29"/>
      <c r="Z12" s="29"/>
    </row>
    <row r="13">
      <c r="A13" s="65">
        <v>45873.0</v>
      </c>
      <c r="B13" s="66" t="s">
        <v>19</v>
      </c>
      <c r="C13" s="67" t="s">
        <v>83</v>
      </c>
      <c r="D13" s="66" t="s">
        <v>27</v>
      </c>
      <c r="E13" s="66" t="s">
        <v>22</v>
      </c>
      <c r="F13" s="68" t="s">
        <v>16</v>
      </c>
      <c r="G13" s="69" t="s">
        <v>185</v>
      </c>
      <c r="H13" s="76"/>
      <c r="I13" s="71" t="s">
        <v>66</v>
      </c>
      <c r="J13" s="30"/>
      <c r="K13" s="72"/>
      <c r="L13" s="77" t="s">
        <v>71</v>
      </c>
      <c r="M13" s="28"/>
      <c r="N13" s="28"/>
      <c r="O13" s="29"/>
      <c r="P13" s="29"/>
      <c r="Q13" s="29"/>
      <c r="R13" s="29"/>
      <c r="S13" s="29"/>
      <c r="T13" s="29"/>
      <c r="U13" s="29"/>
      <c r="V13" s="29"/>
      <c r="W13" s="29"/>
      <c r="X13" s="29"/>
      <c r="Y13" s="29"/>
      <c r="Z13" s="29"/>
    </row>
    <row r="14" ht="171.75" customHeight="1">
      <c r="A14" s="65">
        <v>45866.0</v>
      </c>
      <c r="B14" s="66" t="s">
        <v>43</v>
      </c>
      <c r="C14" s="67" t="s">
        <v>83</v>
      </c>
      <c r="D14" s="66" t="s">
        <v>58</v>
      </c>
      <c r="E14" s="66" t="s">
        <v>22</v>
      </c>
      <c r="F14" s="68" t="s">
        <v>59</v>
      </c>
      <c r="G14" s="69" t="s">
        <v>186</v>
      </c>
      <c r="H14" s="76"/>
      <c r="I14" s="71"/>
      <c r="J14" s="30"/>
      <c r="K14" s="72"/>
      <c r="L14" s="73"/>
      <c r="M14" s="28"/>
      <c r="N14" s="28"/>
      <c r="O14" s="29"/>
      <c r="P14" s="29"/>
      <c r="Q14" s="29"/>
      <c r="R14" s="29"/>
      <c r="S14" s="29"/>
      <c r="T14" s="29"/>
      <c r="U14" s="29"/>
      <c r="V14" s="29"/>
      <c r="W14" s="29"/>
      <c r="X14" s="29"/>
      <c r="Y14" s="29"/>
      <c r="Z14" s="29"/>
    </row>
    <row r="15">
      <c r="A15" s="65">
        <v>45866.0</v>
      </c>
      <c r="B15" s="78" t="s">
        <v>43</v>
      </c>
      <c r="C15" s="67" t="s">
        <v>36</v>
      </c>
      <c r="D15" s="78" t="s">
        <v>21</v>
      </c>
      <c r="E15" s="66" t="s">
        <v>15</v>
      </c>
      <c r="F15" s="79" t="s">
        <v>59</v>
      </c>
      <c r="G15" s="80" t="s">
        <v>187</v>
      </c>
      <c r="H15" s="76"/>
      <c r="I15" s="71" t="s">
        <v>66</v>
      </c>
      <c r="J15" s="30"/>
      <c r="K15" s="58" t="s">
        <v>188</v>
      </c>
      <c r="L15" s="73"/>
      <c r="M15" s="28"/>
      <c r="N15" s="28"/>
      <c r="O15" s="29"/>
      <c r="P15" s="29"/>
      <c r="Q15" s="29"/>
      <c r="R15" s="29"/>
      <c r="S15" s="29"/>
      <c r="T15" s="29"/>
      <c r="U15" s="29"/>
      <c r="V15" s="29"/>
      <c r="W15" s="29"/>
      <c r="X15" s="29"/>
      <c r="Y15" s="29"/>
      <c r="Z15" s="29"/>
    </row>
    <row r="16">
      <c r="A16" s="81">
        <v>45861.0</v>
      </c>
      <c r="B16" s="82" t="s">
        <v>43</v>
      </c>
      <c r="C16" s="83" t="s">
        <v>30</v>
      </c>
      <c r="D16" s="82" t="s">
        <v>58</v>
      </c>
      <c r="E16" s="82" t="s">
        <v>22</v>
      </c>
      <c r="F16" s="84" t="s">
        <v>86</v>
      </c>
      <c r="G16" s="85" t="s">
        <v>189</v>
      </c>
      <c r="H16" s="86" t="s">
        <v>61</v>
      </c>
      <c r="I16" s="87" t="s">
        <v>127</v>
      </c>
      <c r="J16" s="87"/>
      <c r="K16" s="72"/>
      <c r="L16" s="77"/>
      <c r="M16" s="28"/>
      <c r="N16" s="28"/>
      <c r="O16" s="29"/>
      <c r="P16" s="29"/>
      <c r="Q16" s="29"/>
      <c r="R16" s="29"/>
      <c r="S16" s="29"/>
      <c r="T16" s="29"/>
      <c r="U16" s="29"/>
      <c r="V16" s="29"/>
      <c r="W16" s="29"/>
      <c r="X16" s="29"/>
      <c r="Y16" s="29"/>
      <c r="Z16" s="29"/>
    </row>
    <row r="17">
      <c r="A17" s="81">
        <v>45861.0</v>
      </c>
      <c r="B17" s="82" t="s">
        <v>43</v>
      </c>
      <c r="C17" s="83" t="s">
        <v>13</v>
      </c>
      <c r="D17" s="82" t="s">
        <v>21</v>
      </c>
      <c r="E17" s="82" t="s">
        <v>46</v>
      </c>
      <c r="F17" s="84" t="s">
        <v>59</v>
      </c>
      <c r="G17" s="85" t="s">
        <v>190</v>
      </c>
      <c r="H17" s="86" t="s">
        <v>61</v>
      </c>
      <c r="I17" s="87"/>
      <c r="J17" s="87"/>
      <c r="K17" s="58" t="s">
        <v>188</v>
      </c>
      <c r="L17" s="77"/>
      <c r="M17" s="28"/>
      <c r="N17" s="28"/>
      <c r="O17" s="29"/>
      <c r="P17" s="29"/>
      <c r="Q17" s="29"/>
      <c r="R17" s="29"/>
      <c r="S17" s="29"/>
      <c r="T17" s="29"/>
      <c r="U17" s="29"/>
      <c r="V17" s="29"/>
      <c r="W17" s="29"/>
      <c r="X17" s="29"/>
      <c r="Y17" s="29"/>
      <c r="Z17" s="29"/>
    </row>
    <row r="18">
      <c r="A18" s="81">
        <v>45857.0</v>
      </c>
      <c r="B18" s="82" t="s">
        <v>43</v>
      </c>
      <c r="C18" s="83" t="s">
        <v>57</v>
      </c>
      <c r="D18" s="82" t="s">
        <v>21</v>
      </c>
      <c r="E18" s="82" t="s">
        <v>46</v>
      </c>
      <c r="F18" s="84" t="s">
        <v>59</v>
      </c>
      <c r="G18" s="85" t="s">
        <v>191</v>
      </c>
      <c r="H18" s="86" t="s">
        <v>61</v>
      </c>
      <c r="I18" s="87" t="s">
        <v>62</v>
      </c>
      <c r="J18" s="87"/>
      <c r="K18" s="72"/>
      <c r="L18" s="77"/>
      <c r="M18" s="28"/>
      <c r="N18" s="28"/>
      <c r="O18" s="29"/>
      <c r="P18" s="29"/>
      <c r="Q18" s="29"/>
      <c r="R18" s="29"/>
      <c r="S18" s="29"/>
      <c r="T18" s="29"/>
      <c r="U18" s="29"/>
      <c r="V18" s="29"/>
      <c r="W18" s="29"/>
      <c r="X18" s="29"/>
      <c r="Y18" s="29"/>
      <c r="Z18" s="29"/>
    </row>
    <row r="19">
      <c r="A19" s="81">
        <v>45857.0</v>
      </c>
      <c r="B19" s="82" t="s">
        <v>43</v>
      </c>
      <c r="C19" s="83" t="s">
        <v>57</v>
      </c>
      <c r="D19" s="82" t="s">
        <v>21</v>
      </c>
      <c r="E19" s="82" t="s">
        <v>46</v>
      </c>
      <c r="F19" s="84" t="s">
        <v>59</v>
      </c>
      <c r="G19" s="85" t="s">
        <v>192</v>
      </c>
      <c r="H19" s="86" t="s">
        <v>61</v>
      </c>
      <c r="I19" s="87" t="s">
        <v>62</v>
      </c>
      <c r="J19" s="87" t="s">
        <v>115</v>
      </c>
      <c r="K19" s="72"/>
      <c r="L19" s="77"/>
      <c r="M19" s="28"/>
      <c r="N19" s="28"/>
      <c r="O19" s="29"/>
      <c r="P19" s="29"/>
      <c r="Q19" s="29"/>
      <c r="R19" s="29"/>
      <c r="S19" s="29"/>
      <c r="T19" s="29"/>
      <c r="U19" s="29"/>
      <c r="V19" s="29"/>
      <c r="W19" s="29"/>
      <c r="X19" s="29"/>
      <c r="Y19" s="29"/>
      <c r="Z19" s="29"/>
    </row>
    <row r="20">
      <c r="A20" s="81">
        <v>45855.0</v>
      </c>
      <c r="B20" s="82" t="s">
        <v>43</v>
      </c>
      <c r="C20" s="83" t="s">
        <v>83</v>
      </c>
      <c r="D20" s="82" t="s">
        <v>21</v>
      </c>
      <c r="E20" s="82" t="s">
        <v>15</v>
      </c>
      <c r="F20" s="84" t="s">
        <v>16</v>
      </c>
      <c r="G20" s="85" t="s">
        <v>193</v>
      </c>
      <c r="H20" s="88" t="s">
        <v>97</v>
      </c>
      <c r="I20" s="87" t="s">
        <v>66</v>
      </c>
      <c r="J20" s="87"/>
      <c r="K20" s="58" t="s">
        <v>194</v>
      </c>
      <c r="L20" s="77" t="s">
        <v>71</v>
      </c>
      <c r="M20" s="28"/>
      <c r="N20" s="28"/>
      <c r="O20" s="29"/>
      <c r="P20" s="29"/>
      <c r="Q20" s="29"/>
      <c r="R20" s="29"/>
      <c r="S20" s="29"/>
      <c r="T20" s="29"/>
      <c r="U20" s="29"/>
      <c r="V20" s="29"/>
      <c r="W20" s="29"/>
      <c r="X20" s="29"/>
      <c r="Y20" s="29"/>
      <c r="Z20" s="29"/>
    </row>
    <row r="21">
      <c r="A21" s="81">
        <v>45855.0</v>
      </c>
      <c r="B21" s="82" t="s">
        <v>43</v>
      </c>
      <c r="C21" s="83" t="s">
        <v>83</v>
      </c>
      <c r="D21" s="82" t="s">
        <v>21</v>
      </c>
      <c r="E21" s="82" t="s">
        <v>22</v>
      </c>
      <c r="F21" s="84" t="s">
        <v>16</v>
      </c>
      <c r="G21" s="85" t="s">
        <v>195</v>
      </c>
      <c r="H21" s="88"/>
      <c r="I21" s="87" t="s">
        <v>66</v>
      </c>
      <c r="J21" s="87" t="s">
        <v>79</v>
      </c>
      <c r="K21" s="58" t="s">
        <v>194</v>
      </c>
      <c r="L21" s="77"/>
      <c r="M21" s="28"/>
      <c r="N21" s="28"/>
      <c r="O21" s="29"/>
      <c r="P21" s="29"/>
      <c r="Q21" s="29"/>
      <c r="R21" s="29"/>
      <c r="S21" s="29"/>
      <c r="T21" s="29"/>
      <c r="U21" s="29"/>
      <c r="V21" s="29"/>
      <c r="W21" s="29"/>
      <c r="X21" s="29"/>
      <c r="Y21" s="29"/>
      <c r="Z21" s="29"/>
    </row>
    <row r="22">
      <c r="A22" s="81">
        <v>45852.0</v>
      </c>
      <c r="B22" s="82" t="s">
        <v>56</v>
      </c>
      <c r="C22" s="83" t="s">
        <v>30</v>
      </c>
      <c r="D22" s="82" t="s">
        <v>27</v>
      </c>
      <c r="E22" s="82" t="s">
        <v>22</v>
      </c>
      <c r="F22" s="84" t="s">
        <v>86</v>
      </c>
      <c r="G22" s="85" t="s">
        <v>196</v>
      </c>
      <c r="H22" s="88" t="s">
        <v>61</v>
      </c>
      <c r="I22" s="87" t="s">
        <v>127</v>
      </c>
      <c r="J22" s="87" t="s">
        <v>197</v>
      </c>
      <c r="K22" s="46"/>
      <c r="L22" s="77"/>
      <c r="M22" s="28"/>
      <c r="N22" s="28"/>
      <c r="O22" s="29"/>
      <c r="P22" s="29"/>
      <c r="Q22" s="29"/>
      <c r="R22" s="29"/>
      <c r="S22" s="29"/>
      <c r="T22" s="29"/>
      <c r="U22" s="29"/>
      <c r="V22" s="29"/>
      <c r="W22" s="29"/>
      <c r="X22" s="29"/>
      <c r="Y22" s="29"/>
      <c r="Z22" s="29"/>
    </row>
    <row r="23">
      <c r="A23" s="81">
        <v>45851.0</v>
      </c>
      <c r="B23" s="82" t="s">
        <v>43</v>
      </c>
      <c r="C23" s="83" t="s">
        <v>57</v>
      </c>
      <c r="D23" s="82" t="s">
        <v>44</v>
      </c>
      <c r="E23" s="82" t="s">
        <v>22</v>
      </c>
      <c r="F23" s="84" t="s">
        <v>86</v>
      </c>
      <c r="G23" s="85" t="s">
        <v>198</v>
      </c>
      <c r="H23" s="86" t="s">
        <v>61</v>
      </c>
      <c r="I23" s="87" t="s">
        <v>62</v>
      </c>
      <c r="J23" s="87" t="s">
        <v>66</v>
      </c>
      <c r="K23" s="46"/>
      <c r="L23" s="77"/>
      <c r="M23" s="28"/>
      <c r="N23" s="28"/>
      <c r="O23" s="29"/>
      <c r="P23" s="29"/>
      <c r="Q23" s="29"/>
      <c r="R23" s="29"/>
      <c r="S23" s="29"/>
      <c r="T23" s="29"/>
      <c r="U23" s="29"/>
      <c r="V23" s="29"/>
      <c r="W23" s="29"/>
      <c r="X23" s="29"/>
      <c r="Y23" s="29"/>
      <c r="Z23" s="29"/>
    </row>
    <row r="24">
      <c r="A24" s="81">
        <v>45849.0</v>
      </c>
      <c r="B24" s="82" t="s">
        <v>43</v>
      </c>
      <c r="C24" s="83" t="s">
        <v>36</v>
      </c>
      <c r="D24" s="82" t="s">
        <v>44</v>
      </c>
      <c r="E24" s="82" t="s">
        <v>22</v>
      </c>
      <c r="F24" s="84" t="s">
        <v>16</v>
      </c>
      <c r="G24" s="85" t="s">
        <v>199</v>
      </c>
      <c r="H24" s="86" t="s">
        <v>61</v>
      </c>
      <c r="I24" s="87" t="s">
        <v>66</v>
      </c>
      <c r="J24" s="87"/>
      <c r="K24" s="59" t="s">
        <v>200</v>
      </c>
      <c r="L24" s="77"/>
      <c r="M24" s="28"/>
      <c r="N24" s="28"/>
      <c r="O24" s="29"/>
      <c r="P24" s="29"/>
      <c r="Q24" s="29"/>
      <c r="R24" s="29"/>
      <c r="S24" s="29"/>
      <c r="T24" s="29"/>
      <c r="U24" s="29"/>
      <c r="V24" s="29"/>
      <c r="W24" s="29"/>
      <c r="X24" s="29"/>
      <c r="Y24" s="29"/>
      <c r="Z24" s="29"/>
    </row>
    <row r="25">
      <c r="A25" s="81">
        <v>45848.0</v>
      </c>
      <c r="B25" s="82" t="s">
        <v>43</v>
      </c>
      <c r="C25" s="83" t="s">
        <v>49</v>
      </c>
      <c r="D25" s="82" t="s">
        <v>27</v>
      </c>
      <c r="E25" s="82" t="s">
        <v>15</v>
      </c>
      <c r="F25" s="84" t="s">
        <v>59</v>
      </c>
      <c r="G25" s="85" t="s">
        <v>201</v>
      </c>
      <c r="H25" s="86" t="s">
        <v>61</v>
      </c>
      <c r="I25" s="87" t="s">
        <v>115</v>
      </c>
      <c r="J25" s="87"/>
      <c r="K25" s="89"/>
      <c r="L25" s="77"/>
      <c r="M25" s="28"/>
      <c r="N25" s="28"/>
      <c r="O25" s="29"/>
      <c r="P25" s="29"/>
      <c r="Q25" s="29"/>
      <c r="R25" s="29"/>
      <c r="S25" s="29"/>
      <c r="T25" s="29"/>
      <c r="U25" s="29"/>
      <c r="V25" s="29"/>
      <c r="W25" s="29"/>
      <c r="X25" s="29"/>
      <c r="Y25" s="29"/>
      <c r="Z25" s="29"/>
    </row>
    <row r="26">
      <c r="A26" s="81">
        <v>45848.0</v>
      </c>
      <c r="B26" s="82" t="s">
        <v>43</v>
      </c>
      <c r="C26" s="83" t="s">
        <v>49</v>
      </c>
      <c r="D26" s="82" t="s">
        <v>44</v>
      </c>
      <c r="E26" s="82" t="s">
        <v>22</v>
      </c>
      <c r="F26" s="84" t="s">
        <v>59</v>
      </c>
      <c r="G26" s="85" t="s">
        <v>202</v>
      </c>
      <c r="H26" s="86" t="s">
        <v>61</v>
      </c>
      <c r="I26" s="87" t="s">
        <v>115</v>
      </c>
      <c r="J26" s="87"/>
      <c r="K26" s="89"/>
      <c r="L26" s="77"/>
      <c r="M26" s="28"/>
      <c r="N26" s="28"/>
      <c r="O26" s="29"/>
      <c r="P26" s="29"/>
      <c r="Q26" s="29"/>
      <c r="R26" s="29"/>
      <c r="S26" s="29"/>
      <c r="T26" s="29"/>
      <c r="U26" s="29"/>
      <c r="V26" s="29"/>
      <c r="W26" s="29"/>
      <c r="X26" s="29"/>
      <c r="Y26" s="29"/>
      <c r="Z26" s="29"/>
    </row>
    <row r="27">
      <c r="A27" s="81">
        <v>45846.0</v>
      </c>
      <c r="B27" s="82" t="s">
        <v>43</v>
      </c>
      <c r="C27" s="83" t="s">
        <v>57</v>
      </c>
      <c r="D27" s="82" t="s">
        <v>58</v>
      </c>
      <c r="E27" s="82" t="s">
        <v>46</v>
      </c>
      <c r="F27" s="84" t="s">
        <v>59</v>
      </c>
      <c r="G27" s="85" t="s">
        <v>203</v>
      </c>
      <c r="H27" s="86" t="s">
        <v>61</v>
      </c>
      <c r="I27" s="87" t="s">
        <v>62</v>
      </c>
      <c r="J27" s="87" t="s">
        <v>115</v>
      </c>
      <c r="K27" s="90"/>
      <c r="L27" s="77"/>
      <c r="M27" s="28"/>
      <c r="N27" s="28"/>
      <c r="O27" s="29"/>
      <c r="P27" s="29"/>
      <c r="Q27" s="29"/>
      <c r="R27" s="29"/>
      <c r="S27" s="29"/>
      <c r="T27" s="29"/>
      <c r="U27" s="29"/>
      <c r="V27" s="29"/>
      <c r="W27" s="29"/>
      <c r="X27" s="29"/>
      <c r="Y27" s="29"/>
      <c r="Z27" s="29"/>
    </row>
    <row r="28">
      <c r="A28" s="81">
        <v>45842.0</v>
      </c>
      <c r="B28" s="82" t="s">
        <v>43</v>
      </c>
      <c r="C28" s="83" t="s">
        <v>83</v>
      </c>
      <c r="D28" s="82" t="s">
        <v>27</v>
      </c>
      <c r="E28" s="82" t="s">
        <v>22</v>
      </c>
      <c r="F28" s="84" t="s">
        <v>86</v>
      </c>
      <c r="G28" s="91" t="s">
        <v>204</v>
      </c>
      <c r="H28" s="86" t="s">
        <v>61</v>
      </c>
      <c r="I28" s="87" t="s">
        <v>66</v>
      </c>
      <c r="J28" s="87"/>
      <c r="K28" s="46"/>
      <c r="L28" s="77" t="s">
        <v>167</v>
      </c>
      <c r="M28" s="28"/>
      <c r="N28" s="28"/>
      <c r="O28" s="29"/>
      <c r="P28" s="29"/>
      <c r="Q28" s="29"/>
      <c r="R28" s="29"/>
      <c r="S28" s="29"/>
      <c r="T28" s="29"/>
      <c r="U28" s="29"/>
      <c r="V28" s="29"/>
      <c r="W28" s="29"/>
      <c r="X28" s="29"/>
      <c r="Y28" s="29"/>
      <c r="Z28" s="29"/>
    </row>
    <row r="29">
      <c r="A29" s="81">
        <v>45842.0</v>
      </c>
      <c r="B29" s="82" t="s">
        <v>43</v>
      </c>
      <c r="C29" s="83" t="s">
        <v>83</v>
      </c>
      <c r="D29" s="82" t="s">
        <v>27</v>
      </c>
      <c r="E29" s="82" t="s">
        <v>22</v>
      </c>
      <c r="F29" s="84" t="s">
        <v>86</v>
      </c>
      <c r="G29" s="85" t="s">
        <v>205</v>
      </c>
      <c r="H29" s="86" t="s">
        <v>61</v>
      </c>
      <c r="I29" s="87" t="s">
        <v>66</v>
      </c>
      <c r="J29" s="87"/>
      <c r="K29" s="92" t="s">
        <v>206</v>
      </c>
      <c r="L29" s="77" t="s">
        <v>167</v>
      </c>
      <c r="M29" s="28"/>
      <c r="N29" s="28"/>
      <c r="O29" s="29"/>
      <c r="P29" s="29"/>
      <c r="Q29" s="29"/>
      <c r="R29" s="29"/>
      <c r="S29" s="29"/>
      <c r="T29" s="29"/>
      <c r="U29" s="29"/>
      <c r="V29" s="29"/>
      <c r="W29" s="29"/>
      <c r="X29" s="29"/>
      <c r="Y29" s="29"/>
      <c r="Z29" s="29"/>
    </row>
    <row r="30">
      <c r="A30" s="81">
        <v>45842.0</v>
      </c>
      <c r="B30" s="82" t="s">
        <v>43</v>
      </c>
      <c r="C30" s="83" t="s">
        <v>83</v>
      </c>
      <c r="D30" s="82" t="s">
        <v>27</v>
      </c>
      <c r="E30" s="82" t="s">
        <v>15</v>
      </c>
      <c r="F30" s="84" t="s">
        <v>86</v>
      </c>
      <c r="G30" s="85" t="s">
        <v>207</v>
      </c>
      <c r="H30" s="86" t="s">
        <v>61</v>
      </c>
      <c r="I30" s="87" t="s">
        <v>66</v>
      </c>
      <c r="J30" s="87"/>
      <c r="K30" s="51" t="s">
        <v>208</v>
      </c>
      <c r="L30" s="77" t="s">
        <v>162</v>
      </c>
      <c r="M30" s="28"/>
      <c r="O30" s="29"/>
      <c r="P30" s="29"/>
      <c r="Q30" s="29"/>
      <c r="R30" s="29"/>
      <c r="S30" s="29"/>
      <c r="T30" s="29"/>
      <c r="U30" s="29"/>
      <c r="V30" s="29"/>
      <c r="W30" s="29"/>
      <c r="X30" s="29"/>
      <c r="Y30" s="29"/>
      <c r="Z30" s="29"/>
    </row>
    <row r="31">
      <c r="A31" s="81">
        <v>45842.0</v>
      </c>
      <c r="B31" s="82" t="s">
        <v>43</v>
      </c>
      <c r="C31" s="83" t="s">
        <v>83</v>
      </c>
      <c r="D31" s="82" t="s">
        <v>27</v>
      </c>
      <c r="E31" s="82" t="s">
        <v>64</v>
      </c>
      <c r="F31" s="84" t="s">
        <v>16</v>
      </c>
      <c r="G31" s="85" t="s">
        <v>209</v>
      </c>
      <c r="H31" s="88"/>
      <c r="I31" s="87" t="s">
        <v>66</v>
      </c>
      <c r="J31" s="87"/>
      <c r="K31" s="93"/>
      <c r="L31" s="77" t="s">
        <v>162</v>
      </c>
      <c r="M31" s="28"/>
      <c r="N31" s="28"/>
      <c r="O31" s="29"/>
      <c r="P31" s="29"/>
      <c r="Q31" s="29"/>
      <c r="R31" s="29"/>
      <c r="S31" s="29"/>
      <c r="T31" s="29"/>
      <c r="U31" s="29"/>
      <c r="V31" s="29"/>
      <c r="W31" s="29"/>
      <c r="X31" s="29"/>
      <c r="Y31" s="29"/>
      <c r="Z31" s="29"/>
    </row>
    <row r="32">
      <c r="A32" s="81">
        <v>45833.0</v>
      </c>
      <c r="B32" s="82" t="s">
        <v>56</v>
      </c>
      <c r="C32" s="83" t="s">
        <v>83</v>
      </c>
      <c r="D32" s="82" t="s">
        <v>27</v>
      </c>
      <c r="E32" s="82" t="s">
        <v>64</v>
      </c>
      <c r="F32" s="84" t="s">
        <v>16</v>
      </c>
      <c r="G32" s="85" t="s">
        <v>210</v>
      </c>
      <c r="H32" s="86" t="s">
        <v>61</v>
      </c>
      <c r="I32" s="87" t="s">
        <v>66</v>
      </c>
      <c r="J32" s="87"/>
      <c r="K32" s="93"/>
      <c r="L32" s="77" t="s">
        <v>71</v>
      </c>
      <c r="M32" s="28"/>
      <c r="N32" s="28"/>
      <c r="O32" s="29"/>
      <c r="P32" s="29"/>
      <c r="Q32" s="29"/>
      <c r="R32" s="29"/>
      <c r="S32" s="29"/>
      <c r="T32" s="29"/>
      <c r="U32" s="29"/>
      <c r="V32" s="29"/>
      <c r="W32" s="29"/>
      <c r="X32" s="29"/>
      <c r="Y32" s="29"/>
      <c r="Z32" s="29"/>
    </row>
    <row r="33">
      <c r="A33" s="81">
        <v>45842.0</v>
      </c>
      <c r="B33" s="82" t="s">
        <v>56</v>
      </c>
      <c r="C33" s="83" t="s">
        <v>57</v>
      </c>
      <c r="D33" s="82" t="s">
        <v>81</v>
      </c>
      <c r="E33" s="82" t="s">
        <v>64</v>
      </c>
      <c r="F33" s="84" t="s">
        <v>16</v>
      </c>
      <c r="G33" s="85" t="s">
        <v>211</v>
      </c>
      <c r="H33" s="86" t="s">
        <v>61</v>
      </c>
      <c r="I33" s="87" t="s">
        <v>62</v>
      </c>
      <c r="J33" s="87"/>
      <c r="K33" s="93"/>
      <c r="L33" s="77" t="s">
        <v>71</v>
      </c>
      <c r="M33" s="28"/>
      <c r="N33" s="28"/>
      <c r="O33" s="29"/>
      <c r="P33" s="29"/>
      <c r="Q33" s="29"/>
      <c r="R33" s="29"/>
      <c r="S33" s="29"/>
      <c r="T33" s="29"/>
      <c r="U33" s="29"/>
      <c r="V33" s="29"/>
      <c r="W33" s="29"/>
      <c r="X33" s="29"/>
      <c r="Y33" s="29"/>
      <c r="Z33" s="29"/>
    </row>
    <row r="34">
      <c r="A34" s="81">
        <v>45840.0</v>
      </c>
      <c r="B34" s="82" t="s">
        <v>56</v>
      </c>
      <c r="C34" s="83" t="s">
        <v>72</v>
      </c>
      <c r="D34" s="82" t="s">
        <v>44</v>
      </c>
      <c r="E34" s="82" t="s">
        <v>64</v>
      </c>
      <c r="F34" s="84" t="s">
        <v>16</v>
      </c>
      <c r="G34" s="85" t="s">
        <v>212</v>
      </c>
      <c r="H34" s="86" t="s">
        <v>61</v>
      </c>
      <c r="I34" s="87" t="s">
        <v>74</v>
      </c>
      <c r="J34" s="87"/>
      <c r="K34" s="93"/>
      <c r="L34" s="77"/>
      <c r="M34" s="28"/>
      <c r="N34" s="28"/>
      <c r="O34" s="29"/>
      <c r="P34" s="29"/>
      <c r="Q34" s="29"/>
      <c r="R34" s="29"/>
      <c r="S34" s="29"/>
      <c r="T34" s="29"/>
      <c r="U34" s="29"/>
      <c r="V34" s="29"/>
      <c r="W34" s="29"/>
      <c r="X34" s="29"/>
      <c r="Y34" s="29"/>
      <c r="Z34" s="29"/>
    </row>
    <row r="35">
      <c r="A35" s="65">
        <v>45826.0</v>
      </c>
      <c r="B35" s="78" t="s">
        <v>56</v>
      </c>
      <c r="C35" s="67" t="s">
        <v>83</v>
      </c>
      <c r="D35" s="66" t="s">
        <v>44</v>
      </c>
      <c r="E35" s="78" t="s">
        <v>64</v>
      </c>
      <c r="F35" s="67" t="s">
        <v>16</v>
      </c>
      <c r="G35" s="94" t="s">
        <v>213</v>
      </c>
      <c r="H35" s="26" t="s">
        <v>61</v>
      </c>
      <c r="I35" s="95" t="s">
        <v>66</v>
      </c>
      <c r="J35" s="30"/>
      <c r="K35" s="96"/>
      <c r="L35" s="77" t="s">
        <v>71</v>
      </c>
      <c r="M35" s="28"/>
      <c r="N35" s="28"/>
      <c r="O35" s="29"/>
      <c r="P35" s="29"/>
      <c r="Q35" s="29"/>
      <c r="R35" s="29"/>
      <c r="S35" s="29"/>
      <c r="T35" s="29"/>
      <c r="U35" s="29"/>
      <c r="V35" s="29"/>
      <c r="W35" s="29"/>
      <c r="X35" s="29"/>
      <c r="Y35" s="29"/>
      <c r="Z35" s="29"/>
    </row>
    <row r="36">
      <c r="A36" s="65">
        <v>45824.0</v>
      </c>
      <c r="B36" s="78" t="s">
        <v>56</v>
      </c>
      <c r="C36" s="97" t="s">
        <v>36</v>
      </c>
      <c r="D36" s="78" t="s">
        <v>27</v>
      </c>
      <c r="E36" s="78" t="s">
        <v>64</v>
      </c>
      <c r="F36" s="67" t="s">
        <v>16</v>
      </c>
      <c r="G36" s="94" t="s">
        <v>214</v>
      </c>
      <c r="H36" s="26" t="s">
        <v>215</v>
      </c>
      <c r="I36" s="95" t="s">
        <v>66</v>
      </c>
      <c r="J36" s="30"/>
      <c r="K36" s="96"/>
      <c r="L36" s="77" t="s">
        <v>71</v>
      </c>
      <c r="M36" s="28"/>
      <c r="N36" s="28"/>
      <c r="O36" s="29"/>
      <c r="P36" s="29"/>
      <c r="Q36" s="29"/>
      <c r="R36" s="29"/>
      <c r="S36" s="29"/>
      <c r="T36" s="29"/>
      <c r="U36" s="29"/>
      <c r="V36" s="29"/>
      <c r="W36" s="29"/>
      <c r="X36" s="29"/>
      <c r="Y36" s="29"/>
      <c r="Z36" s="29"/>
    </row>
    <row r="37">
      <c r="A37" s="81">
        <v>45819.0</v>
      </c>
      <c r="B37" s="82" t="s">
        <v>56</v>
      </c>
      <c r="C37" s="83" t="s">
        <v>57</v>
      </c>
      <c r="D37" s="82" t="s">
        <v>58</v>
      </c>
      <c r="E37" s="82" t="s">
        <v>22</v>
      </c>
      <c r="F37" s="84" t="s">
        <v>86</v>
      </c>
      <c r="G37" s="85" t="s">
        <v>216</v>
      </c>
      <c r="H37" s="88"/>
      <c r="I37" s="87" t="s">
        <v>62</v>
      </c>
      <c r="J37" s="87" t="s">
        <v>115</v>
      </c>
      <c r="K37" s="93"/>
      <c r="L37" s="77"/>
      <c r="M37" s="28"/>
      <c r="N37" s="28"/>
      <c r="O37" s="29"/>
      <c r="P37" s="29"/>
      <c r="Q37" s="29"/>
      <c r="R37" s="29"/>
      <c r="S37" s="29"/>
      <c r="T37" s="29"/>
      <c r="U37" s="29"/>
      <c r="V37" s="29"/>
      <c r="W37" s="29"/>
      <c r="X37" s="29"/>
      <c r="Y37" s="29"/>
      <c r="Z37" s="29"/>
    </row>
    <row r="38">
      <c r="A38" s="81">
        <v>45818.0</v>
      </c>
      <c r="B38" s="82" t="s">
        <v>56</v>
      </c>
      <c r="C38" s="83" t="s">
        <v>57</v>
      </c>
      <c r="D38" s="82" t="s">
        <v>58</v>
      </c>
      <c r="E38" s="82" t="s">
        <v>22</v>
      </c>
      <c r="F38" s="84" t="s">
        <v>16</v>
      </c>
      <c r="G38" s="85" t="s">
        <v>217</v>
      </c>
      <c r="H38" s="88"/>
      <c r="I38" s="87" t="s">
        <v>62</v>
      </c>
      <c r="J38" s="87" t="s">
        <v>115</v>
      </c>
      <c r="K38" s="93"/>
      <c r="L38" s="77"/>
      <c r="M38" s="28"/>
      <c r="N38" s="28"/>
      <c r="O38" s="29"/>
      <c r="P38" s="29"/>
      <c r="Q38" s="29"/>
      <c r="R38" s="29"/>
      <c r="S38" s="29"/>
      <c r="T38" s="29"/>
      <c r="U38" s="29"/>
      <c r="V38" s="29"/>
      <c r="W38" s="29"/>
      <c r="X38" s="29"/>
      <c r="Y38" s="29"/>
      <c r="Z38" s="29"/>
    </row>
    <row r="39">
      <c r="A39" s="81">
        <v>45818.0</v>
      </c>
      <c r="B39" s="82" t="s">
        <v>56</v>
      </c>
      <c r="C39" s="83" t="s">
        <v>57</v>
      </c>
      <c r="D39" s="82" t="s">
        <v>58</v>
      </c>
      <c r="E39" s="82" t="s">
        <v>22</v>
      </c>
      <c r="F39" s="84" t="s">
        <v>16</v>
      </c>
      <c r="G39" s="85" t="s">
        <v>218</v>
      </c>
      <c r="H39" s="86" t="s">
        <v>61</v>
      </c>
      <c r="I39" s="87" t="s">
        <v>62</v>
      </c>
      <c r="J39" s="87"/>
      <c r="K39" s="93"/>
      <c r="L39" s="77"/>
      <c r="M39" s="98" t="s">
        <v>219</v>
      </c>
      <c r="N39" s="28"/>
      <c r="O39" s="29"/>
      <c r="P39" s="29"/>
      <c r="Q39" s="29"/>
      <c r="R39" s="29"/>
      <c r="S39" s="29"/>
      <c r="T39" s="29"/>
      <c r="U39" s="29"/>
      <c r="V39" s="29"/>
      <c r="W39" s="29"/>
      <c r="X39" s="29"/>
      <c r="Y39" s="29"/>
      <c r="Z39" s="29"/>
    </row>
    <row r="40">
      <c r="A40" s="81">
        <v>45817.0</v>
      </c>
      <c r="B40" s="82" t="s">
        <v>56</v>
      </c>
      <c r="C40" s="83" t="s">
        <v>13</v>
      </c>
      <c r="D40" s="82" t="s">
        <v>27</v>
      </c>
      <c r="E40" s="82" t="s">
        <v>22</v>
      </c>
      <c r="F40" s="84" t="s">
        <v>16</v>
      </c>
      <c r="G40" s="85" t="s">
        <v>220</v>
      </c>
      <c r="H40" s="88"/>
      <c r="I40" s="87" t="s">
        <v>62</v>
      </c>
      <c r="J40" s="87"/>
      <c r="K40" s="93"/>
      <c r="L40" s="77"/>
      <c r="M40" s="98" t="s">
        <v>221</v>
      </c>
      <c r="N40" s="28"/>
      <c r="O40" s="29"/>
      <c r="P40" s="29"/>
      <c r="Q40" s="29"/>
      <c r="R40" s="29"/>
      <c r="S40" s="29"/>
      <c r="T40" s="29"/>
      <c r="U40" s="29"/>
      <c r="V40" s="29"/>
      <c r="W40" s="29"/>
      <c r="X40" s="29"/>
      <c r="Y40" s="29"/>
      <c r="Z40" s="29"/>
    </row>
    <row r="41">
      <c r="A41" s="81">
        <v>45814.0</v>
      </c>
      <c r="B41" s="82" t="s">
        <v>56</v>
      </c>
      <c r="C41" s="83" t="s">
        <v>76</v>
      </c>
      <c r="D41" s="82" t="s">
        <v>58</v>
      </c>
      <c r="E41" s="82" t="s">
        <v>22</v>
      </c>
      <c r="F41" s="84" t="s">
        <v>16</v>
      </c>
      <c r="G41" s="85" t="s">
        <v>222</v>
      </c>
      <c r="H41" s="88"/>
      <c r="I41" s="87" t="s">
        <v>79</v>
      </c>
      <c r="J41" s="87"/>
      <c r="K41" s="93"/>
      <c r="L41" s="77" t="s">
        <v>71</v>
      </c>
      <c r="M41" s="28"/>
      <c r="N41" s="28"/>
      <c r="O41" s="29"/>
      <c r="P41" s="29"/>
      <c r="Q41" s="29"/>
      <c r="R41" s="29"/>
      <c r="S41" s="29"/>
      <c r="T41" s="29"/>
      <c r="U41" s="29"/>
      <c r="V41" s="29"/>
      <c r="W41" s="29"/>
      <c r="X41" s="29"/>
      <c r="Y41" s="29"/>
      <c r="Z41" s="29"/>
    </row>
    <row r="42">
      <c r="A42" s="81">
        <v>45814.0</v>
      </c>
      <c r="B42" s="82" t="s">
        <v>56</v>
      </c>
      <c r="C42" s="83" t="s">
        <v>13</v>
      </c>
      <c r="D42" s="82" t="s">
        <v>58</v>
      </c>
      <c r="E42" s="82" t="s">
        <v>22</v>
      </c>
      <c r="F42" s="84" t="s">
        <v>16</v>
      </c>
      <c r="G42" s="85" t="s">
        <v>223</v>
      </c>
      <c r="H42" s="88"/>
      <c r="I42" s="87"/>
      <c r="J42" s="87"/>
      <c r="K42" s="93"/>
      <c r="L42" s="77" t="s">
        <v>71</v>
      </c>
      <c r="M42" s="28"/>
      <c r="N42" s="28"/>
      <c r="O42" s="29"/>
      <c r="P42" s="29"/>
      <c r="Q42" s="29"/>
      <c r="R42" s="29"/>
      <c r="S42" s="29"/>
      <c r="T42" s="29"/>
      <c r="U42" s="29"/>
      <c r="V42" s="29"/>
      <c r="W42" s="29"/>
      <c r="X42" s="29"/>
      <c r="Y42" s="29"/>
      <c r="Z42" s="29"/>
    </row>
    <row r="43">
      <c r="A43" s="81">
        <v>45814.0</v>
      </c>
      <c r="B43" s="82" t="s">
        <v>56</v>
      </c>
      <c r="C43" s="83" t="s">
        <v>26</v>
      </c>
      <c r="D43" s="82" t="s">
        <v>58</v>
      </c>
      <c r="E43" s="82" t="s">
        <v>22</v>
      </c>
      <c r="F43" s="84" t="s">
        <v>16</v>
      </c>
      <c r="G43" s="85" t="s">
        <v>224</v>
      </c>
      <c r="H43" s="88"/>
      <c r="I43" s="87" t="s">
        <v>66</v>
      </c>
      <c r="J43" s="87"/>
      <c r="K43" s="93"/>
      <c r="L43" s="77" t="s">
        <v>71</v>
      </c>
      <c r="M43" s="28"/>
      <c r="N43" s="28"/>
      <c r="O43" s="29"/>
      <c r="P43" s="29"/>
      <c r="Q43" s="29"/>
      <c r="R43" s="29"/>
      <c r="S43" s="29"/>
      <c r="T43" s="29"/>
      <c r="U43" s="29"/>
      <c r="V43" s="29"/>
      <c r="W43" s="29"/>
      <c r="X43" s="29"/>
      <c r="Y43" s="29"/>
      <c r="Z43" s="29"/>
    </row>
    <row r="44">
      <c r="A44" s="81">
        <v>45814.0</v>
      </c>
      <c r="B44" s="82" t="s">
        <v>56</v>
      </c>
      <c r="C44" s="83" t="s">
        <v>26</v>
      </c>
      <c r="D44" s="82" t="s">
        <v>58</v>
      </c>
      <c r="E44" s="82" t="s">
        <v>22</v>
      </c>
      <c r="F44" s="84" t="s">
        <v>16</v>
      </c>
      <c r="G44" s="85" t="s">
        <v>225</v>
      </c>
      <c r="H44" s="88"/>
      <c r="I44" s="87" t="s">
        <v>66</v>
      </c>
      <c r="J44" s="87"/>
      <c r="K44" s="93"/>
      <c r="L44" s="77" t="s">
        <v>71</v>
      </c>
      <c r="M44" s="28"/>
      <c r="N44" s="28"/>
      <c r="O44" s="29"/>
      <c r="P44" s="29"/>
      <c r="Q44" s="29"/>
      <c r="R44" s="29"/>
      <c r="S44" s="29"/>
      <c r="T44" s="29"/>
      <c r="U44" s="29"/>
      <c r="V44" s="29"/>
      <c r="W44" s="29"/>
      <c r="X44" s="29"/>
      <c r="Y44" s="29"/>
      <c r="Z44" s="29"/>
    </row>
    <row r="45">
      <c r="A45" s="81">
        <v>45814.0</v>
      </c>
      <c r="B45" s="82" t="s">
        <v>56</v>
      </c>
      <c r="C45" s="83" t="s">
        <v>26</v>
      </c>
      <c r="D45" s="82" t="s">
        <v>58</v>
      </c>
      <c r="E45" s="82" t="s">
        <v>22</v>
      </c>
      <c r="F45" s="84" t="s">
        <v>16</v>
      </c>
      <c r="G45" s="85" t="s">
        <v>226</v>
      </c>
      <c r="H45" s="88"/>
      <c r="I45" s="87" t="s">
        <v>66</v>
      </c>
      <c r="J45" s="87"/>
      <c r="K45" s="93"/>
      <c r="L45" s="77" t="s">
        <v>71</v>
      </c>
      <c r="M45" s="28"/>
      <c r="N45" s="28"/>
      <c r="O45" s="29"/>
      <c r="P45" s="29"/>
      <c r="Q45" s="29"/>
      <c r="R45" s="29"/>
      <c r="S45" s="29"/>
      <c r="T45" s="29"/>
      <c r="U45" s="29"/>
      <c r="V45" s="29"/>
      <c r="W45" s="29"/>
      <c r="X45" s="29"/>
      <c r="Y45" s="29"/>
      <c r="Z45" s="29"/>
    </row>
    <row r="46">
      <c r="A46" s="81">
        <v>45814.0</v>
      </c>
      <c r="B46" s="82" t="s">
        <v>56</v>
      </c>
      <c r="C46" s="83" t="s">
        <v>57</v>
      </c>
      <c r="D46" s="82" t="s">
        <v>58</v>
      </c>
      <c r="E46" s="82" t="s">
        <v>22</v>
      </c>
      <c r="F46" s="84" t="s">
        <v>16</v>
      </c>
      <c r="G46" s="85" t="s">
        <v>227</v>
      </c>
      <c r="H46" s="86" t="s">
        <v>61</v>
      </c>
      <c r="I46" s="87" t="s">
        <v>62</v>
      </c>
      <c r="J46" s="87"/>
      <c r="K46" s="93"/>
      <c r="L46" s="77"/>
      <c r="M46" s="98" t="s">
        <v>219</v>
      </c>
      <c r="N46" s="28"/>
      <c r="O46" s="29"/>
      <c r="P46" s="29"/>
      <c r="Q46" s="29"/>
      <c r="R46" s="29"/>
      <c r="S46" s="29"/>
      <c r="T46" s="29"/>
      <c r="U46" s="29"/>
      <c r="V46" s="29"/>
      <c r="W46" s="29"/>
      <c r="X46" s="29"/>
      <c r="Y46" s="29"/>
      <c r="Z46" s="29"/>
    </row>
    <row r="47" ht="313.5" customHeight="1">
      <c r="A47" s="81">
        <v>45812.0</v>
      </c>
      <c r="B47" s="82" t="s">
        <v>56</v>
      </c>
      <c r="C47" s="83" t="s">
        <v>76</v>
      </c>
      <c r="D47" s="82" t="s">
        <v>44</v>
      </c>
      <c r="E47" s="82" t="s">
        <v>15</v>
      </c>
      <c r="F47" s="84" t="s">
        <v>86</v>
      </c>
      <c r="G47" s="85" t="s">
        <v>228</v>
      </c>
      <c r="H47" s="86" t="s">
        <v>61</v>
      </c>
      <c r="I47" s="87" t="s">
        <v>79</v>
      </c>
      <c r="J47" s="87" t="s">
        <v>67</v>
      </c>
      <c r="K47" s="93"/>
      <c r="L47" s="77"/>
      <c r="M47" s="28"/>
      <c r="N47" s="28"/>
      <c r="O47" s="29"/>
      <c r="P47" s="29"/>
      <c r="Q47" s="29"/>
      <c r="R47" s="29"/>
      <c r="S47" s="29"/>
      <c r="T47" s="29"/>
      <c r="U47" s="29"/>
      <c r="V47" s="29"/>
      <c r="W47" s="29"/>
      <c r="X47" s="29"/>
      <c r="Y47" s="29"/>
      <c r="Z47" s="29"/>
    </row>
    <row r="48" ht="51.0" customHeight="1">
      <c r="A48" s="81">
        <v>45813.0</v>
      </c>
      <c r="B48" s="82" t="s">
        <v>56</v>
      </c>
      <c r="C48" s="83" t="s">
        <v>36</v>
      </c>
      <c r="D48" s="82" t="s">
        <v>27</v>
      </c>
      <c r="E48" s="82" t="s">
        <v>64</v>
      </c>
      <c r="F48" s="84" t="s">
        <v>16</v>
      </c>
      <c r="G48" s="85" t="s">
        <v>229</v>
      </c>
      <c r="H48" s="88"/>
      <c r="I48" s="87" t="s">
        <v>66</v>
      </c>
      <c r="J48" s="87"/>
      <c r="K48" s="99" t="s">
        <v>230</v>
      </c>
      <c r="L48" s="77" t="s">
        <v>71</v>
      </c>
      <c r="M48" s="28"/>
      <c r="N48" s="28"/>
      <c r="O48" s="29"/>
      <c r="P48" s="29"/>
      <c r="Q48" s="29"/>
      <c r="R48" s="29"/>
      <c r="S48" s="29"/>
      <c r="T48" s="29"/>
      <c r="U48" s="29"/>
      <c r="V48" s="29"/>
      <c r="W48" s="29"/>
      <c r="X48" s="29"/>
      <c r="Y48" s="29"/>
      <c r="Z48" s="29"/>
    </row>
    <row r="49">
      <c r="A49" s="81">
        <v>45813.0</v>
      </c>
      <c r="B49" s="82" t="s">
        <v>56</v>
      </c>
      <c r="C49" s="83" t="s">
        <v>36</v>
      </c>
      <c r="D49" s="82" t="s">
        <v>44</v>
      </c>
      <c r="E49" s="83" t="s">
        <v>22</v>
      </c>
      <c r="F49" s="84" t="s">
        <v>16</v>
      </c>
      <c r="G49" s="85" t="s">
        <v>231</v>
      </c>
      <c r="H49" s="86" t="s">
        <v>61</v>
      </c>
      <c r="I49" s="87" t="s">
        <v>66</v>
      </c>
      <c r="J49" s="87"/>
      <c r="K49" s="100" t="s">
        <v>232</v>
      </c>
      <c r="L49" s="77" t="s">
        <v>71</v>
      </c>
      <c r="M49" s="28"/>
      <c r="N49" s="28"/>
      <c r="O49" s="29"/>
      <c r="P49" s="29"/>
      <c r="Q49" s="29"/>
      <c r="R49" s="29"/>
      <c r="S49" s="29"/>
      <c r="T49" s="29"/>
      <c r="U49" s="29"/>
      <c r="V49" s="29"/>
      <c r="W49" s="29"/>
      <c r="X49" s="29"/>
      <c r="Y49" s="29"/>
      <c r="Z49" s="29"/>
    </row>
    <row r="50">
      <c r="A50" s="81">
        <v>45812.0</v>
      </c>
      <c r="B50" s="82" t="s">
        <v>56</v>
      </c>
      <c r="C50" s="83" t="s">
        <v>36</v>
      </c>
      <c r="D50" s="82" t="s">
        <v>27</v>
      </c>
      <c r="E50" s="83" t="s">
        <v>15</v>
      </c>
      <c r="F50" s="84" t="s">
        <v>16</v>
      </c>
      <c r="G50" s="91" t="s">
        <v>233</v>
      </c>
      <c r="H50" s="88"/>
      <c r="I50" s="87" t="s">
        <v>66</v>
      </c>
      <c r="J50" s="87"/>
      <c r="K50" s="59" t="s">
        <v>234</v>
      </c>
      <c r="L50" s="77" t="s">
        <v>71</v>
      </c>
      <c r="M50" s="28"/>
      <c r="N50" s="28"/>
      <c r="O50" s="29"/>
      <c r="P50" s="29"/>
      <c r="Q50" s="29"/>
      <c r="R50" s="29"/>
      <c r="S50" s="29"/>
      <c r="T50" s="29"/>
      <c r="U50" s="29"/>
      <c r="V50" s="29"/>
      <c r="W50" s="29"/>
      <c r="X50" s="29"/>
      <c r="Y50" s="29"/>
      <c r="Z50" s="29"/>
    </row>
    <row r="51">
      <c r="A51" s="81">
        <v>45811.0</v>
      </c>
      <c r="B51" s="82" t="s">
        <v>56</v>
      </c>
      <c r="C51" s="83" t="s">
        <v>13</v>
      </c>
      <c r="D51" s="82" t="s">
        <v>58</v>
      </c>
      <c r="E51" s="101" t="s">
        <v>46</v>
      </c>
      <c r="F51" s="84" t="s">
        <v>16</v>
      </c>
      <c r="G51" s="85" t="s">
        <v>235</v>
      </c>
      <c r="H51" s="86" t="s">
        <v>61</v>
      </c>
      <c r="I51" s="87" t="s">
        <v>62</v>
      </c>
      <c r="J51" s="87" t="s">
        <v>79</v>
      </c>
      <c r="K51" s="93"/>
      <c r="L51" s="77"/>
      <c r="M51" s="98" t="s">
        <v>236</v>
      </c>
      <c r="N51" s="28"/>
      <c r="O51" s="29"/>
      <c r="P51" s="29"/>
      <c r="Q51" s="29"/>
      <c r="R51" s="29"/>
      <c r="S51" s="29"/>
      <c r="T51" s="29"/>
      <c r="U51" s="29"/>
      <c r="V51" s="29"/>
      <c r="W51" s="29"/>
      <c r="X51" s="29"/>
      <c r="Y51" s="29"/>
      <c r="Z51" s="29"/>
    </row>
    <row r="52">
      <c r="A52" s="81">
        <v>45808.0</v>
      </c>
      <c r="B52" s="82" t="s">
        <v>56</v>
      </c>
      <c r="C52" s="83" t="s">
        <v>26</v>
      </c>
      <c r="D52" s="82" t="s">
        <v>27</v>
      </c>
      <c r="E52" s="82" t="s">
        <v>22</v>
      </c>
      <c r="F52" s="84" t="s">
        <v>16</v>
      </c>
      <c r="G52" s="85" t="s">
        <v>237</v>
      </c>
      <c r="H52" s="102"/>
      <c r="I52" s="87" t="s">
        <v>66</v>
      </c>
      <c r="J52" s="87"/>
      <c r="K52" s="93"/>
      <c r="L52" s="77" t="s">
        <v>71</v>
      </c>
      <c r="M52" s="28"/>
      <c r="N52" s="28"/>
      <c r="O52" s="29"/>
      <c r="P52" s="29"/>
      <c r="Q52" s="29"/>
      <c r="R52" s="29"/>
      <c r="S52" s="29"/>
      <c r="T52" s="29"/>
      <c r="U52" s="29"/>
      <c r="V52" s="29"/>
      <c r="W52" s="29"/>
      <c r="X52" s="29"/>
      <c r="Y52" s="29"/>
      <c r="Z52" s="29"/>
    </row>
    <row r="53" ht="190.5" customHeight="1">
      <c r="A53" s="81">
        <v>45808.0</v>
      </c>
      <c r="B53" s="82" t="s">
        <v>56</v>
      </c>
      <c r="C53" s="83" t="s">
        <v>33</v>
      </c>
      <c r="D53" s="82" t="s">
        <v>27</v>
      </c>
      <c r="E53" s="82" t="s">
        <v>22</v>
      </c>
      <c r="F53" s="84" t="s">
        <v>16</v>
      </c>
      <c r="G53" s="85" t="s">
        <v>238</v>
      </c>
      <c r="H53" s="102"/>
      <c r="I53" s="87" t="s">
        <v>151</v>
      </c>
      <c r="J53" s="87" t="s">
        <v>66</v>
      </c>
      <c r="K53" s="103" t="s">
        <v>239</v>
      </c>
      <c r="L53" s="77" t="s">
        <v>71</v>
      </c>
      <c r="M53" s="28"/>
      <c r="N53" s="28"/>
      <c r="O53" s="29"/>
      <c r="P53" s="29"/>
      <c r="Q53" s="29"/>
      <c r="R53" s="29"/>
      <c r="S53" s="29"/>
      <c r="T53" s="29"/>
      <c r="U53" s="29"/>
      <c r="V53" s="29"/>
      <c r="W53" s="29"/>
      <c r="X53" s="29"/>
      <c r="Y53" s="29"/>
      <c r="Z53" s="29"/>
    </row>
    <row r="54">
      <c r="A54" s="81">
        <v>45807.0</v>
      </c>
      <c r="B54" s="104" t="s">
        <v>121</v>
      </c>
      <c r="C54" s="105" t="s">
        <v>36</v>
      </c>
      <c r="D54" s="104" t="s">
        <v>44</v>
      </c>
      <c r="E54" s="82" t="s">
        <v>22</v>
      </c>
      <c r="F54" s="84" t="s">
        <v>16</v>
      </c>
      <c r="G54" s="85" t="s">
        <v>240</v>
      </c>
      <c r="H54" s="102"/>
      <c r="I54" s="106" t="s">
        <v>66</v>
      </c>
      <c r="J54" s="106" t="s">
        <v>66</v>
      </c>
      <c r="K54" s="93"/>
      <c r="L54" s="77" t="s">
        <v>71</v>
      </c>
      <c r="M54" s="28"/>
      <c r="N54" s="28"/>
      <c r="O54" s="29"/>
      <c r="P54" s="29"/>
      <c r="Q54" s="29"/>
      <c r="R54" s="29"/>
      <c r="S54" s="29"/>
      <c r="T54" s="29"/>
      <c r="U54" s="29"/>
      <c r="V54" s="29"/>
      <c r="W54" s="29"/>
      <c r="X54" s="29"/>
      <c r="Y54" s="29"/>
      <c r="Z54" s="29"/>
    </row>
    <row r="55">
      <c r="A55" s="107">
        <v>45786.0</v>
      </c>
      <c r="B55" s="108" t="s">
        <v>121</v>
      </c>
      <c r="C55" s="109" t="s">
        <v>36</v>
      </c>
      <c r="D55" s="108" t="s">
        <v>44</v>
      </c>
      <c r="E55" s="108" t="s">
        <v>22</v>
      </c>
      <c r="F55" s="110" t="s">
        <v>16</v>
      </c>
      <c r="G55" s="111" t="s">
        <v>241</v>
      </c>
      <c r="H55" s="112" t="s">
        <v>61</v>
      </c>
      <c r="I55" s="113" t="s">
        <v>66</v>
      </c>
      <c r="J55" s="113" t="s">
        <v>242</v>
      </c>
      <c r="K55" s="114" t="s">
        <v>243</v>
      </c>
      <c r="L55" s="115" t="s">
        <v>167</v>
      </c>
      <c r="M55" s="116" t="s">
        <v>244</v>
      </c>
      <c r="N55" s="117"/>
      <c r="O55" s="64"/>
      <c r="P55" s="64"/>
      <c r="Q55" s="64"/>
      <c r="R55" s="64"/>
      <c r="S55" s="64"/>
      <c r="T55" s="64"/>
      <c r="U55" s="64"/>
      <c r="V55" s="64"/>
      <c r="W55" s="64"/>
      <c r="X55" s="64"/>
      <c r="Y55" s="64"/>
      <c r="Z55" s="64"/>
    </row>
    <row r="56">
      <c r="A56" s="107">
        <v>45786.0</v>
      </c>
      <c r="B56" s="108" t="s">
        <v>121</v>
      </c>
      <c r="C56" s="109" t="s">
        <v>36</v>
      </c>
      <c r="D56" s="108" t="s">
        <v>44</v>
      </c>
      <c r="E56" s="108" t="s">
        <v>22</v>
      </c>
      <c r="F56" s="110" t="s">
        <v>16</v>
      </c>
      <c r="G56" s="111" t="s">
        <v>245</v>
      </c>
      <c r="H56" s="112" t="s">
        <v>61</v>
      </c>
      <c r="I56" s="113" t="s">
        <v>242</v>
      </c>
      <c r="J56" s="115" t="s">
        <v>66</v>
      </c>
      <c r="K56" s="114" t="s">
        <v>246</v>
      </c>
      <c r="L56" s="118"/>
      <c r="M56" s="119"/>
      <c r="N56" s="117"/>
      <c r="O56" s="64"/>
      <c r="P56" s="64"/>
      <c r="Q56" s="64"/>
      <c r="R56" s="64"/>
      <c r="S56" s="64"/>
      <c r="T56" s="64"/>
      <c r="U56" s="64"/>
      <c r="V56" s="64"/>
      <c r="W56" s="64"/>
      <c r="X56" s="64"/>
      <c r="Y56" s="64"/>
      <c r="Z56" s="64"/>
    </row>
    <row r="57">
      <c r="A57" s="107">
        <v>45789.0</v>
      </c>
      <c r="B57" s="108" t="s">
        <v>121</v>
      </c>
      <c r="C57" s="109" t="s">
        <v>72</v>
      </c>
      <c r="D57" s="108" t="s">
        <v>81</v>
      </c>
      <c r="E57" s="108" t="s">
        <v>64</v>
      </c>
      <c r="F57" s="110" t="s">
        <v>86</v>
      </c>
      <c r="G57" s="111" t="s">
        <v>247</v>
      </c>
      <c r="H57" s="120"/>
      <c r="I57" s="113" t="s">
        <v>74</v>
      </c>
      <c r="J57" s="121"/>
      <c r="K57" s="122"/>
      <c r="L57" s="115"/>
      <c r="M57" s="119"/>
      <c r="N57" s="117"/>
      <c r="O57" s="64"/>
      <c r="P57" s="64"/>
      <c r="Q57" s="64"/>
      <c r="R57" s="64"/>
      <c r="S57" s="64"/>
      <c r="T57" s="64"/>
      <c r="U57" s="64"/>
      <c r="V57" s="64"/>
      <c r="W57" s="64"/>
      <c r="X57" s="64"/>
      <c r="Y57" s="64"/>
      <c r="Z57" s="64"/>
    </row>
    <row r="58">
      <c r="A58" s="107">
        <v>45786.0</v>
      </c>
      <c r="B58" s="108" t="s">
        <v>121</v>
      </c>
      <c r="C58" s="109" t="s">
        <v>36</v>
      </c>
      <c r="D58" s="108" t="s">
        <v>44</v>
      </c>
      <c r="E58" s="108" t="s">
        <v>22</v>
      </c>
      <c r="F58" s="110" t="s">
        <v>16</v>
      </c>
      <c r="G58" s="111" t="s">
        <v>248</v>
      </c>
      <c r="H58" s="120"/>
      <c r="I58" s="113" t="s">
        <v>66</v>
      </c>
      <c r="J58" s="121"/>
      <c r="K58" s="122"/>
      <c r="L58" s="115" t="s">
        <v>63</v>
      </c>
      <c r="M58" s="119"/>
      <c r="N58" s="117"/>
      <c r="O58" s="64"/>
      <c r="P58" s="64"/>
      <c r="Q58" s="64"/>
      <c r="R58" s="64"/>
      <c r="S58" s="64"/>
      <c r="T58" s="64"/>
      <c r="U58" s="64"/>
      <c r="V58" s="64"/>
      <c r="W58" s="64"/>
      <c r="X58" s="64"/>
      <c r="Y58" s="64"/>
      <c r="Z58" s="64"/>
    </row>
    <row r="59">
      <c r="A59" s="107">
        <v>45786.0</v>
      </c>
      <c r="B59" s="108" t="s">
        <v>121</v>
      </c>
      <c r="C59" s="109" t="s">
        <v>36</v>
      </c>
      <c r="D59" s="108" t="s">
        <v>44</v>
      </c>
      <c r="E59" s="108" t="s">
        <v>22</v>
      </c>
      <c r="F59" s="110" t="s">
        <v>16</v>
      </c>
      <c r="G59" s="111" t="s">
        <v>249</v>
      </c>
      <c r="H59" s="120"/>
      <c r="I59" s="113" t="s">
        <v>66</v>
      </c>
      <c r="J59" s="121"/>
      <c r="K59" s="122"/>
      <c r="L59" s="115" t="s">
        <v>63</v>
      </c>
      <c r="M59" s="119"/>
      <c r="N59" s="117"/>
      <c r="O59" s="64"/>
      <c r="P59" s="64"/>
      <c r="Q59" s="64"/>
      <c r="R59" s="64"/>
      <c r="S59" s="64"/>
      <c r="T59" s="64"/>
      <c r="U59" s="64"/>
      <c r="V59" s="64"/>
      <c r="W59" s="64"/>
      <c r="X59" s="64"/>
      <c r="Y59" s="64"/>
      <c r="Z59" s="64"/>
    </row>
    <row r="60">
      <c r="A60" s="123">
        <v>45784.0</v>
      </c>
      <c r="B60" s="104" t="s">
        <v>121</v>
      </c>
      <c r="C60" s="105" t="s">
        <v>36</v>
      </c>
      <c r="D60" s="82" t="s">
        <v>81</v>
      </c>
      <c r="E60" s="104" t="s">
        <v>64</v>
      </c>
      <c r="F60" s="124" t="s">
        <v>16</v>
      </c>
      <c r="G60" s="85" t="s">
        <v>250</v>
      </c>
      <c r="H60" s="30"/>
      <c r="I60" s="125" t="s">
        <v>66</v>
      </c>
      <c r="J60" s="30"/>
      <c r="K60" s="73"/>
      <c r="L60" s="30"/>
      <c r="M60" s="28"/>
      <c r="N60" s="28"/>
      <c r="O60" s="29"/>
      <c r="P60" s="29"/>
      <c r="Q60" s="29"/>
      <c r="R60" s="29"/>
      <c r="S60" s="29"/>
      <c r="T60" s="29"/>
      <c r="U60" s="29"/>
      <c r="V60" s="29"/>
      <c r="W60" s="29"/>
      <c r="X60" s="29"/>
      <c r="Y60" s="29"/>
      <c r="Z60" s="29"/>
    </row>
    <row r="61">
      <c r="A61" s="107">
        <v>45784.0</v>
      </c>
      <c r="B61" s="108" t="s">
        <v>121</v>
      </c>
      <c r="C61" s="109" t="s">
        <v>36</v>
      </c>
      <c r="D61" s="108" t="s">
        <v>77</v>
      </c>
      <c r="E61" s="108" t="s">
        <v>64</v>
      </c>
      <c r="F61" s="110" t="s">
        <v>16</v>
      </c>
      <c r="G61" s="111" t="s">
        <v>251</v>
      </c>
      <c r="H61" s="120"/>
      <c r="I61" s="113" t="s">
        <v>66</v>
      </c>
      <c r="J61" s="121"/>
      <c r="K61" s="122"/>
      <c r="L61" s="115" t="s">
        <v>68</v>
      </c>
      <c r="M61" s="119"/>
      <c r="N61" s="117"/>
      <c r="O61" s="64"/>
      <c r="P61" s="64"/>
      <c r="Q61" s="64"/>
      <c r="R61" s="64"/>
      <c r="S61" s="64"/>
      <c r="T61" s="64"/>
      <c r="U61" s="64"/>
      <c r="V61" s="64"/>
      <c r="W61" s="64"/>
      <c r="X61" s="64"/>
      <c r="Y61" s="64"/>
      <c r="Z61" s="64"/>
    </row>
    <row r="62">
      <c r="A62" s="107">
        <v>45743.0</v>
      </c>
      <c r="B62" s="108" t="s">
        <v>75</v>
      </c>
      <c r="C62" s="109" t="s">
        <v>76</v>
      </c>
      <c r="D62" s="108" t="s">
        <v>81</v>
      </c>
      <c r="E62" s="108" t="s">
        <v>64</v>
      </c>
      <c r="F62" s="110" t="s">
        <v>16</v>
      </c>
      <c r="G62" s="111" t="s">
        <v>252</v>
      </c>
      <c r="H62" s="112" t="s">
        <v>112</v>
      </c>
      <c r="I62" s="113" t="s">
        <v>79</v>
      </c>
      <c r="J62" s="121"/>
      <c r="K62" s="122"/>
      <c r="L62" s="115" t="s">
        <v>167</v>
      </c>
      <c r="M62" s="119"/>
      <c r="N62" s="126"/>
      <c r="O62" s="64"/>
      <c r="P62" s="64"/>
      <c r="Q62" s="64"/>
      <c r="R62" s="64"/>
      <c r="S62" s="64"/>
      <c r="T62" s="64"/>
      <c r="U62" s="64"/>
      <c r="V62" s="64"/>
      <c r="W62" s="64"/>
      <c r="X62" s="64"/>
      <c r="Y62" s="64"/>
      <c r="Z62" s="64"/>
    </row>
    <row r="63" ht="102.75" customHeight="1">
      <c r="A63" s="107">
        <v>45776.0</v>
      </c>
      <c r="B63" s="108" t="s">
        <v>121</v>
      </c>
      <c r="C63" s="109" t="s">
        <v>26</v>
      </c>
      <c r="D63" s="108" t="s">
        <v>81</v>
      </c>
      <c r="E63" s="108" t="s">
        <v>15</v>
      </c>
      <c r="F63" s="110" t="s">
        <v>86</v>
      </c>
      <c r="G63" s="111" t="s">
        <v>253</v>
      </c>
      <c r="H63" s="112" t="s">
        <v>112</v>
      </c>
      <c r="I63" s="113" t="s">
        <v>70</v>
      </c>
      <c r="J63" s="115" t="s">
        <v>62</v>
      </c>
      <c r="K63" s="122"/>
      <c r="L63" s="115"/>
      <c r="M63" s="119"/>
      <c r="N63" s="126"/>
      <c r="O63" s="64"/>
      <c r="P63" s="64"/>
      <c r="Q63" s="64"/>
      <c r="R63" s="64"/>
      <c r="S63" s="64"/>
      <c r="T63" s="64"/>
      <c r="U63" s="64"/>
      <c r="V63" s="64"/>
      <c r="W63" s="64"/>
      <c r="X63" s="64"/>
      <c r="Y63" s="64"/>
      <c r="Z63" s="64"/>
    </row>
    <row r="64">
      <c r="A64" s="107">
        <v>45777.0</v>
      </c>
      <c r="B64" s="108" t="s">
        <v>121</v>
      </c>
      <c r="C64" s="109" t="s">
        <v>13</v>
      </c>
      <c r="D64" s="108" t="s">
        <v>77</v>
      </c>
      <c r="E64" s="108" t="s">
        <v>46</v>
      </c>
      <c r="F64" s="110" t="s">
        <v>16</v>
      </c>
      <c r="G64" s="115" t="s">
        <v>254</v>
      </c>
      <c r="H64" s="112" t="s">
        <v>112</v>
      </c>
      <c r="I64" s="115" t="s">
        <v>197</v>
      </c>
      <c r="J64" s="115" t="s">
        <v>255</v>
      </c>
      <c r="K64" s="127"/>
      <c r="L64" s="115" t="s">
        <v>68</v>
      </c>
      <c r="M64" s="64"/>
      <c r="N64" s="64"/>
      <c r="O64" s="64"/>
      <c r="P64" s="64"/>
      <c r="Q64" s="64"/>
      <c r="R64" s="64"/>
      <c r="S64" s="64"/>
      <c r="T64" s="64"/>
      <c r="U64" s="64"/>
      <c r="V64" s="64"/>
      <c r="W64" s="64"/>
      <c r="X64" s="64"/>
      <c r="Y64" s="64"/>
      <c r="Z64" s="64"/>
    </row>
    <row r="65">
      <c r="A65" s="64"/>
      <c r="B65" s="64"/>
      <c r="C65" s="64"/>
      <c r="D65" s="64"/>
      <c r="E65" s="64"/>
      <c r="F65" s="64"/>
      <c r="G65" s="116"/>
      <c r="H65" s="64"/>
      <c r="I65" s="64"/>
      <c r="J65" s="64"/>
      <c r="K65" s="64"/>
      <c r="L65" s="64"/>
      <c r="M65" s="64"/>
      <c r="N65" s="64"/>
      <c r="O65" s="64"/>
      <c r="P65" s="64"/>
      <c r="Q65" s="64"/>
      <c r="R65" s="64"/>
      <c r="S65" s="64"/>
      <c r="T65" s="64"/>
      <c r="U65" s="64"/>
      <c r="V65" s="64"/>
      <c r="W65" s="64"/>
      <c r="X65" s="64"/>
      <c r="Y65" s="64"/>
      <c r="Z65" s="64"/>
    </row>
    <row r="66">
      <c r="A66" s="64"/>
      <c r="B66" s="64"/>
      <c r="C66" s="64"/>
      <c r="D66" s="64"/>
      <c r="E66" s="64"/>
      <c r="F66" s="64"/>
      <c r="G66" s="64"/>
      <c r="H66" s="64"/>
      <c r="I66" s="64"/>
      <c r="J66" s="64"/>
      <c r="K66" s="64"/>
      <c r="L66" s="64"/>
      <c r="M66" s="64"/>
      <c r="N66" s="64"/>
      <c r="O66" s="64"/>
      <c r="P66" s="64"/>
      <c r="Q66" s="64"/>
      <c r="R66" s="64"/>
      <c r="S66" s="64"/>
      <c r="T66" s="64"/>
      <c r="U66" s="64"/>
      <c r="V66" s="64"/>
      <c r="W66" s="64"/>
      <c r="X66" s="64"/>
      <c r="Y66" s="64"/>
      <c r="Z66" s="64"/>
    </row>
    <row r="67">
      <c r="A67" s="64"/>
      <c r="B67" s="64"/>
      <c r="C67" s="64"/>
      <c r="D67" s="64"/>
      <c r="E67" s="64"/>
      <c r="F67" s="64"/>
      <c r="G67" s="64"/>
      <c r="H67" s="64"/>
      <c r="I67" s="64"/>
      <c r="J67" s="64"/>
      <c r="K67" s="64"/>
      <c r="L67" s="64"/>
      <c r="M67" s="64"/>
      <c r="N67" s="64"/>
      <c r="O67" s="64"/>
      <c r="P67" s="64"/>
      <c r="Q67" s="64"/>
      <c r="R67" s="64"/>
      <c r="S67" s="64"/>
      <c r="T67" s="64"/>
      <c r="U67" s="64"/>
      <c r="V67" s="64"/>
      <c r="W67" s="64"/>
      <c r="X67" s="64"/>
      <c r="Y67" s="64"/>
      <c r="Z67" s="64"/>
    </row>
    <row r="68">
      <c r="A68" s="64"/>
      <c r="B68" s="64"/>
      <c r="C68" s="64"/>
      <c r="D68" s="64"/>
      <c r="E68" s="64"/>
      <c r="F68" s="64"/>
      <c r="G68" s="64"/>
      <c r="H68" s="64"/>
      <c r="I68" s="64"/>
      <c r="J68" s="64"/>
      <c r="K68" s="64"/>
      <c r="L68" s="64"/>
      <c r="M68" s="64"/>
      <c r="N68" s="64"/>
      <c r="O68" s="64"/>
      <c r="P68" s="64"/>
      <c r="Q68" s="64"/>
      <c r="R68" s="64"/>
      <c r="S68" s="64"/>
      <c r="T68" s="64"/>
      <c r="U68" s="64"/>
      <c r="V68" s="64"/>
      <c r="W68" s="64"/>
      <c r="X68" s="64"/>
      <c r="Y68" s="64"/>
      <c r="Z68" s="64"/>
    </row>
    <row r="69">
      <c r="A69" s="64"/>
      <c r="B69" s="64"/>
      <c r="C69" s="64"/>
      <c r="D69" s="64"/>
      <c r="E69" s="64"/>
      <c r="F69" s="64"/>
      <c r="G69" s="64"/>
      <c r="H69" s="64"/>
      <c r="I69" s="64"/>
      <c r="J69" s="64"/>
      <c r="K69" s="64"/>
      <c r="L69" s="64"/>
      <c r="M69" s="64"/>
      <c r="N69" s="64"/>
      <c r="O69" s="64"/>
      <c r="P69" s="64"/>
      <c r="Q69" s="64"/>
      <c r="R69" s="64"/>
      <c r="S69" s="64"/>
      <c r="T69" s="64"/>
      <c r="U69" s="64"/>
      <c r="V69" s="64"/>
      <c r="W69" s="64"/>
      <c r="X69" s="64"/>
      <c r="Y69" s="64"/>
      <c r="Z69" s="64"/>
    </row>
    <row r="70">
      <c r="A70" s="64"/>
      <c r="B70" s="64"/>
      <c r="C70" s="64"/>
      <c r="D70" s="64"/>
      <c r="E70" s="64"/>
      <c r="F70" s="64"/>
      <c r="G70" s="64"/>
      <c r="H70" s="64"/>
      <c r="I70" s="64"/>
      <c r="J70" s="64"/>
      <c r="K70" s="64"/>
      <c r="L70" s="64"/>
      <c r="M70" s="64"/>
      <c r="N70" s="64"/>
      <c r="O70" s="64"/>
      <c r="P70" s="64"/>
      <c r="Q70" s="64"/>
      <c r="R70" s="64"/>
      <c r="S70" s="64"/>
      <c r="T70" s="64"/>
      <c r="U70" s="64"/>
      <c r="V70" s="64"/>
      <c r="W70" s="64"/>
      <c r="X70" s="64"/>
      <c r="Y70" s="64"/>
      <c r="Z70" s="64"/>
    </row>
    <row r="71">
      <c r="A71" s="64"/>
      <c r="B71" s="64"/>
      <c r="C71" s="64"/>
      <c r="D71" s="64"/>
      <c r="E71" s="64"/>
      <c r="F71" s="64"/>
      <c r="G71" s="64"/>
      <c r="H71" s="64"/>
      <c r="I71" s="64"/>
      <c r="J71" s="64"/>
      <c r="K71" s="64"/>
      <c r="L71" s="64"/>
      <c r="M71" s="64"/>
      <c r="N71" s="64"/>
      <c r="O71" s="64"/>
      <c r="P71" s="64"/>
      <c r="Q71" s="64"/>
      <c r="R71" s="64"/>
      <c r="S71" s="64"/>
      <c r="T71" s="64"/>
      <c r="U71" s="64"/>
      <c r="V71" s="64"/>
      <c r="W71" s="64"/>
      <c r="X71" s="64"/>
      <c r="Y71" s="64"/>
      <c r="Z71" s="64"/>
    </row>
    <row r="72">
      <c r="A72" s="64"/>
      <c r="B72" s="64"/>
      <c r="C72" s="64"/>
      <c r="D72" s="64"/>
      <c r="E72" s="64"/>
      <c r="F72" s="64"/>
      <c r="G72" s="64"/>
      <c r="H72" s="64"/>
      <c r="I72" s="64"/>
      <c r="J72" s="64"/>
      <c r="K72" s="64"/>
      <c r="L72" s="64"/>
      <c r="M72" s="64"/>
      <c r="N72" s="64"/>
      <c r="O72" s="64"/>
      <c r="P72" s="64"/>
      <c r="Q72" s="64"/>
      <c r="R72" s="64"/>
      <c r="S72" s="64"/>
      <c r="T72" s="64"/>
      <c r="U72" s="64"/>
      <c r="V72" s="64"/>
      <c r="W72" s="64"/>
      <c r="X72" s="64"/>
      <c r="Y72" s="64"/>
      <c r="Z72" s="64"/>
    </row>
    <row r="73">
      <c r="A73" s="64"/>
      <c r="B73" s="64"/>
      <c r="C73" s="64"/>
      <c r="D73" s="64"/>
      <c r="E73" s="64"/>
      <c r="F73" s="64"/>
      <c r="G73" s="64"/>
      <c r="H73" s="64"/>
      <c r="I73" s="64"/>
      <c r="J73" s="64"/>
      <c r="K73" s="64"/>
      <c r="L73" s="64"/>
      <c r="M73" s="64"/>
      <c r="N73" s="64"/>
      <c r="O73" s="64"/>
      <c r="P73" s="64"/>
      <c r="Q73" s="64"/>
      <c r="R73" s="64"/>
      <c r="S73" s="64"/>
      <c r="T73" s="64"/>
      <c r="U73" s="64"/>
      <c r="V73" s="64"/>
      <c r="W73" s="64"/>
      <c r="X73" s="64"/>
      <c r="Y73" s="64"/>
      <c r="Z73" s="64"/>
    </row>
    <row r="74">
      <c r="A74" s="64"/>
      <c r="B74" s="64"/>
      <c r="C74" s="64"/>
      <c r="D74" s="64"/>
      <c r="E74" s="64"/>
      <c r="F74" s="64"/>
      <c r="G74" s="64"/>
      <c r="H74" s="64"/>
      <c r="I74" s="64"/>
      <c r="J74" s="64"/>
      <c r="K74" s="64"/>
      <c r="L74" s="64"/>
      <c r="M74" s="64"/>
      <c r="N74" s="64"/>
      <c r="O74" s="64"/>
      <c r="P74" s="64"/>
      <c r="Q74" s="64"/>
      <c r="R74" s="64"/>
      <c r="S74" s="64"/>
      <c r="T74" s="64"/>
      <c r="U74" s="64"/>
      <c r="V74" s="64"/>
      <c r="W74" s="64"/>
      <c r="X74" s="64"/>
      <c r="Y74" s="64"/>
      <c r="Z74" s="64"/>
    </row>
    <row r="75">
      <c r="A75" s="64"/>
      <c r="B75" s="64"/>
      <c r="C75" s="64"/>
      <c r="D75" s="64"/>
      <c r="E75" s="64"/>
      <c r="F75" s="64"/>
      <c r="G75" s="64"/>
      <c r="H75" s="64"/>
      <c r="I75" s="64"/>
      <c r="J75" s="64"/>
      <c r="K75" s="64"/>
      <c r="L75" s="64"/>
      <c r="M75" s="64"/>
      <c r="N75" s="64"/>
      <c r="O75" s="64"/>
      <c r="P75" s="64"/>
      <c r="Q75" s="64"/>
      <c r="R75" s="64"/>
      <c r="S75" s="64"/>
      <c r="T75" s="64"/>
      <c r="U75" s="64"/>
      <c r="V75" s="64"/>
      <c r="W75" s="64"/>
      <c r="X75" s="64"/>
      <c r="Y75" s="64"/>
      <c r="Z75" s="64"/>
    </row>
    <row r="76">
      <c r="A76" s="64"/>
      <c r="B76" s="64"/>
      <c r="C76" s="64"/>
      <c r="D76" s="64"/>
      <c r="E76" s="64"/>
      <c r="F76" s="64"/>
      <c r="G76" s="64"/>
      <c r="H76" s="64"/>
      <c r="I76" s="64"/>
      <c r="J76" s="64"/>
      <c r="K76" s="64"/>
      <c r="L76" s="64"/>
      <c r="M76" s="64"/>
      <c r="N76" s="64"/>
      <c r="O76" s="64"/>
      <c r="P76" s="64"/>
      <c r="Q76" s="64"/>
      <c r="R76" s="64"/>
      <c r="S76" s="64"/>
      <c r="T76" s="64"/>
      <c r="U76" s="64"/>
      <c r="V76" s="64"/>
      <c r="W76" s="64"/>
      <c r="X76" s="64"/>
      <c r="Y76" s="64"/>
      <c r="Z76" s="64"/>
    </row>
    <row r="77">
      <c r="A77" s="64"/>
      <c r="B77" s="64"/>
      <c r="C77" s="64"/>
      <c r="D77" s="64"/>
      <c r="E77" s="64"/>
      <c r="F77" s="64"/>
      <c r="G77" s="64"/>
      <c r="H77" s="64"/>
      <c r="I77" s="64"/>
      <c r="J77" s="64"/>
      <c r="K77" s="64"/>
      <c r="L77" s="64"/>
      <c r="M77" s="64"/>
      <c r="N77" s="64"/>
      <c r="O77" s="64"/>
      <c r="P77" s="64"/>
      <c r="Q77" s="64"/>
      <c r="R77" s="64"/>
      <c r="S77" s="64"/>
      <c r="T77" s="64"/>
      <c r="U77" s="64"/>
      <c r="V77" s="64"/>
      <c r="W77" s="64"/>
      <c r="X77" s="64"/>
      <c r="Y77" s="64"/>
      <c r="Z77" s="64"/>
    </row>
    <row r="78">
      <c r="A78" s="64"/>
      <c r="B78" s="64"/>
      <c r="C78" s="64"/>
      <c r="D78" s="64"/>
      <c r="E78" s="64"/>
      <c r="F78" s="64"/>
      <c r="G78" s="64"/>
      <c r="H78" s="64"/>
      <c r="I78" s="64"/>
      <c r="J78" s="64"/>
      <c r="K78" s="64"/>
      <c r="L78" s="64"/>
      <c r="M78" s="64"/>
      <c r="N78" s="64"/>
      <c r="O78" s="64"/>
      <c r="P78" s="64"/>
      <c r="Q78" s="64"/>
      <c r="R78" s="64"/>
      <c r="S78" s="64"/>
      <c r="T78" s="64"/>
      <c r="U78" s="64"/>
      <c r="V78" s="64"/>
      <c r="W78" s="64"/>
      <c r="X78" s="64"/>
      <c r="Y78" s="64"/>
      <c r="Z78" s="64"/>
    </row>
    <row r="79">
      <c r="A79" s="64"/>
      <c r="B79" s="64"/>
      <c r="C79" s="64"/>
      <c r="D79" s="64"/>
      <c r="E79" s="64"/>
      <c r="F79" s="64"/>
      <c r="G79" s="64"/>
      <c r="H79" s="64"/>
      <c r="I79" s="64"/>
      <c r="J79" s="64"/>
      <c r="K79" s="64"/>
      <c r="L79" s="64"/>
      <c r="M79" s="64"/>
      <c r="N79" s="64"/>
      <c r="O79" s="64"/>
      <c r="P79" s="64"/>
      <c r="Q79" s="64"/>
      <c r="R79" s="64"/>
      <c r="S79" s="64"/>
      <c r="T79" s="64"/>
      <c r="U79" s="64"/>
      <c r="V79" s="64"/>
      <c r="W79" s="64"/>
      <c r="X79" s="64"/>
      <c r="Y79" s="64"/>
      <c r="Z79" s="64"/>
    </row>
    <row r="80">
      <c r="A80" s="64"/>
      <c r="B80" s="64"/>
      <c r="C80" s="64"/>
      <c r="D80" s="64"/>
      <c r="E80" s="64"/>
      <c r="F80" s="64"/>
      <c r="G80" s="64"/>
      <c r="H80" s="64"/>
      <c r="I80" s="64"/>
      <c r="J80" s="64"/>
      <c r="K80" s="64"/>
      <c r="L80" s="64"/>
      <c r="M80" s="64"/>
      <c r="N80" s="64"/>
      <c r="O80" s="64"/>
      <c r="P80" s="64"/>
      <c r="Q80" s="64"/>
      <c r="R80" s="64"/>
      <c r="S80" s="64"/>
      <c r="T80" s="64"/>
      <c r="U80" s="64"/>
      <c r="V80" s="64"/>
      <c r="W80" s="64"/>
      <c r="X80" s="64"/>
      <c r="Y80" s="64"/>
      <c r="Z80" s="64"/>
    </row>
    <row r="81">
      <c r="A81" s="64"/>
      <c r="B81" s="64"/>
      <c r="C81" s="64"/>
      <c r="D81" s="64"/>
      <c r="E81" s="64"/>
      <c r="F81" s="64"/>
      <c r="G81" s="64"/>
      <c r="H81" s="64"/>
      <c r="I81" s="64"/>
      <c r="J81" s="64"/>
      <c r="K81" s="64"/>
      <c r="L81" s="64"/>
      <c r="M81" s="64"/>
      <c r="N81" s="64"/>
      <c r="O81" s="64"/>
      <c r="P81" s="64"/>
      <c r="Q81" s="64"/>
      <c r="R81" s="64"/>
      <c r="S81" s="64"/>
      <c r="T81" s="64"/>
      <c r="U81" s="64"/>
      <c r="V81" s="64"/>
      <c r="W81" s="64"/>
      <c r="X81" s="64"/>
      <c r="Y81" s="64"/>
      <c r="Z81" s="64"/>
    </row>
    <row r="82">
      <c r="A82" s="64"/>
      <c r="B82" s="64"/>
      <c r="C82" s="64"/>
      <c r="D82" s="64"/>
      <c r="E82" s="64"/>
      <c r="F82" s="64"/>
      <c r="G82" s="64"/>
      <c r="H82" s="64"/>
      <c r="I82" s="64"/>
      <c r="J82" s="64"/>
      <c r="K82" s="64"/>
      <c r="L82" s="64"/>
      <c r="M82" s="64"/>
      <c r="N82" s="64"/>
      <c r="O82" s="64"/>
      <c r="P82" s="64"/>
      <c r="Q82" s="64"/>
      <c r="R82" s="64"/>
      <c r="S82" s="64"/>
      <c r="T82" s="64"/>
      <c r="U82" s="64"/>
      <c r="V82" s="64"/>
      <c r="W82" s="64"/>
      <c r="X82" s="64"/>
      <c r="Y82" s="64"/>
      <c r="Z82" s="64"/>
    </row>
    <row r="83">
      <c r="A83" s="64"/>
      <c r="B83" s="64"/>
      <c r="C83" s="64"/>
      <c r="D83" s="64"/>
      <c r="E83" s="64"/>
      <c r="F83" s="64"/>
      <c r="G83" s="64"/>
      <c r="H83" s="64"/>
      <c r="I83" s="64"/>
      <c r="J83" s="64"/>
      <c r="K83" s="64"/>
      <c r="L83" s="64"/>
      <c r="M83" s="64"/>
      <c r="N83" s="64"/>
      <c r="O83" s="64"/>
      <c r="P83" s="64"/>
      <c r="Q83" s="64"/>
      <c r="R83" s="64"/>
      <c r="S83" s="64"/>
      <c r="T83" s="64"/>
      <c r="U83" s="64"/>
      <c r="V83" s="64"/>
      <c r="W83" s="64"/>
      <c r="X83" s="64"/>
      <c r="Y83" s="64"/>
      <c r="Z83" s="64"/>
    </row>
    <row r="84">
      <c r="A84" s="64"/>
      <c r="B84" s="64"/>
      <c r="C84" s="64"/>
      <c r="D84" s="64"/>
      <c r="E84" s="64"/>
      <c r="F84" s="64"/>
      <c r="G84" s="64"/>
      <c r="H84" s="64"/>
      <c r="I84" s="64"/>
      <c r="J84" s="64"/>
      <c r="K84" s="64"/>
      <c r="L84" s="64"/>
      <c r="M84" s="64"/>
      <c r="N84" s="64"/>
      <c r="O84" s="64"/>
      <c r="P84" s="64"/>
      <c r="Q84" s="64"/>
      <c r="R84" s="64"/>
      <c r="S84" s="64"/>
      <c r="T84" s="64"/>
      <c r="U84" s="64"/>
      <c r="V84" s="64"/>
      <c r="W84" s="64"/>
      <c r="X84" s="64"/>
      <c r="Y84" s="64"/>
      <c r="Z84" s="64"/>
    </row>
    <row r="85">
      <c r="A85" s="64"/>
      <c r="B85" s="64"/>
      <c r="C85" s="64"/>
      <c r="D85" s="64"/>
      <c r="E85" s="64"/>
      <c r="F85" s="64"/>
      <c r="G85" s="64"/>
      <c r="H85" s="64"/>
      <c r="I85" s="64"/>
      <c r="J85" s="64"/>
      <c r="K85" s="64"/>
      <c r="L85" s="64"/>
      <c r="M85" s="64"/>
      <c r="N85" s="64"/>
      <c r="O85" s="64"/>
      <c r="P85" s="64"/>
      <c r="Q85" s="64"/>
      <c r="R85" s="64"/>
      <c r="S85" s="64"/>
      <c r="T85" s="64"/>
      <c r="U85" s="64"/>
      <c r="V85" s="64"/>
      <c r="W85" s="64"/>
      <c r="X85" s="64"/>
      <c r="Y85" s="64"/>
      <c r="Z85" s="64"/>
    </row>
    <row r="86">
      <c r="A86" s="64"/>
      <c r="B86" s="64"/>
      <c r="C86" s="64"/>
      <c r="D86" s="64"/>
      <c r="E86" s="64"/>
      <c r="F86" s="64"/>
      <c r="G86" s="64"/>
      <c r="H86" s="64"/>
      <c r="I86" s="64"/>
      <c r="J86" s="64"/>
      <c r="K86" s="64"/>
      <c r="L86" s="64"/>
      <c r="M86" s="64"/>
      <c r="N86" s="64"/>
      <c r="O86" s="64"/>
      <c r="P86" s="64"/>
      <c r="Q86" s="64"/>
      <c r="R86" s="64"/>
      <c r="S86" s="64"/>
      <c r="T86" s="64"/>
      <c r="U86" s="64"/>
      <c r="V86" s="64"/>
      <c r="W86" s="64"/>
      <c r="X86" s="64"/>
      <c r="Y86" s="64"/>
      <c r="Z86" s="64"/>
    </row>
    <row r="87">
      <c r="A87" s="64"/>
      <c r="B87" s="64"/>
      <c r="C87" s="64"/>
      <c r="D87" s="64"/>
      <c r="E87" s="64"/>
      <c r="F87" s="64"/>
      <c r="G87" s="64"/>
      <c r="H87" s="64"/>
      <c r="I87" s="64"/>
      <c r="J87" s="64"/>
      <c r="K87" s="64"/>
      <c r="L87" s="64"/>
      <c r="M87" s="64"/>
      <c r="N87" s="64"/>
      <c r="O87" s="64"/>
      <c r="P87" s="64"/>
      <c r="Q87" s="64"/>
      <c r="R87" s="64"/>
      <c r="S87" s="64"/>
      <c r="T87" s="64"/>
      <c r="U87" s="64"/>
      <c r="V87" s="64"/>
      <c r="W87" s="64"/>
      <c r="X87" s="64"/>
      <c r="Y87" s="64"/>
      <c r="Z87" s="64"/>
    </row>
    <row r="88">
      <c r="A88" s="64"/>
      <c r="B88" s="64"/>
      <c r="C88" s="64"/>
      <c r="D88" s="64"/>
      <c r="E88" s="64"/>
      <c r="F88" s="64"/>
      <c r="G88" s="64"/>
      <c r="H88" s="64"/>
      <c r="I88" s="64"/>
      <c r="J88" s="64"/>
      <c r="K88" s="64"/>
      <c r="L88" s="64"/>
      <c r="M88" s="64"/>
      <c r="N88" s="64"/>
      <c r="O88" s="64"/>
      <c r="P88" s="64"/>
      <c r="Q88" s="64"/>
      <c r="R88" s="64"/>
      <c r="S88" s="64"/>
      <c r="T88" s="64"/>
      <c r="U88" s="64"/>
      <c r="V88" s="64"/>
      <c r="W88" s="64"/>
      <c r="X88" s="64"/>
      <c r="Y88" s="64"/>
      <c r="Z88" s="64"/>
    </row>
    <row r="89">
      <c r="A89" s="64"/>
      <c r="B89" s="64"/>
      <c r="C89" s="64"/>
      <c r="D89" s="64"/>
      <c r="E89" s="64"/>
      <c r="F89" s="64"/>
      <c r="G89" s="64"/>
      <c r="H89" s="64"/>
      <c r="I89" s="64"/>
      <c r="J89" s="64"/>
      <c r="K89" s="64"/>
      <c r="L89" s="64"/>
      <c r="M89" s="64"/>
      <c r="N89" s="64"/>
      <c r="O89" s="64"/>
      <c r="P89" s="64"/>
      <c r="Q89" s="64"/>
      <c r="R89" s="64"/>
      <c r="S89" s="64"/>
      <c r="T89" s="64"/>
      <c r="U89" s="64"/>
      <c r="V89" s="64"/>
      <c r="W89" s="64"/>
      <c r="X89" s="64"/>
      <c r="Y89" s="64"/>
      <c r="Z89" s="64"/>
    </row>
    <row r="90">
      <c r="A90" s="64"/>
      <c r="B90" s="64"/>
      <c r="C90" s="64"/>
      <c r="D90" s="64"/>
      <c r="E90" s="64"/>
      <c r="F90" s="64"/>
      <c r="G90" s="64"/>
      <c r="H90" s="64"/>
      <c r="I90" s="64"/>
      <c r="J90" s="64"/>
      <c r="K90" s="64"/>
      <c r="L90" s="64"/>
      <c r="M90" s="64"/>
      <c r="N90" s="64"/>
      <c r="O90" s="64"/>
      <c r="P90" s="64"/>
      <c r="Q90" s="64"/>
      <c r="R90" s="64"/>
      <c r="S90" s="64"/>
      <c r="T90" s="64"/>
      <c r="U90" s="64"/>
      <c r="V90" s="64"/>
      <c r="W90" s="64"/>
      <c r="X90" s="64"/>
      <c r="Y90" s="64"/>
      <c r="Z90" s="64"/>
    </row>
    <row r="91">
      <c r="A91" s="64"/>
      <c r="B91" s="64"/>
      <c r="C91" s="64"/>
      <c r="D91" s="64"/>
      <c r="E91" s="64"/>
      <c r="F91" s="64"/>
      <c r="G91" s="64"/>
      <c r="H91" s="64"/>
      <c r="I91" s="64"/>
      <c r="J91" s="64"/>
      <c r="K91" s="64"/>
      <c r="L91" s="64"/>
      <c r="M91" s="64"/>
      <c r="N91" s="64"/>
      <c r="O91" s="64"/>
      <c r="P91" s="64"/>
      <c r="Q91" s="64"/>
      <c r="R91" s="64"/>
      <c r="S91" s="64"/>
      <c r="T91" s="64"/>
      <c r="U91" s="64"/>
      <c r="V91" s="64"/>
      <c r="W91" s="64"/>
      <c r="X91" s="64"/>
      <c r="Y91" s="64"/>
      <c r="Z91" s="64"/>
    </row>
    <row r="92">
      <c r="A92" s="64"/>
      <c r="B92" s="64"/>
      <c r="C92" s="64"/>
      <c r="D92" s="64"/>
      <c r="E92" s="64"/>
      <c r="F92" s="64"/>
      <c r="G92" s="64"/>
      <c r="H92" s="64"/>
      <c r="I92" s="64"/>
      <c r="J92" s="64"/>
      <c r="K92" s="64"/>
      <c r="L92" s="64"/>
      <c r="M92" s="64"/>
      <c r="N92" s="64"/>
      <c r="O92" s="64"/>
      <c r="P92" s="64"/>
      <c r="Q92" s="64"/>
      <c r="R92" s="64"/>
      <c r="S92" s="64"/>
      <c r="T92" s="64"/>
      <c r="U92" s="64"/>
      <c r="V92" s="64"/>
      <c r="W92" s="64"/>
      <c r="X92" s="64"/>
      <c r="Y92" s="64"/>
      <c r="Z92" s="64"/>
    </row>
    <row r="93">
      <c r="A93" s="64"/>
      <c r="B93" s="64"/>
      <c r="C93" s="64"/>
      <c r="D93" s="64"/>
      <c r="E93" s="64"/>
      <c r="F93" s="64"/>
      <c r="G93" s="64"/>
      <c r="H93" s="64"/>
      <c r="I93" s="64"/>
      <c r="J93" s="64"/>
      <c r="K93" s="64"/>
      <c r="L93" s="64"/>
      <c r="M93" s="64"/>
      <c r="N93" s="64"/>
      <c r="O93" s="64"/>
      <c r="P93" s="64"/>
      <c r="Q93" s="64"/>
      <c r="R93" s="64"/>
      <c r="S93" s="64"/>
      <c r="T93" s="64"/>
      <c r="U93" s="64"/>
      <c r="V93" s="64"/>
      <c r="W93" s="64"/>
      <c r="X93" s="64"/>
      <c r="Y93" s="64"/>
      <c r="Z93" s="64"/>
    </row>
    <row r="94">
      <c r="A94" s="64"/>
      <c r="B94" s="64"/>
      <c r="C94" s="64"/>
      <c r="D94" s="64"/>
      <c r="E94" s="64"/>
      <c r="F94" s="64"/>
      <c r="G94" s="64"/>
      <c r="H94" s="64"/>
      <c r="I94" s="64"/>
      <c r="J94" s="64"/>
      <c r="K94" s="64"/>
      <c r="L94" s="64"/>
      <c r="M94" s="64"/>
      <c r="N94" s="64"/>
      <c r="O94" s="64"/>
      <c r="P94" s="64"/>
      <c r="Q94" s="64"/>
      <c r="R94" s="64"/>
      <c r="S94" s="64"/>
      <c r="T94" s="64"/>
      <c r="U94" s="64"/>
      <c r="V94" s="64"/>
      <c r="W94" s="64"/>
      <c r="X94" s="64"/>
      <c r="Y94" s="64"/>
      <c r="Z94" s="64"/>
    </row>
    <row r="95">
      <c r="A95" s="64"/>
      <c r="B95" s="64"/>
      <c r="C95" s="64"/>
      <c r="D95" s="64"/>
      <c r="E95" s="64"/>
      <c r="F95" s="64"/>
      <c r="G95" s="64"/>
      <c r="H95" s="64"/>
      <c r="I95" s="64"/>
      <c r="J95" s="64"/>
      <c r="K95" s="64"/>
      <c r="L95" s="64"/>
      <c r="M95" s="64"/>
      <c r="N95" s="64"/>
      <c r="O95" s="64"/>
      <c r="P95" s="64"/>
      <c r="Q95" s="64"/>
      <c r="R95" s="64"/>
      <c r="S95" s="64"/>
      <c r="T95" s="64"/>
      <c r="U95" s="64"/>
      <c r="V95" s="64"/>
      <c r="W95" s="64"/>
      <c r="X95" s="64"/>
      <c r="Y95" s="64"/>
      <c r="Z95" s="64"/>
    </row>
    <row r="96">
      <c r="A96" s="64"/>
      <c r="B96" s="64"/>
      <c r="C96" s="64"/>
      <c r="D96" s="64"/>
      <c r="E96" s="64"/>
      <c r="F96" s="64"/>
      <c r="G96" s="64"/>
      <c r="H96" s="64"/>
      <c r="I96" s="64"/>
      <c r="J96" s="64"/>
      <c r="K96" s="64"/>
      <c r="L96" s="64"/>
      <c r="M96" s="64"/>
      <c r="N96" s="64"/>
      <c r="O96" s="64"/>
      <c r="P96" s="64"/>
      <c r="Q96" s="64"/>
      <c r="R96" s="64"/>
      <c r="S96" s="64"/>
      <c r="T96" s="64"/>
      <c r="U96" s="64"/>
      <c r="V96" s="64"/>
      <c r="W96" s="64"/>
      <c r="X96" s="64"/>
      <c r="Y96" s="64"/>
      <c r="Z96" s="64"/>
    </row>
    <row r="97">
      <c r="A97" s="64"/>
      <c r="B97" s="64"/>
      <c r="C97" s="64"/>
      <c r="D97" s="64"/>
      <c r="E97" s="64"/>
      <c r="F97" s="64"/>
      <c r="G97" s="64"/>
      <c r="H97" s="64"/>
      <c r="I97" s="64"/>
      <c r="J97" s="64"/>
      <c r="K97" s="64"/>
      <c r="L97" s="64"/>
      <c r="M97" s="64"/>
      <c r="N97" s="64"/>
      <c r="O97" s="64"/>
      <c r="P97" s="64"/>
      <c r="Q97" s="64"/>
      <c r="R97" s="64"/>
      <c r="S97" s="64"/>
      <c r="T97" s="64"/>
      <c r="U97" s="64"/>
      <c r="V97" s="64"/>
      <c r="W97" s="64"/>
      <c r="X97" s="64"/>
      <c r="Y97" s="64"/>
      <c r="Z97" s="64"/>
    </row>
    <row r="98">
      <c r="A98" s="64"/>
      <c r="B98" s="64"/>
      <c r="C98" s="64"/>
      <c r="D98" s="64"/>
      <c r="E98" s="64"/>
      <c r="F98" s="64"/>
      <c r="G98" s="64"/>
      <c r="H98" s="64"/>
      <c r="I98" s="64"/>
      <c r="J98" s="64"/>
      <c r="K98" s="64"/>
      <c r="L98" s="64"/>
      <c r="M98" s="64"/>
      <c r="N98" s="64"/>
      <c r="O98" s="64"/>
      <c r="P98" s="64"/>
      <c r="Q98" s="64"/>
      <c r="R98" s="64"/>
      <c r="S98" s="64"/>
      <c r="T98" s="64"/>
      <c r="U98" s="64"/>
      <c r="V98" s="64"/>
      <c r="W98" s="64"/>
      <c r="X98" s="64"/>
      <c r="Y98" s="64"/>
      <c r="Z98" s="64"/>
    </row>
    <row r="99">
      <c r="A99" s="64"/>
      <c r="B99" s="64"/>
      <c r="C99" s="64"/>
      <c r="D99" s="64"/>
      <c r="E99" s="64"/>
      <c r="F99" s="64"/>
      <c r="G99" s="64"/>
      <c r="H99" s="64"/>
      <c r="I99" s="64"/>
      <c r="J99" s="64"/>
      <c r="K99" s="64"/>
      <c r="L99" s="64"/>
      <c r="M99" s="64"/>
      <c r="N99" s="64"/>
      <c r="O99" s="64"/>
      <c r="P99" s="64"/>
      <c r="Q99" s="64"/>
      <c r="R99" s="64"/>
      <c r="S99" s="64"/>
      <c r="T99" s="64"/>
      <c r="U99" s="64"/>
      <c r="V99" s="64"/>
      <c r="W99" s="64"/>
      <c r="X99" s="64"/>
      <c r="Y99" s="64"/>
      <c r="Z99" s="64"/>
    </row>
    <row r="100">
      <c r="A100" s="64"/>
      <c r="B100" s="64"/>
      <c r="C100" s="64"/>
      <c r="D100" s="64"/>
      <c r="E100" s="64"/>
      <c r="F100" s="64"/>
      <c r="G100" s="64"/>
      <c r="H100" s="64"/>
      <c r="I100" s="64"/>
      <c r="J100" s="64"/>
      <c r="K100" s="64"/>
      <c r="L100" s="64"/>
      <c r="M100" s="64"/>
      <c r="N100" s="64"/>
      <c r="O100" s="64"/>
      <c r="P100" s="64"/>
      <c r="Q100" s="64"/>
      <c r="R100" s="64"/>
      <c r="S100" s="64"/>
      <c r="T100" s="64"/>
      <c r="U100" s="64"/>
      <c r="V100" s="64"/>
      <c r="W100" s="64"/>
      <c r="X100" s="64"/>
      <c r="Y100" s="64"/>
      <c r="Z100" s="64"/>
    </row>
    <row r="101">
      <c r="A101" s="64"/>
      <c r="B101" s="64"/>
      <c r="C101" s="64"/>
      <c r="D101" s="64"/>
      <c r="E101" s="64"/>
      <c r="F101" s="64"/>
      <c r="G101" s="64"/>
      <c r="H101" s="64"/>
      <c r="I101" s="64"/>
      <c r="J101" s="64"/>
      <c r="K101" s="64"/>
      <c r="L101" s="64"/>
      <c r="M101" s="64"/>
      <c r="N101" s="64"/>
      <c r="O101" s="64"/>
      <c r="P101" s="64"/>
      <c r="Q101" s="64"/>
      <c r="R101" s="64"/>
      <c r="S101" s="64"/>
      <c r="T101" s="64"/>
      <c r="U101" s="64"/>
      <c r="V101" s="64"/>
      <c r="W101" s="64"/>
      <c r="X101" s="64"/>
      <c r="Y101" s="64"/>
      <c r="Z101" s="64"/>
    </row>
    <row r="102">
      <c r="A102" s="64"/>
      <c r="B102" s="64"/>
      <c r="C102" s="64"/>
      <c r="D102" s="64"/>
      <c r="E102" s="64"/>
      <c r="F102" s="64"/>
      <c r="G102" s="64"/>
      <c r="H102" s="64"/>
      <c r="I102" s="64"/>
      <c r="J102" s="64"/>
      <c r="K102" s="64"/>
      <c r="L102" s="64"/>
      <c r="M102" s="64"/>
      <c r="N102" s="64"/>
      <c r="O102" s="64"/>
      <c r="P102" s="64"/>
      <c r="Q102" s="64"/>
      <c r="R102" s="64"/>
      <c r="S102" s="64"/>
      <c r="T102" s="64"/>
      <c r="U102" s="64"/>
      <c r="V102" s="64"/>
      <c r="W102" s="64"/>
      <c r="X102" s="64"/>
      <c r="Y102" s="64"/>
      <c r="Z102" s="64"/>
    </row>
    <row r="103">
      <c r="A103" s="64"/>
      <c r="B103" s="64"/>
      <c r="C103" s="64"/>
      <c r="D103" s="64"/>
      <c r="E103" s="64"/>
      <c r="F103" s="64"/>
      <c r="G103" s="64"/>
      <c r="H103" s="64"/>
      <c r="I103" s="64"/>
      <c r="J103" s="64"/>
      <c r="K103" s="64"/>
      <c r="L103" s="64"/>
      <c r="M103" s="64"/>
      <c r="N103" s="64"/>
      <c r="O103" s="64"/>
      <c r="P103" s="64"/>
      <c r="Q103" s="64"/>
      <c r="R103" s="64"/>
      <c r="S103" s="64"/>
      <c r="T103" s="64"/>
      <c r="U103" s="64"/>
      <c r="V103" s="64"/>
      <c r="W103" s="64"/>
      <c r="X103" s="64"/>
      <c r="Y103" s="64"/>
      <c r="Z103" s="64"/>
    </row>
    <row r="104">
      <c r="A104" s="64"/>
      <c r="B104" s="64"/>
      <c r="C104" s="64"/>
      <c r="D104" s="64"/>
      <c r="E104" s="64"/>
      <c r="F104" s="64"/>
      <c r="G104" s="64"/>
      <c r="H104" s="64"/>
      <c r="I104" s="64"/>
      <c r="J104" s="64"/>
      <c r="K104" s="64"/>
      <c r="L104" s="64"/>
      <c r="M104" s="64"/>
      <c r="N104" s="64"/>
      <c r="O104" s="64"/>
      <c r="P104" s="64"/>
      <c r="Q104" s="64"/>
      <c r="R104" s="64"/>
      <c r="S104" s="64"/>
      <c r="T104" s="64"/>
      <c r="U104" s="64"/>
      <c r="V104" s="64"/>
      <c r="W104" s="64"/>
      <c r="X104" s="64"/>
      <c r="Y104" s="64"/>
      <c r="Z104" s="64"/>
    </row>
    <row r="105">
      <c r="A105" s="64"/>
      <c r="B105" s="64"/>
      <c r="C105" s="64"/>
      <c r="D105" s="64"/>
      <c r="E105" s="64"/>
      <c r="F105" s="64"/>
      <c r="G105" s="64"/>
      <c r="H105" s="64"/>
      <c r="I105" s="64"/>
      <c r="J105" s="64"/>
      <c r="K105" s="64"/>
      <c r="L105" s="64"/>
      <c r="M105" s="64"/>
      <c r="N105" s="64"/>
      <c r="O105" s="64"/>
      <c r="P105" s="64"/>
      <c r="Q105" s="64"/>
      <c r="R105" s="64"/>
      <c r="S105" s="64"/>
      <c r="T105" s="64"/>
      <c r="U105" s="64"/>
      <c r="V105" s="64"/>
      <c r="W105" s="64"/>
      <c r="X105" s="64"/>
      <c r="Y105" s="64"/>
      <c r="Z105" s="64"/>
    </row>
    <row r="106">
      <c r="A106" s="64"/>
      <c r="B106" s="64"/>
      <c r="C106" s="64"/>
      <c r="D106" s="64"/>
      <c r="E106" s="64"/>
      <c r="F106" s="64"/>
      <c r="G106" s="64"/>
      <c r="H106" s="64"/>
      <c r="I106" s="64"/>
      <c r="J106" s="64"/>
      <c r="K106" s="64"/>
      <c r="L106" s="64"/>
      <c r="M106" s="64"/>
      <c r="N106" s="64"/>
      <c r="O106" s="64"/>
      <c r="P106" s="64"/>
      <c r="Q106" s="64"/>
      <c r="R106" s="64"/>
      <c r="S106" s="64"/>
      <c r="T106" s="64"/>
      <c r="U106" s="64"/>
      <c r="V106" s="64"/>
      <c r="W106" s="64"/>
      <c r="X106" s="64"/>
      <c r="Y106" s="64"/>
      <c r="Z106" s="64"/>
    </row>
    <row r="107">
      <c r="A107" s="64"/>
      <c r="B107" s="64"/>
      <c r="C107" s="64"/>
      <c r="D107" s="64"/>
      <c r="E107" s="64"/>
      <c r="F107" s="64"/>
      <c r="G107" s="64"/>
      <c r="H107" s="64"/>
      <c r="I107" s="64"/>
      <c r="J107" s="64"/>
      <c r="K107" s="64"/>
      <c r="L107" s="64"/>
      <c r="M107" s="64"/>
      <c r="N107" s="64"/>
      <c r="O107" s="64"/>
      <c r="P107" s="64"/>
      <c r="Q107" s="64"/>
      <c r="R107" s="64"/>
      <c r="S107" s="64"/>
      <c r="T107" s="64"/>
      <c r="U107" s="64"/>
      <c r="V107" s="64"/>
      <c r="W107" s="64"/>
      <c r="X107" s="64"/>
      <c r="Y107" s="64"/>
      <c r="Z107" s="64"/>
    </row>
    <row r="108">
      <c r="A108" s="64"/>
      <c r="B108" s="64"/>
      <c r="C108" s="64"/>
      <c r="D108" s="64"/>
      <c r="E108" s="64"/>
      <c r="F108" s="64"/>
      <c r="G108" s="64"/>
      <c r="H108" s="64"/>
      <c r="I108" s="64"/>
      <c r="J108" s="64"/>
      <c r="K108" s="64"/>
      <c r="L108" s="64"/>
      <c r="M108" s="64"/>
      <c r="N108" s="64"/>
      <c r="O108" s="64"/>
      <c r="P108" s="64"/>
      <c r="Q108" s="64"/>
      <c r="R108" s="64"/>
      <c r="S108" s="64"/>
      <c r="T108" s="64"/>
      <c r="U108" s="64"/>
      <c r="V108" s="64"/>
      <c r="W108" s="64"/>
      <c r="X108" s="64"/>
      <c r="Y108" s="64"/>
      <c r="Z108" s="64"/>
    </row>
    <row r="109">
      <c r="A109" s="64"/>
      <c r="B109" s="64"/>
      <c r="C109" s="64"/>
      <c r="D109" s="64"/>
      <c r="E109" s="64"/>
      <c r="F109" s="64"/>
      <c r="G109" s="64"/>
      <c r="H109" s="64"/>
      <c r="I109" s="64"/>
      <c r="J109" s="64"/>
      <c r="K109" s="64"/>
      <c r="L109" s="64"/>
      <c r="M109" s="64"/>
      <c r="N109" s="64"/>
      <c r="O109" s="64"/>
      <c r="P109" s="64"/>
      <c r="Q109" s="64"/>
      <c r="R109" s="64"/>
      <c r="S109" s="64"/>
      <c r="T109" s="64"/>
      <c r="U109" s="64"/>
      <c r="V109" s="64"/>
      <c r="W109" s="64"/>
      <c r="X109" s="64"/>
      <c r="Y109" s="64"/>
      <c r="Z109" s="64"/>
    </row>
    <row r="110">
      <c r="A110" s="64"/>
      <c r="B110" s="64"/>
      <c r="C110" s="64"/>
      <c r="D110" s="64"/>
      <c r="E110" s="64"/>
      <c r="F110" s="64"/>
      <c r="G110" s="64"/>
      <c r="H110" s="64"/>
      <c r="I110" s="64"/>
      <c r="J110" s="64"/>
      <c r="K110" s="64"/>
      <c r="L110" s="64"/>
      <c r="M110" s="64"/>
      <c r="N110" s="64"/>
      <c r="O110" s="64"/>
      <c r="P110" s="64"/>
      <c r="Q110" s="64"/>
      <c r="R110" s="64"/>
      <c r="S110" s="64"/>
      <c r="T110" s="64"/>
      <c r="U110" s="64"/>
      <c r="V110" s="64"/>
      <c r="W110" s="64"/>
      <c r="X110" s="64"/>
      <c r="Y110" s="64"/>
      <c r="Z110" s="64"/>
    </row>
    <row r="111">
      <c r="A111" s="64"/>
      <c r="B111" s="64"/>
      <c r="C111" s="64"/>
      <c r="D111" s="64"/>
      <c r="E111" s="64"/>
      <c r="F111" s="64"/>
      <c r="G111" s="64"/>
      <c r="H111" s="64"/>
      <c r="I111" s="64"/>
      <c r="J111" s="64"/>
      <c r="K111" s="64"/>
      <c r="L111" s="64"/>
      <c r="M111" s="64"/>
      <c r="N111" s="64"/>
      <c r="O111" s="64"/>
      <c r="P111" s="64"/>
      <c r="Q111" s="64"/>
      <c r="R111" s="64"/>
      <c r="S111" s="64"/>
      <c r="T111" s="64"/>
      <c r="U111" s="64"/>
      <c r="V111" s="64"/>
      <c r="W111" s="64"/>
      <c r="X111" s="64"/>
      <c r="Y111" s="64"/>
      <c r="Z111" s="64"/>
    </row>
    <row r="112">
      <c r="A112" s="64"/>
      <c r="B112" s="64"/>
      <c r="C112" s="64"/>
      <c r="D112" s="64"/>
      <c r="E112" s="64"/>
      <c r="F112" s="64"/>
      <c r="G112" s="64"/>
      <c r="H112" s="64"/>
      <c r="I112" s="64"/>
      <c r="J112" s="64"/>
      <c r="K112" s="64"/>
      <c r="L112" s="64"/>
      <c r="M112" s="64"/>
      <c r="N112" s="64"/>
      <c r="O112" s="64"/>
      <c r="P112" s="64"/>
      <c r="Q112" s="64"/>
      <c r="R112" s="64"/>
      <c r="S112" s="64"/>
      <c r="T112" s="64"/>
      <c r="U112" s="64"/>
      <c r="V112" s="64"/>
      <c r="W112" s="64"/>
      <c r="X112" s="64"/>
      <c r="Y112" s="64"/>
      <c r="Z112" s="64"/>
    </row>
    <row r="113">
      <c r="A113" s="64"/>
      <c r="B113" s="64"/>
      <c r="C113" s="64"/>
      <c r="D113" s="64"/>
      <c r="E113" s="64"/>
      <c r="F113" s="64"/>
      <c r="G113" s="64"/>
      <c r="H113" s="64"/>
      <c r="I113" s="64"/>
      <c r="J113" s="64"/>
      <c r="K113" s="64"/>
      <c r="L113" s="64"/>
      <c r="M113" s="64"/>
      <c r="N113" s="64"/>
      <c r="O113" s="64"/>
      <c r="P113" s="64"/>
      <c r="Q113" s="64"/>
      <c r="R113" s="64"/>
      <c r="S113" s="64"/>
      <c r="T113" s="64"/>
      <c r="U113" s="64"/>
      <c r="V113" s="64"/>
      <c r="W113" s="64"/>
      <c r="X113" s="64"/>
      <c r="Y113" s="64"/>
      <c r="Z113" s="64"/>
    </row>
    <row r="114">
      <c r="A114" s="64"/>
      <c r="B114" s="64"/>
      <c r="C114" s="64"/>
      <c r="D114" s="64"/>
      <c r="E114" s="64"/>
      <c r="F114" s="64"/>
      <c r="G114" s="64"/>
      <c r="H114" s="64"/>
      <c r="I114" s="64"/>
      <c r="J114" s="64"/>
      <c r="K114" s="64"/>
      <c r="L114" s="64"/>
      <c r="M114" s="64"/>
      <c r="N114" s="64"/>
      <c r="O114" s="64"/>
      <c r="P114" s="64"/>
      <c r="Q114" s="64"/>
      <c r="R114" s="64"/>
      <c r="S114" s="64"/>
      <c r="T114" s="64"/>
      <c r="U114" s="64"/>
      <c r="V114" s="64"/>
      <c r="W114" s="64"/>
      <c r="X114" s="64"/>
      <c r="Y114" s="64"/>
      <c r="Z114" s="64"/>
    </row>
    <row r="115">
      <c r="A115" s="64"/>
      <c r="B115" s="64"/>
      <c r="C115" s="64"/>
      <c r="D115" s="64"/>
      <c r="E115" s="64"/>
      <c r="F115" s="64"/>
      <c r="G115" s="64"/>
      <c r="H115" s="64"/>
      <c r="I115" s="64"/>
      <c r="J115" s="64"/>
      <c r="K115" s="64"/>
      <c r="L115" s="64"/>
      <c r="M115" s="64"/>
      <c r="N115" s="64"/>
      <c r="O115" s="64"/>
      <c r="P115" s="64"/>
      <c r="Q115" s="64"/>
      <c r="R115" s="64"/>
      <c r="S115" s="64"/>
      <c r="T115" s="64"/>
      <c r="U115" s="64"/>
      <c r="V115" s="64"/>
      <c r="W115" s="64"/>
      <c r="X115" s="64"/>
      <c r="Y115" s="64"/>
      <c r="Z115" s="64"/>
    </row>
    <row r="116">
      <c r="A116" s="64"/>
      <c r="B116" s="64"/>
      <c r="C116" s="64"/>
      <c r="D116" s="64"/>
      <c r="E116" s="64"/>
      <c r="F116" s="64"/>
      <c r="G116" s="64"/>
      <c r="H116" s="64"/>
      <c r="I116" s="64"/>
      <c r="J116" s="64"/>
      <c r="K116" s="64"/>
      <c r="L116" s="64"/>
      <c r="M116" s="64"/>
      <c r="N116" s="64"/>
      <c r="O116" s="64"/>
      <c r="P116" s="64"/>
      <c r="Q116" s="64"/>
      <c r="R116" s="64"/>
      <c r="S116" s="64"/>
      <c r="T116" s="64"/>
      <c r="U116" s="64"/>
      <c r="V116" s="64"/>
      <c r="W116" s="64"/>
      <c r="X116" s="64"/>
      <c r="Y116" s="64"/>
      <c r="Z116" s="64"/>
    </row>
    <row r="117">
      <c r="A117" s="64"/>
      <c r="B117" s="64"/>
      <c r="C117" s="64"/>
      <c r="D117" s="64"/>
      <c r="E117" s="64"/>
      <c r="F117" s="64"/>
      <c r="G117" s="64"/>
      <c r="H117" s="64"/>
      <c r="I117" s="64"/>
      <c r="J117" s="64"/>
      <c r="K117" s="64"/>
      <c r="L117" s="64"/>
      <c r="M117" s="64"/>
      <c r="N117" s="64"/>
      <c r="O117" s="64"/>
      <c r="P117" s="64"/>
      <c r="Q117" s="64"/>
      <c r="R117" s="64"/>
      <c r="S117" s="64"/>
      <c r="T117" s="64"/>
      <c r="U117" s="64"/>
      <c r="V117" s="64"/>
      <c r="W117" s="64"/>
      <c r="X117" s="64"/>
      <c r="Y117" s="64"/>
      <c r="Z117" s="64"/>
    </row>
    <row r="118">
      <c r="A118" s="64"/>
      <c r="B118" s="64"/>
      <c r="C118" s="64"/>
      <c r="D118" s="64"/>
      <c r="E118" s="64"/>
      <c r="F118" s="64"/>
      <c r="G118" s="64"/>
      <c r="H118" s="64"/>
      <c r="I118" s="64"/>
      <c r="J118" s="64"/>
      <c r="K118" s="64"/>
      <c r="L118" s="64"/>
      <c r="M118" s="64"/>
      <c r="N118" s="64"/>
      <c r="O118" s="64"/>
      <c r="P118" s="64"/>
      <c r="Q118" s="64"/>
      <c r="R118" s="64"/>
      <c r="S118" s="64"/>
      <c r="T118" s="64"/>
      <c r="U118" s="64"/>
      <c r="V118" s="64"/>
      <c r="W118" s="64"/>
      <c r="X118" s="64"/>
      <c r="Y118" s="64"/>
      <c r="Z118" s="64"/>
    </row>
    <row r="119">
      <c r="A119" s="64"/>
      <c r="B119" s="64"/>
      <c r="C119" s="64"/>
      <c r="D119" s="64"/>
      <c r="E119" s="64"/>
      <c r="F119" s="64"/>
      <c r="G119" s="64"/>
      <c r="H119" s="64"/>
      <c r="I119" s="64"/>
      <c r="J119" s="64"/>
      <c r="K119" s="64"/>
      <c r="L119" s="64"/>
      <c r="M119" s="64"/>
      <c r="N119" s="64"/>
      <c r="O119" s="64"/>
      <c r="P119" s="64"/>
      <c r="Q119" s="64"/>
      <c r="R119" s="64"/>
      <c r="S119" s="64"/>
      <c r="T119" s="64"/>
      <c r="U119" s="64"/>
      <c r="V119" s="64"/>
      <c r="W119" s="64"/>
      <c r="X119" s="64"/>
      <c r="Y119" s="64"/>
      <c r="Z119" s="64"/>
    </row>
    <row r="120">
      <c r="A120" s="64"/>
      <c r="B120" s="64"/>
      <c r="C120" s="64"/>
      <c r="D120" s="64"/>
      <c r="E120" s="64"/>
      <c r="F120" s="64"/>
      <c r="G120" s="64"/>
      <c r="H120" s="64"/>
      <c r="I120" s="64"/>
      <c r="J120" s="64"/>
      <c r="K120" s="64"/>
      <c r="L120" s="64"/>
      <c r="M120" s="64"/>
      <c r="N120" s="64"/>
      <c r="O120" s="64"/>
      <c r="P120" s="64"/>
      <c r="Q120" s="64"/>
      <c r="R120" s="64"/>
      <c r="S120" s="64"/>
      <c r="T120" s="64"/>
      <c r="U120" s="64"/>
      <c r="V120" s="64"/>
      <c r="W120" s="64"/>
      <c r="X120" s="64"/>
      <c r="Y120" s="64"/>
      <c r="Z120" s="64"/>
    </row>
    <row r="121">
      <c r="A121" s="64"/>
      <c r="B121" s="64"/>
      <c r="C121" s="64"/>
      <c r="D121" s="64"/>
      <c r="E121" s="64"/>
      <c r="F121" s="64"/>
      <c r="G121" s="64"/>
      <c r="H121" s="64"/>
      <c r="I121" s="64"/>
      <c r="J121" s="64"/>
      <c r="K121" s="64"/>
      <c r="L121" s="64"/>
      <c r="M121" s="64"/>
      <c r="N121" s="64"/>
      <c r="O121" s="64"/>
      <c r="P121" s="64"/>
      <c r="Q121" s="64"/>
      <c r="R121" s="64"/>
      <c r="S121" s="64"/>
      <c r="T121" s="64"/>
      <c r="U121" s="64"/>
      <c r="V121" s="64"/>
      <c r="W121" s="64"/>
      <c r="X121" s="64"/>
      <c r="Y121" s="64"/>
      <c r="Z121" s="64"/>
    </row>
    <row r="122">
      <c r="A122" s="64"/>
      <c r="B122" s="64"/>
      <c r="C122" s="64"/>
      <c r="D122" s="64"/>
      <c r="E122" s="64"/>
      <c r="F122" s="64"/>
      <c r="G122" s="64"/>
      <c r="H122" s="64"/>
      <c r="I122" s="64"/>
      <c r="J122" s="64"/>
      <c r="K122" s="64"/>
      <c r="L122" s="64"/>
      <c r="M122" s="64"/>
      <c r="N122" s="64"/>
      <c r="O122" s="64"/>
      <c r="P122" s="64"/>
      <c r="Q122" s="64"/>
      <c r="R122" s="64"/>
      <c r="S122" s="64"/>
      <c r="T122" s="64"/>
      <c r="U122" s="64"/>
      <c r="V122" s="64"/>
      <c r="W122" s="64"/>
      <c r="X122" s="64"/>
      <c r="Y122" s="64"/>
      <c r="Z122" s="64"/>
    </row>
    <row r="123">
      <c r="A123" s="64"/>
      <c r="B123" s="64"/>
      <c r="C123" s="64"/>
      <c r="D123" s="64"/>
      <c r="E123" s="64"/>
      <c r="F123" s="64"/>
      <c r="G123" s="64"/>
      <c r="H123" s="64"/>
      <c r="I123" s="64"/>
      <c r="J123" s="64"/>
      <c r="K123" s="64"/>
      <c r="L123" s="64"/>
      <c r="M123" s="64"/>
      <c r="N123" s="64"/>
      <c r="O123" s="64"/>
      <c r="P123" s="64"/>
      <c r="Q123" s="64"/>
      <c r="R123" s="64"/>
      <c r="S123" s="64"/>
      <c r="T123" s="64"/>
      <c r="U123" s="64"/>
      <c r="V123" s="64"/>
      <c r="W123" s="64"/>
      <c r="X123" s="64"/>
      <c r="Y123" s="64"/>
      <c r="Z123" s="64"/>
    </row>
    <row r="124">
      <c r="A124" s="64"/>
      <c r="B124" s="64"/>
      <c r="C124" s="64"/>
      <c r="D124" s="64"/>
      <c r="E124" s="64"/>
      <c r="F124" s="64"/>
      <c r="G124" s="64"/>
      <c r="H124" s="64"/>
      <c r="I124" s="64"/>
      <c r="J124" s="64"/>
      <c r="K124" s="64"/>
      <c r="L124" s="64"/>
      <c r="M124" s="64"/>
      <c r="N124" s="64"/>
      <c r="O124" s="64"/>
      <c r="P124" s="64"/>
      <c r="Q124" s="64"/>
      <c r="R124" s="64"/>
      <c r="S124" s="64"/>
      <c r="T124" s="64"/>
      <c r="U124" s="64"/>
      <c r="V124" s="64"/>
      <c r="W124" s="64"/>
      <c r="X124" s="64"/>
      <c r="Y124" s="64"/>
      <c r="Z124" s="64"/>
    </row>
    <row r="125">
      <c r="A125" s="64"/>
      <c r="B125" s="64"/>
      <c r="C125" s="64"/>
      <c r="D125" s="64"/>
      <c r="E125" s="64"/>
      <c r="F125" s="64"/>
      <c r="G125" s="64"/>
      <c r="H125" s="64"/>
      <c r="I125" s="64"/>
      <c r="J125" s="64"/>
      <c r="K125" s="64"/>
      <c r="L125" s="64"/>
      <c r="M125" s="64"/>
      <c r="N125" s="64"/>
      <c r="O125" s="64"/>
      <c r="P125" s="64"/>
      <c r="Q125" s="64"/>
      <c r="R125" s="64"/>
      <c r="S125" s="64"/>
      <c r="T125" s="64"/>
      <c r="U125" s="64"/>
      <c r="V125" s="64"/>
      <c r="W125" s="64"/>
      <c r="X125" s="64"/>
      <c r="Y125" s="64"/>
      <c r="Z125" s="64"/>
    </row>
    <row r="126">
      <c r="A126" s="64"/>
      <c r="B126" s="64"/>
      <c r="C126" s="64"/>
      <c r="D126" s="64"/>
      <c r="E126" s="64"/>
      <c r="F126" s="64"/>
      <c r="G126" s="64"/>
      <c r="H126" s="64"/>
      <c r="I126" s="64"/>
      <c r="J126" s="64"/>
      <c r="K126" s="64"/>
      <c r="L126" s="64"/>
      <c r="M126" s="64"/>
      <c r="N126" s="64"/>
      <c r="O126" s="64"/>
      <c r="P126" s="64"/>
      <c r="Q126" s="64"/>
      <c r="R126" s="64"/>
      <c r="S126" s="64"/>
      <c r="T126" s="64"/>
      <c r="U126" s="64"/>
      <c r="V126" s="64"/>
      <c r="W126" s="64"/>
      <c r="X126" s="64"/>
      <c r="Y126" s="64"/>
      <c r="Z126" s="64"/>
    </row>
    <row r="127">
      <c r="A127" s="64"/>
      <c r="B127" s="64"/>
      <c r="C127" s="64"/>
      <c r="D127" s="64"/>
      <c r="E127" s="64"/>
      <c r="F127" s="64"/>
      <c r="G127" s="64"/>
      <c r="H127" s="64"/>
      <c r="I127" s="64"/>
      <c r="J127" s="64"/>
      <c r="K127" s="64"/>
      <c r="L127" s="64"/>
      <c r="M127" s="64"/>
      <c r="N127" s="64"/>
      <c r="O127" s="64"/>
      <c r="P127" s="64"/>
      <c r="Q127" s="64"/>
      <c r="R127" s="64"/>
      <c r="S127" s="64"/>
      <c r="T127" s="64"/>
      <c r="U127" s="64"/>
      <c r="V127" s="64"/>
      <c r="W127" s="64"/>
      <c r="X127" s="64"/>
      <c r="Y127" s="64"/>
      <c r="Z127" s="64"/>
    </row>
    <row r="128">
      <c r="A128" s="64"/>
      <c r="B128" s="64"/>
      <c r="C128" s="64"/>
      <c r="D128" s="64"/>
      <c r="E128" s="64"/>
      <c r="F128" s="64"/>
      <c r="G128" s="64"/>
      <c r="H128" s="64"/>
      <c r="I128" s="64"/>
      <c r="J128" s="64"/>
      <c r="K128" s="64"/>
      <c r="L128" s="64"/>
      <c r="M128" s="64"/>
      <c r="N128" s="64"/>
      <c r="O128" s="64"/>
      <c r="P128" s="64"/>
      <c r="Q128" s="64"/>
      <c r="R128" s="64"/>
      <c r="S128" s="64"/>
      <c r="T128" s="64"/>
      <c r="U128" s="64"/>
      <c r="V128" s="64"/>
      <c r="W128" s="64"/>
      <c r="X128" s="64"/>
      <c r="Y128" s="64"/>
      <c r="Z128" s="64"/>
    </row>
    <row r="129">
      <c r="A129" s="64"/>
      <c r="B129" s="64"/>
      <c r="C129" s="64"/>
      <c r="D129" s="64"/>
      <c r="E129" s="64"/>
      <c r="F129" s="64"/>
      <c r="G129" s="64"/>
      <c r="H129" s="64"/>
      <c r="I129" s="64"/>
      <c r="J129" s="64"/>
      <c r="K129" s="64"/>
      <c r="L129" s="64"/>
      <c r="M129" s="64"/>
      <c r="N129" s="64"/>
      <c r="O129" s="64"/>
      <c r="P129" s="64"/>
      <c r="Q129" s="64"/>
      <c r="R129" s="64"/>
      <c r="S129" s="64"/>
      <c r="T129" s="64"/>
      <c r="U129" s="64"/>
      <c r="V129" s="64"/>
      <c r="W129" s="64"/>
      <c r="X129" s="64"/>
      <c r="Y129" s="64"/>
      <c r="Z129" s="64"/>
    </row>
    <row r="130">
      <c r="A130" s="64"/>
      <c r="B130" s="64"/>
      <c r="C130" s="64"/>
      <c r="D130" s="64"/>
      <c r="E130" s="64"/>
      <c r="F130" s="64"/>
      <c r="G130" s="64"/>
      <c r="H130" s="64"/>
      <c r="I130" s="64"/>
      <c r="J130" s="64"/>
      <c r="K130" s="64"/>
      <c r="L130" s="64"/>
      <c r="M130" s="64"/>
      <c r="N130" s="64"/>
      <c r="O130" s="64"/>
      <c r="P130" s="64"/>
      <c r="Q130" s="64"/>
      <c r="R130" s="64"/>
      <c r="S130" s="64"/>
      <c r="T130" s="64"/>
      <c r="U130" s="64"/>
      <c r="V130" s="64"/>
      <c r="W130" s="64"/>
      <c r="X130" s="64"/>
      <c r="Y130" s="64"/>
      <c r="Z130" s="64"/>
    </row>
    <row r="131">
      <c r="A131" s="64"/>
      <c r="B131" s="64"/>
      <c r="C131" s="64"/>
      <c r="D131" s="64"/>
      <c r="E131" s="64"/>
      <c r="F131" s="64"/>
      <c r="G131" s="64"/>
      <c r="H131" s="64"/>
      <c r="I131" s="64"/>
      <c r="J131" s="64"/>
      <c r="K131" s="64"/>
      <c r="L131" s="64"/>
      <c r="M131" s="64"/>
      <c r="N131" s="64"/>
      <c r="O131" s="64"/>
      <c r="P131" s="64"/>
      <c r="Q131" s="64"/>
      <c r="R131" s="64"/>
      <c r="S131" s="64"/>
      <c r="T131" s="64"/>
      <c r="U131" s="64"/>
      <c r="V131" s="64"/>
      <c r="W131" s="64"/>
      <c r="X131" s="64"/>
      <c r="Y131" s="64"/>
      <c r="Z131" s="64"/>
    </row>
    <row r="132">
      <c r="A132" s="64"/>
      <c r="B132" s="64"/>
      <c r="C132" s="64"/>
      <c r="D132" s="64"/>
      <c r="E132" s="64"/>
      <c r="F132" s="64"/>
      <c r="G132" s="64"/>
      <c r="H132" s="64"/>
      <c r="I132" s="64"/>
      <c r="J132" s="64"/>
      <c r="K132" s="64"/>
      <c r="L132" s="64"/>
      <c r="M132" s="64"/>
      <c r="N132" s="64"/>
      <c r="O132" s="64"/>
      <c r="P132" s="64"/>
      <c r="Q132" s="64"/>
      <c r="R132" s="64"/>
      <c r="S132" s="64"/>
      <c r="T132" s="64"/>
      <c r="U132" s="64"/>
      <c r="V132" s="64"/>
      <c r="W132" s="64"/>
      <c r="X132" s="64"/>
      <c r="Y132" s="64"/>
      <c r="Z132" s="64"/>
    </row>
    <row r="133">
      <c r="A133" s="64"/>
      <c r="B133" s="64"/>
      <c r="C133" s="64"/>
      <c r="D133" s="64"/>
      <c r="E133" s="64"/>
      <c r="F133" s="64"/>
      <c r="G133" s="64"/>
      <c r="H133" s="64"/>
      <c r="I133" s="64"/>
      <c r="J133" s="64"/>
      <c r="K133" s="64"/>
      <c r="L133" s="64"/>
      <c r="M133" s="64"/>
      <c r="N133" s="64"/>
      <c r="O133" s="64"/>
      <c r="P133" s="64"/>
      <c r="Q133" s="64"/>
      <c r="R133" s="64"/>
      <c r="S133" s="64"/>
      <c r="T133" s="64"/>
      <c r="U133" s="64"/>
      <c r="V133" s="64"/>
      <c r="W133" s="64"/>
      <c r="X133" s="64"/>
      <c r="Y133" s="64"/>
      <c r="Z133" s="64"/>
    </row>
    <row r="134">
      <c r="A134" s="64"/>
      <c r="B134" s="64"/>
      <c r="C134" s="64"/>
      <c r="D134" s="64"/>
      <c r="E134" s="64"/>
      <c r="F134" s="64"/>
      <c r="G134" s="64"/>
      <c r="H134" s="64"/>
      <c r="I134" s="64"/>
      <c r="J134" s="64"/>
      <c r="K134" s="64"/>
      <c r="L134" s="64"/>
      <c r="M134" s="64"/>
      <c r="N134" s="64"/>
      <c r="O134" s="64"/>
      <c r="P134" s="64"/>
      <c r="Q134" s="64"/>
      <c r="R134" s="64"/>
      <c r="S134" s="64"/>
      <c r="T134" s="64"/>
      <c r="U134" s="64"/>
      <c r="V134" s="64"/>
      <c r="W134" s="64"/>
      <c r="X134" s="64"/>
      <c r="Y134" s="64"/>
      <c r="Z134" s="64"/>
    </row>
    <row r="135">
      <c r="A135" s="64"/>
      <c r="B135" s="64"/>
      <c r="C135" s="64"/>
      <c r="D135" s="64"/>
      <c r="E135" s="64"/>
      <c r="F135" s="64"/>
      <c r="G135" s="64"/>
      <c r="H135" s="64"/>
      <c r="I135" s="64"/>
      <c r="J135" s="64"/>
      <c r="K135" s="64"/>
      <c r="L135" s="64"/>
      <c r="M135" s="64"/>
      <c r="N135" s="64"/>
      <c r="O135" s="64"/>
      <c r="P135" s="64"/>
      <c r="Q135" s="64"/>
      <c r="R135" s="64"/>
      <c r="S135" s="64"/>
      <c r="T135" s="64"/>
      <c r="U135" s="64"/>
      <c r="V135" s="64"/>
      <c r="W135" s="64"/>
      <c r="X135" s="64"/>
      <c r="Y135" s="64"/>
      <c r="Z135" s="64"/>
    </row>
    <row r="136">
      <c r="A136" s="64"/>
      <c r="B136" s="64"/>
      <c r="C136" s="64"/>
      <c r="D136" s="64"/>
      <c r="E136" s="64"/>
      <c r="F136" s="64"/>
      <c r="G136" s="64"/>
      <c r="H136" s="64"/>
      <c r="I136" s="64"/>
      <c r="J136" s="64"/>
      <c r="K136" s="64"/>
      <c r="L136" s="64"/>
      <c r="M136" s="64"/>
      <c r="N136" s="64"/>
      <c r="O136" s="64"/>
      <c r="P136" s="64"/>
      <c r="Q136" s="64"/>
      <c r="R136" s="64"/>
      <c r="S136" s="64"/>
      <c r="T136" s="64"/>
      <c r="U136" s="64"/>
      <c r="V136" s="64"/>
      <c r="W136" s="64"/>
      <c r="X136" s="64"/>
      <c r="Y136" s="64"/>
      <c r="Z136" s="64"/>
    </row>
    <row r="137">
      <c r="A137" s="64"/>
      <c r="B137" s="64"/>
      <c r="C137" s="64"/>
      <c r="D137" s="64"/>
      <c r="E137" s="64"/>
      <c r="F137" s="64"/>
      <c r="G137" s="64"/>
      <c r="H137" s="64"/>
      <c r="I137" s="64"/>
      <c r="J137" s="64"/>
      <c r="K137" s="64"/>
      <c r="L137" s="64"/>
      <c r="M137" s="64"/>
      <c r="N137" s="64"/>
      <c r="O137" s="64"/>
      <c r="P137" s="64"/>
      <c r="Q137" s="64"/>
      <c r="R137" s="64"/>
      <c r="S137" s="64"/>
      <c r="T137" s="64"/>
      <c r="U137" s="64"/>
      <c r="V137" s="64"/>
      <c r="W137" s="64"/>
      <c r="X137" s="64"/>
      <c r="Y137" s="64"/>
      <c r="Z137" s="64"/>
    </row>
    <row r="138">
      <c r="A138" s="64"/>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row>
    <row r="139">
      <c r="A139" s="64"/>
      <c r="B139" s="64"/>
      <c r="C139" s="64"/>
      <c r="D139" s="64"/>
      <c r="E139" s="64"/>
      <c r="F139" s="64"/>
      <c r="G139" s="64"/>
      <c r="H139" s="64"/>
      <c r="I139" s="64"/>
      <c r="J139" s="64"/>
      <c r="K139" s="64"/>
      <c r="L139" s="64"/>
      <c r="M139" s="64"/>
      <c r="N139" s="64"/>
      <c r="O139" s="64"/>
      <c r="P139" s="64"/>
      <c r="Q139" s="64"/>
      <c r="R139" s="64"/>
      <c r="S139" s="64"/>
      <c r="T139" s="64"/>
      <c r="U139" s="64"/>
      <c r="V139" s="64"/>
      <c r="W139" s="64"/>
      <c r="X139" s="64"/>
      <c r="Y139" s="64"/>
      <c r="Z139" s="64"/>
    </row>
    <row r="140">
      <c r="A140" s="64"/>
      <c r="B140" s="64"/>
      <c r="C140" s="64"/>
      <c r="D140" s="64"/>
      <c r="E140" s="64"/>
      <c r="F140" s="64"/>
      <c r="G140" s="64"/>
      <c r="H140" s="64"/>
      <c r="I140" s="64"/>
      <c r="J140" s="64"/>
      <c r="K140" s="64"/>
      <c r="L140" s="64"/>
      <c r="M140" s="64"/>
      <c r="N140" s="64"/>
      <c r="O140" s="64"/>
      <c r="P140" s="64"/>
      <c r="Q140" s="64"/>
      <c r="R140" s="64"/>
      <c r="S140" s="64"/>
      <c r="T140" s="64"/>
      <c r="U140" s="64"/>
      <c r="V140" s="64"/>
      <c r="W140" s="64"/>
      <c r="X140" s="64"/>
      <c r="Y140" s="64"/>
      <c r="Z140" s="64"/>
    </row>
    <row r="141">
      <c r="A141" s="64"/>
      <c r="B141" s="64"/>
      <c r="C141" s="64"/>
      <c r="D141" s="64"/>
      <c r="E141" s="64"/>
      <c r="F141" s="64"/>
      <c r="G141" s="64"/>
      <c r="H141" s="64"/>
      <c r="I141" s="64"/>
      <c r="J141" s="64"/>
      <c r="K141" s="64"/>
      <c r="L141" s="64"/>
      <c r="M141" s="64"/>
      <c r="N141" s="64"/>
      <c r="O141" s="64"/>
      <c r="P141" s="64"/>
      <c r="Q141" s="64"/>
      <c r="R141" s="64"/>
      <c r="S141" s="64"/>
      <c r="T141" s="64"/>
      <c r="U141" s="64"/>
      <c r="V141" s="64"/>
      <c r="W141" s="64"/>
      <c r="X141" s="64"/>
      <c r="Y141" s="64"/>
      <c r="Z141" s="64"/>
    </row>
    <row r="142">
      <c r="A142" s="64"/>
      <c r="B142" s="64"/>
      <c r="C142" s="64"/>
      <c r="D142" s="64"/>
      <c r="E142" s="64"/>
      <c r="F142" s="64"/>
      <c r="G142" s="64"/>
      <c r="H142" s="64"/>
      <c r="I142" s="64"/>
      <c r="J142" s="64"/>
      <c r="K142" s="64"/>
      <c r="L142" s="64"/>
      <c r="M142" s="64"/>
      <c r="N142" s="64"/>
      <c r="O142" s="64"/>
      <c r="P142" s="64"/>
      <c r="Q142" s="64"/>
      <c r="R142" s="64"/>
      <c r="S142" s="64"/>
      <c r="T142" s="64"/>
      <c r="U142" s="64"/>
      <c r="V142" s="64"/>
      <c r="W142" s="64"/>
      <c r="X142" s="64"/>
      <c r="Y142" s="64"/>
      <c r="Z142" s="64"/>
    </row>
    <row r="143">
      <c r="A143" s="64"/>
      <c r="B143" s="64"/>
      <c r="C143" s="64"/>
      <c r="D143" s="64"/>
      <c r="E143" s="64"/>
      <c r="F143" s="64"/>
      <c r="G143" s="64"/>
      <c r="H143" s="64"/>
      <c r="I143" s="64"/>
      <c r="J143" s="64"/>
      <c r="K143" s="64"/>
      <c r="L143" s="64"/>
      <c r="M143" s="64"/>
      <c r="N143" s="64"/>
      <c r="O143" s="64"/>
      <c r="P143" s="64"/>
      <c r="Q143" s="64"/>
      <c r="R143" s="64"/>
      <c r="S143" s="64"/>
      <c r="T143" s="64"/>
      <c r="U143" s="64"/>
      <c r="V143" s="64"/>
      <c r="W143" s="64"/>
      <c r="X143" s="64"/>
      <c r="Y143" s="64"/>
      <c r="Z143" s="64"/>
    </row>
    <row r="144">
      <c r="A144" s="64"/>
      <c r="B144" s="64"/>
      <c r="C144" s="64"/>
      <c r="D144" s="64"/>
      <c r="E144" s="64"/>
      <c r="F144" s="64"/>
      <c r="G144" s="64"/>
      <c r="H144" s="64"/>
      <c r="I144" s="64"/>
      <c r="J144" s="64"/>
      <c r="K144" s="64"/>
      <c r="L144" s="64"/>
      <c r="M144" s="64"/>
      <c r="N144" s="64"/>
      <c r="O144" s="64"/>
      <c r="P144" s="64"/>
      <c r="Q144" s="64"/>
      <c r="R144" s="64"/>
      <c r="S144" s="64"/>
      <c r="T144" s="64"/>
      <c r="U144" s="64"/>
      <c r="V144" s="64"/>
      <c r="W144" s="64"/>
      <c r="X144" s="64"/>
      <c r="Y144" s="64"/>
      <c r="Z144" s="64"/>
    </row>
    <row r="145">
      <c r="A145" s="64"/>
      <c r="B145" s="64"/>
      <c r="C145" s="64"/>
      <c r="D145" s="64"/>
      <c r="E145" s="64"/>
      <c r="F145" s="64"/>
      <c r="G145" s="64"/>
      <c r="H145" s="64"/>
      <c r="I145" s="64"/>
      <c r="J145" s="64"/>
      <c r="K145" s="64"/>
      <c r="L145" s="64"/>
      <c r="M145" s="64"/>
      <c r="N145" s="64"/>
      <c r="O145" s="64"/>
      <c r="P145" s="64"/>
      <c r="Q145" s="64"/>
      <c r="R145" s="64"/>
      <c r="S145" s="64"/>
      <c r="T145" s="64"/>
      <c r="U145" s="64"/>
      <c r="V145" s="64"/>
      <c r="W145" s="64"/>
      <c r="X145" s="64"/>
      <c r="Y145" s="64"/>
      <c r="Z145" s="64"/>
    </row>
    <row r="146">
      <c r="A146" s="64"/>
      <c r="B146" s="64"/>
      <c r="C146" s="64"/>
      <c r="D146" s="64"/>
      <c r="E146" s="64"/>
      <c r="F146" s="64"/>
      <c r="G146" s="64"/>
      <c r="H146" s="64"/>
      <c r="I146" s="64"/>
      <c r="J146" s="64"/>
      <c r="K146" s="64"/>
      <c r="L146" s="64"/>
      <c r="M146" s="64"/>
      <c r="N146" s="64"/>
      <c r="O146" s="64"/>
      <c r="P146" s="64"/>
      <c r="Q146" s="64"/>
      <c r="R146" s="64"/>
      <c r="S146" s="64"/>
      <c r="T146" s="64"/>
      <c r="U146" s="64"/>
      <c r="V146" s="64"/>
      <c r="W146" s="64"/>
      <c r="X146" s="64"/>
      <c r="Y146" s="64"/>
      <c r="Z146" s="64"/>
    </row>
    <row r="147">
      <c r="A147" s="64"/>
      <c r="B147" s="64"/>
      <c r="C147" s="64"/>
      <c r="D147" s="64"/>
      <c r="E147" s="64"/>
      <c r="F147" s="64"/>
      <c r="G147" s="64"/>
      <c r="H147" s="64"/>
      <c r="I147" s="64"/>
      <c r="J147" s="64"/>
      <c r="K147" s="64"/>
      <c r="L147" s="64"/>
      <c r="M147" s="64"/>
      <c r="N147" s="64"/>
      <c r="O147" s="64"/>
      <c r="P147" s="64"/>
      <c r="Q147" s="64"/>
      <c r="R147" s="64"/>
      <c r="S147" s="64"/>
      <c r="T147" s="64"/>
      <c r="U147" s="64"/>
      <c r="V147" s="64"/>
      <c r="W147" s="64"/>
      <c r="X147" s="64"/>
      <c r="Y147" s="64"/>
      <c r="Z147" s="64"/>
    </row>
    <row r="148">
      <c r="A148" s="64"/>
      <c r="B148" s="64"/>
      <c r="C148" s="64"/>
      <c r="D148" s="64"/>
      <c r="E148" s="64"/>
      <c r="F148" s="64"/>
      <c r="G148" s="64"/>
      <c r="H148" s="64"/>
      <c r="I148" s="64"/>
      <c r="J148" s="64"/>
      <c r="K148" s="64"/>
      <c r="L148" s="64"/>
      <c r="M148" s="64"/>
      <c r="N148" s="64"/>
      <c r="O148" s="64"/>
      <c r="P148" s="64"/>
      <c r="Q148" s="64"/>
      <c r="R148" s="64"/>
      <c r="S148" s="64"/>
      <c r="T148" s="64"/>
      <c r="U148" s="64"/>
      <c r="V148" s="64"/>
      <c r="W148" s="64"/>
      <c r="X148" s="64"/>
      <c r="Y148" s="64"/>
      <c r="Z148" s="64"/>
    </row>
    <row r="149">
      <c r="A149" s="64"/>
      <c r="B149" s="64"/>
      <c r="C149" s="64"/>
      <c r="D149" s="64"/>
      <c r="E149" s="64"/>
      <c r="F149" s="64"/>
      <c r="G149" s="64"/>
      <c r="H149" s="64"/>
      <c r="I149" s="64"/>
      <c r="J149" s="64"/>
      <c r="K149" s="64"/>
      <c r="L149" s="64"/>
      <c r="M149" s="64"/>
      <c r="N149" s="64"/>
      <c r="O149" s="64"/>
      <c r="P149" s="64"/>
      <c r="Q149" s="64"/>
      <c r="R149" s="64"/>
      <c r="S149" s="64"/>
      <c r="T149" s="64"/>
      <c r="U149" s="64"/>
      <c r="V149" s="64"/>
      <c r="W149" s="64"/>
      <c r="X149" s="64"/>
      <c r="Y149" s="64"/>
      <c r="Z149" s="64"/>
    </row>
    <row r="150">
      <c r="A150" s="64"/>
      <c r="B150" s="64"/>
      <c r="C150" s="64"/>
      <c r="D150" s="64"/>
      <c r="E150" s="64"/>
      <c r="F150" s="64"/>
      <c r="G150" s="64"/>
      <c r="H150" s="64"/>
      <c r="I150" s="64"/>
      <c r="J150" s="64"/>
      <c r="K150" s="64"/>
      <c r="L150" s="64"/>
      <c r="M150" s="64"/>
      <c r="N150" s="64"/>
      <c r="O150" s="64"/>
      <c r="P150" s="64"/>
      <c r="Q150" s="64"/>
      <c r="R150" s="64"/>
      <c r="S150" s="64"/>
      <c r="T150" s="64"/>
      <c r="U150" s="64"/>
      <c r="V150" s="64"/>
      <c r="W150" s="64"/>
      <c r="X150" s="64"/>
      <c r="Y150" s="64"/>
      <c r="Z150" s="64"/>
    </row>
    <row r="151">
      <c r="A151" s="64"/>
      <c r="B151" s="64"/>
      <c r="C151" s="64"/>
      <c r="D151" s="64"/>
      <c r="E151" s="64"/>
      <c r="F151" s="64"/>
      <c r="G151" s="64"/>
      <c r="H151" s="64"/>
      <c r="I151" s="64"/>
      <c r="J151" s="64"/>
      <c r="K151" s="64"/>
      <c r="L151" s="64"/>
      <c r="M151" s="64"/>
      <c r="N151" s="64"/>
      <c r="O151" s="64"/>
      <c r="P151" s="64"/>
      <c r="Q151" s="64"/>
      <c r="R151" s="64"/>
      <c r="S151" s="64"/>
      <c r="T151" s="64"/>
      <c r="U151" s="64"/>
      <c r="V151" s="64"/>
      <c r="W151" s="64"/>
      <c r="X151" s="64"/>
      <c r="Y151" s="64"/>
      <c r="Z151" s="64"/>
    </row>
    <row r="152">
      <c r="A152" s="64"/>
      <c r="B152" s="64"/>
      <c r="C152" s="64"/>
      <c r="D152" s="64"/>
      <c r="E152" s="64"/>
      <c r="F152" s="64"/>
      <c r="G152" s="64"/>
      <c r="H152" s="64"/>
      <c r="I152" s="64"/>
      <c r="J152" s="64"/>
      <c r="K152" s="64"/>
      <c r="L152" s="64"/>
      <c r="M152" s="64"/>
      <c r="N152" s="64"/>
      <c r="O152" s="64"/>
      <c r="P152" s="64"/>
      <c r="Q152" s="64"/>
      <c r="R152" s="64"/>
      <c r="S152" s="64"/>
      <c r="T152" s="64"/>
      <c r="U152" s="64"/>
      <c r="V152" s="64"/>
      <c r="W152" s="64"/>
      <c r="X152" s="64"/>
      <c r="Y152" s="64"/>
      <c r="Z152" s="64"/>
    </row>
    <row r="153">
      <c r="A153" s="64"/>
      <c r="B153" s="64"/>
      <c r="C153" s="64"/>
      <c r="D153" s="64"/>
      <c r="E153" s="64"/>
      <c r="F153" s="64"/>
      <c r="G153" s="64"/>
      <c r="H153" s="64"/>
      <c r="I153" s="64"/>
      <c r="J153" s="64"/>
      <c r="K153" s="64"/>
      <c r="L153" s="64"/>
      <c r="M153" s="64"/>
      <c r="N153" s="64"/>
      <c r="O153" s="64"/>
      <c r="P153" s="64"/>
      <c r="Q153" s="64"/>
      <c r="R153" s="64"/>
      <c r="S153" s="64"/>
      <c r="T153" s="64"/>
      <c r="U153" s="64"/>
      <c r="V153" s="64"/>
      <c r="W153" s="64"/>
      <c r="X153" s="64"/>
      <c r="Y153" s="64"/>
      <c r="Z153" s="64"/>
    </row>
    <row r="154">
      <c r="A154" s="64"/>
      <c r="B154" s="64"/>
      <c r="C154" s="64"/>
      <c r="D154" s="64"/>
      <c r="E154" s="64"/>
      <c r="F154" s="64"/>
      <c r="G154" s="64"/>
      <c r="H154" s="64"/>
      <c r="I154" s="64"/>
      <c r="J154" s="64"/>
      <c r="K154" s="64"/>
      <c r="L154" s="64"/>
      <c r="M154" s="64"/>
      <c r="N154" s="64"/>
      <c r="O154" s="64"/>
      <c r="P154" s="64"/>
      <c r="Q154" s="64"/>
      <c r="R154" s="64"/>
      <c r="S154" s="64"/>
      <c r="T154" s="64"/>
      <c r="U154" s="64"/>
      <c r="V154" s="64"/>
      <c r="W154" s="64"/>
      <c r="X154" s="64"/>
      <c r="Y154" s="64"/>
      <c r="Z154" s="64"/>
    </row>
    <row r="155">
      <c r="A155" s="64"/>
      <c r="B155" s="64"/>
      <c r="C155" s="64"/>
      <c r="D155" s="64"/>
      <c r="E155" s="64"/>
      <c r="F155" s="64"/>
      <c r="G155" s="64"/>
      <c r="H155" s="64"/>
      <c r="I155" s="64"/>
      <c r="J155" s="64"/>
      <c r="K155" s="64"/>
      <c r="L155" s="64"/>
      <c r="M155" s="64"/>
      <c r="N155" s="64"/>
      <c r="O155" s="64"/>
      <c r="P155" s="64"/>
      <c r="Q155" s="64"/>
      <c r="R155" s="64"/>
      <c r="S155" s="64"/>
      <c r="T155" s="64"/>
      <c r="U155" s="64"/>
      <c r="V155" s="64"/>
      <c r="W155" s="64"/>
      <c r="X155" s="64"/>
      <c r="Y155" s="64"/>
      <c r="Z155" s="64"/>
    </row>
    <row r="156">
      <c r="A156" s="64"/>
      <c r="B156" s="64"/>
      <c r="C156" s="64"/>
      <c r="D156" s="64"/>
      <c r="E156" s="64"/>
      <c r="F156" s="64"/>
      <c r="G156" s="64"/>
      <c r="H156" s="64"/>
      <c r="I156" s="64"/>
      <c r="J156" s="64"/>
      <c r="K156" s="64"/>
      <c r="L156" s="64"/>
      <c r="M156" s="64"/>
      <c r="N156" s="64"/>
      <c r="O156" s="64"/>
      <c r="P156" s="64"/>
      <c r="Q156" s="64"/>
      <c r="R156" s="64"/>
      <c r="S156" s="64"/>
      <c r="T156" s="64"/>
      <c r="U156" s="64"/>
      <c r="V156" s="64"/>
      <c r="W156" s="64"/>
      <c r="X156" s="64"/>
      <c r="Y156" s="64"/>
      <c r="Z156" s="64"/>
    </row>
    <row r="157">
      <c r="A157" s="64"/>
      <c r="B157" s="64"/>
      <c r="C157" s="64"/>
      <c r="D157" s="64"/>
      <c r="E157" s="64"/>
      <c r="F157" s="64"/>
      <c r="G157" s="64"/>
      <c r="H157" s="64"/>
      <c r="I157" s="64"/>
      <c r="J157" s="64"/>
      <c r="K157" s="64"/>
      <c r="L157" s="64"/>
      <c r="M157" s="64"/>
      <c r="N157" s="64"/>
      <c r="O157" s="64"/>
      <c r="P157" s="64"/>
      <c r="Q157" s="64"/>
      <c r="R157" s="64"/>
      <c r="S157" s="64"/>
      <c r="T157" s="64"/>
      <c r="U157" s="64"/>
      <c r="V157" s="64"/>
      <c r="W157" s="64"/>
      <c r="X157" s="64"/>
      <c r="Y157" s="64"/>
      <c r="Z157" s="64"/>
    </row>
    <row r="158">
      <c r="A158" s="64"/>
      <c r="B158" s="64"/>
      <c r="C158" s="64"/>
      <c r="D158" s="64"/>
      <c r="E158" s="64"/>
      <c r="F158" s="64"/>
      <c r="G158" s="64"/>
      <c r="H158" s="64"/>
      <c r="I158" s="64"/>
      <c r="J158" s="64"/>
      <c r="K158" s="64"/>
      <c r="L158" s="64"/>
      <c r="M158" s="64"/>
      <c r="N158" s="64"/>
      <c r="O158" s="64"/>
      <c r="P158" s="64"/>
      <c r="Q158" s="64"/>
      <c r="R158" s="64"/>
      <c r="S158" s="64"/>
      <c r="T158" s="64"/>
      <c r="U158" s="64"/>
      <c r="V158" s="64"/>
      <c r="W158" s="64"/>
      <c r="X158" s="64"/>
      <c r="Y158" s="64"/>
      <c r="Z158" s="64"/>
    </row>
    <row r="159">
      <c r="A159" s="64"/>
      <c r="B159" s="64"/>
      <c r="C159" s="64"/>
      <c r="D159" s="64"/>
      <c r="E159" s="64"/>
      <c r="F159" s="64"/>
      <c r="G159" s="64"/>
      <c r="H159" s="64"/>
      <c r="I159" s="64"/>
      <c r="J159" s="64"/>
      <c r="K159" s="64"/>
      <c r="L159" s="64"/>
      <c r="M159" s="64"/>
      <c r="N159" s="64"/>
      <c r="O159" s="64"/>
      <c r="P159" s="64"/>
      <c r="Q159" s="64"/>
      <c r="R159" s="64"/>
      <c r="S159" s="64"/>
      <c r="T159" s="64"/>
      <c r="U159" s="64"/>
      <c r="V159" s="64"/>
      <c r="W159" s="64"/>
      <c r="X159" s="64"/>
      <c r="Y159" s="64"/>
      <c r="Z159" s="64"/>
    </row>
    <row r="160">
      <c r="A160" s="64"/>
      <c r="B160" s="64"/>
      <c r="C160" s="64"/>
      <c r="D160" s="64"/>
      <c r="E160" s="64"/>
      <c r="F160" s="64"/>
      <c r="G160" s="64"/>
      <c r="H160" s="64"/>
      <c r="I160" s="64"/>
      <c r="J160" s="64"/>
      <c r="K160" s="64"/>
      <c r="L160" s="64"/>
      <c r="M160" s="64"/>
      <c r="N160" s="64"/>
      <c r="O160" s="64"/>
      <c r="P160" s="64"/>
      <c r="Q160" s="64"/>
      <c r="R160" s="64"/>
      <c r="S160" s="64"/>
      <c r="T160" s="64"/>
      <c r="U160" s="64"/>
      <c r="V160" s="64"/>
      <c r="W160" s="64"/>
      <c r="X160" s="64"/>
      <c r="Y160" s="64"/>
      <c r="Z160" s="64"/>
    </row>
    <row r="161">
      <c r="A161" s="64"/>
      <c r="B161" s="64"/>
      <c r="C161" s="64"/>
      <c r="D161" s="64"/>
      <c r="E161" s="64"/>
      <c r="F161" s="64"/>
      <c r="G161" s="64"/>
      <c r="H161" s="64"/>
      <c r="I161" s="64"/>
      <c r="J161" s="64"/>
      <c r="K161" s="64"/>
      <c r="L161" s="64"/>
      <c r="M161" s="64"/>
      <c r="N161" s="64"/>
      <c r="O161" s="64"/>
      <c r="P161" s="64"/>
      <c r="Q161" s="64"/>
      <c r="R161" s="64"/>
      <c r="S161" s="64"/>
      <c r="T161" s="64"/>
      <c r="U161" s="64"/>
      <c r="V161" s="64"/>
      <c r="W161" s="64"/>
      <c r="X161" s="64"/>
      <c r="Y161" s="64"/>
      <c r="Z161" s="64"/>
    </row>
    <row r="162">
      <c r="A162" s="64"/>
      <c r="B162" s="64"/>
      <c r="C162" s="64"/>
      <c r="D162" s="64"/>
      <c r="E162" s="64"/>
      <c r="F162" s="64"/>
      <c r="G162" s="64"/>
      <c r="H162" s="64"/>
      <c r="I162" s="64"/>
      <c r="J162" s="64"/>
      <c r="K162" s="64"/>
      <c r="L162" s="64"/>
      <c r="M162" s="64"/>
      <c r="N162" s="64"/>
      <c r="O162" s="64"/>
      <c r="P162" s="64"/>
      <c r="Q162" s="64"/>
      <c r="R162" s="64"/>
      <c r="S162" s="64"/>
      <c r="T162" s="64"/>
      <c r="U162" s="64"/>
      <c r="V162" s="64"/>
      <c r="W162" s="64"/>
      <c r="X162" s="64"/>
      <c r="Y162" s="64"/>
      <c r="Z162" s="64"/>
    </row>
    <row r="163">
      <c r="A163" s="64"/>
      <c r="B163" s="64"/>
      <c r="C163" s="64"/>
      <c r="D163" s="64"/>
      <c r="E163" s="64"/>
      <c r="F163" s="64"/>
      <c r="G163" s="64"/>
      <c r="H163" s="64"/>
      <c r="I163" s="64"/>
      <c r="J163" s="64"/>
      <c r="K163" s="64"/>
      <c r="L163" s="64"/>
      <c r="M163" s="64"/>
      <c r="N163" s="64"/>
      <c r="O163" s="64"/>
      <c r="P163" s="64"/>
      <c r="Q163" s="64"/>
      <c r="R163" s="64"/>
      <c r="S163" s="64"/>
      <c r="T163" s="64"/>
      <c r="U163" s="64"/>
      <c r="V163" s="64"/>
      <c r="W163" s="64"/>
      <c r="X163" s="64"/>
      <c r="Y163" s="64"/>
      <c r="Z163" s="64"/>
    </row>
    <row r="164">
      <c r="A164" s="64"/>
      <c r="B164" s="64"/>
      <c r="C164" s="64"/>
      <c r="D164" s="64"/>
      <c r="E164" s="64"/>
      <c r="F164" s="64"/>
      <c r="G164" s="64"/>
      <c r="H164" s="64"/>
      <c r="I164" s="64"/>
      <c r="J164" s="64"/>
      <c r="K164" s="64"/>
      <c r="L164" s="64"/>
      <c r="M164" s="64"/>
      <c r="N164" s="64"/>
      <c r="O164" s="64"/>
      <c r="P164" s="64"/>
      <c r="Q164" s="64"/>
      <c r="R164" s="64"/>
      <c r="S164" s="64"/>
      <c r="T164" s="64"/>
      <c r="U164" s="64"/>
      <c r="V164" s="64"/>
      <c r="W164" s="64"/>
      <c r="X164" s="64"/>
      <c r="Y164" s="64"/>
      <c r="Z164" s="64"/>
    </row>
    <row r="165">
      <c r="A165" s="64"/>
      <c r="B165" s="64"/>
      <c r="C165" s="64"/>
      <c r="D165" s="64"/>
      <c r="E165" s="64"/>
      <c r="F165" s="64"/>
      <c r="G165" s="64"/>
      <c r="H165" s="64"/>
      <c r="I165" s="64"/>
      <c r="J165" s="64"/>
      <c r="K165" s="64"/>
      <c r="L165" s="64"/>
      <c r="M165" s="64"/>
      <c r="N165" s="64"/>
      <c r="O165" s="64"/>
      <c r="P165" s="64"/>
      <c r="Q165" s="64"/>
      <c r="R165" s="64"/>
      <c r="S165" s="64"/>
      <c r="T165" s="64"/>
      <c r="U165" s="64"/>
      <c r="V165" s="64"/>
      <c r="W165" s="64"/>
      <c r="X165" s="64"/>
      <c r="Y165" s="64"/>
      <c r="Z165" s="64"/>
    </row>
    <row r="166">
      <c r="A166" s="64"/>
      <c r="B166" s="64"/>
      <c r="C166" s="64"/>
      <c r="D166" s="64"/>
      <c r="E166" s="64"/>
      <c r="F166" s="64"/>
      <c r="G166" s="64"/>
      <c r="H166" s="64"/>
      <c r="I166" s="64"/>
      <c r="J166" s="64"/>
      <c r="K166" s="64"/>
      <c r="L166" s="64"/>
      <c r="M166" s="64"/>
      <c r="N166" s="64"/>
      <c r="O166" s="64"/>
      <c r="P166" s="64"/>
      <c r="Q166" s="64"/>
      <c r="R166" s="64"/>
      <c r="S166" s="64"/>
      <c r="T166" s="64"/>
      <c r="U166" s="64"/>
      <c r="V166" s="64"/>
      <c r="W166" s="64"/>
      <c r="X166" s="64"/>
      <c r="Y166" s="64"/>
      <c r="Z166" s="64"/>
    </row>
    <row r="167">
      <c r="A167" s="64"/>
      <c r="B167" s="64"/>
      <c r="C167" s="64"/>
      <c r="D167" s="64"/>
      <c r="E167" s="64"/>
      <c r="F167" s="64"/>
      <c r="G167" s="64"/>
      <c r="H167" s="64"/>
      <c r="I167" s="64"/>
      <c r="J167" s="64"/>
      <c r="K167" s="64"/>
      <c r="L167" s="64"/>
      <c r="M167" s="64"/>
      <c r="N167" s="64"/>
      <c r="O167" s="64"/>
      <c r="P167" s="64"/>
      <c r="Q167" s="64"/>
      <c r="R167" s="64"/>
      <c r="S167" s="64"/>
      <c r="T167" s="64"/>
      <c r="U167" s="64"/>
      <c r="V167" s="64"/>
      <c r="W167" s="64"/>
      <c r="X167" s="64"/>
      <c r="Y167" s="64"/>
      <c r="Z167" s="64"/>
    </row>
    <row r="168">
      <c r="A168" s="64"/>
      <c r="B168" s="64"/>
      <c r="C168" s="64"/>
      <c r="D168" s="64"/>
      <c r="E168" s="64"/>
      <c r="F168" s="64"/>
      <c r="G168" s="64"/>
      <c r="H168" s="64"/>
      <c r="I168" s="64"/>
      <c r="J168" s="64"/>
      <c r="K168" s="64"/>
      <c r="L168" s="64"/>
      <c r="M168" s="64"/>
      <c r="N168" s="64"/>
      <c r="O168" s="64"/>
      <c r="P168" s="64"/>
      <c r="Q168" s="64"/>
      <c r="R168" s="64"/>
      <c r="S168" s="64"/>
      <c r="T168" s="64"/>
      <c r="U168" s="64"/>
      <c r="V168" s="64"/>
      <c r="W168" s="64"/>
      <c r="X168" s="64"/>
      <c r="Y168" s="64"/>
      <c r="Z168" s="64"/>
    </row>
    <row r="169">
      <c r="A169" s="64"/>
      <c r="B169" s="64"/>
      <c r="C169" s="64"/>
      <c r="D169" s="64"/>
      <c r="E169" s="64"/>
      <c r="F169" s="64"/>
      <c r="G169" s="64"/>
      <c r="H169" s="64"/>
      <c r="I169" s="64"/>
      <c r="J169" s="64"/>
      <c r="K169" s="64"/>
      <c r="L169" s="64"/>
      <c r="M169" s="64"/>
      <c r="N169" s="64"/>
      <c r="O169" s="64"/>
      <c r="P169" s="64"/>
      <c r="Q169" s="64"/>
      <c r="R169" s="64"/>
      <c r="S169" s="64"/>
      <c r="T169" s="64"/>
      <c r="U169" s="64"/>
      <c r="V169" s="64"/>
      <c r="W169" s="64"/>
      <c r="X169" s="64"/>
      <c r="Y169" s="64"/>
      <c r="Z169" s="64"/>
    </row>
    <row r="170">
      <c r="A170" s="64"/>
      <c r="B170" s="64"/>
      <c r="C170" s="64"/>
      <c r="D170" s="64"/>
      <c r="E170" s="64"/>
      <c r="F170" s="64"/>
      <c r="G170" s="64"/>
      <c r="H170" s="64"/>
      <c r="I170" s="64"/>
      <c r="J170" s="64"/>
      <c r="K170" s="64"/>
      <c r="L170" s="64"/>
      <c r="M170" s="64"/>
      <c r="N170" s="64"/>
      <c r="O170" s="64"/>
      <c r="P170" s="64"/>
      <c r="Q170" s="64"/>
      <c r="R170" s="64"/>
      <c r="S170" s="64"/>
      <c r="T170" s="64"/>
      <c r="U170" s="64"/>
      <c r="V170" s="64"/>
      <c r="W170" s="64"/>
      <c r="X170" s="64"/>
      <c r="Y170" s="64"/>
      <c r="Z170" s="64"/>
    </row>
    <row r="171">
      <c r="A171" s="64"/>
      <c r="B171" s="64"/>
      <c r="C171" s="64"/>
      <c r="D171" s="64"/>
      <c r="E171" s="64"/>
      <c r="F171" s="64"/>
      <c r="G171" s="64"/>
      <c r="H171" s="64"/>
      <c r="I171" s="64"/>
      <c r="J171" s="64"/>
      <c r="K171" s="64"/>
      <c r="L171" s="64"/>
      <c r="M171" s="64"/>
      <c r="N171" s="64"/>
      <c r="O171" s="64"/>
      <c r="P171" s="64"/>
      <c r="Q171" s="64"/>
      <c r="R171" s="64"/>
      <c r="S171" s="64"/>
      <c r="T171" s="64"/>
      <c r="U171" s="64"/>
      <c r="V171" s="64"/>
      <c r="W171" s="64"/>
      <c r="X171" s="64"/>
      <c r="Y171" s="64"/>
      <c r="Z171" s="64"/>
    </row>
    <row r="172">
      <c r="A172" s="64"/>
      <c r="B172" s="64"/>
      <c r="C172" s="64"/>
      <c r="D172" s="64"/>
      <c r="E172" s="64"/>
      <c r="F172" s="64"/>
      <c r="G172" s="64"/>
      <c r="H172" s="64"/>
      <c r="I172" s="64"/>
      <c r="J172" s="64"/>
      <c r="K172" s="64"/>
      <c r="L172" s="64"/>
      <c r="M172" s="64"/>
      <c r="N172" s="64"/>
      <c r="O172" s="64"/>
      <c r="P172" s="64"/>
      <c r="Q172" s="64"/>
      <c r="R172" s="64"/>
      <c r="S172" s="64"/>
      <c r="T172" s="64"/>
      <c r="U172" s="64"/>
      <c r="V172" s="64"/>
      <c r="W172" s="64"/>
      <c r="X172" s="64"/>
      <c r="Y172" s="64"/>
      <c r="Z172" s="64"/>
    </row>
    <row r="173">
      <c r="A173" s="64"/>
      <c r="B173" s="64"/>
      <c r="C173" s="64"/>
      <c r="D173" s="64"/>
      <c r="E173" s="64"/>
      <c r="F173" s="64"/>
      <c r="G173" s="64"/>
      <c r="H173" s="64"/>
      <c r="I173" s="64"/>
      <c r="J173" s="64"/>
      <c r="K173" s="64"/>
      <c r="L173" s="64"/>
      <c r="M173" s="64"/>
      <c r="N173" s="64"/>
      <c r="O173" s="64"/>
      <c r="P173" s="64"/>
      <c r="Q173" s="64"/>
      <c r="R173" s="64"/>
      <c r="S173" s="64"/>
      <c r="T173" s="64"/>
      <c r="U173" s="64"/>
      <c r="V173" s="64"/>
      <c r="W173" s="64"/>
      <c r="X173" s="64"/>
      <c r="Y173" s="64"/>
      <c r="Z173" s="64"/>
    </row>
    <row r="174">
      <c r="A174" s="64"/>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row>
    <row r="175">
      <c r="A175" s="64"/>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row>
    <row r="176">
      <c r="A176" s="64"/>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row>
    <row r="177">
      <c r="A177" s="64"/>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row>
    <row r="178">
      <c r="A178" s="64"/>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row>
    <row r="179">
      <c r="A179" s="64"/>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row>
    <row r="180">
      <c r="A180" s="64"/>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row>
    <row r="181">
      <c r="A181" s="64"/>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row>
    <row r="182">
      <c r="A182" s="64"/>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row>
    <row r="183">
      <c r="A183" s="64"/>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row>
    <row r="184">
      <c r="A184" s="64"/>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row>
    <row r="185">
      <c r="A185" s="64"/>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row>
    <row r="186">
      <c r="A186" s="64"/>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row>
    <row r="187">
      <c r="A187" s="64"/>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row>
    <row r="188">
      <c r="A188" s="64"/>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row>
    <row r="189">
      <c r="A189" s="64"/>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row>
    <row r="190">
      <c r="A190" s="64"/>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row>
    <row r="191">
      <c r="A191" s="64"/>
      <c r="B191" s="64"/>
      <c r="C191" s="64"/>
      <c r="D191" s="64"/>
      <c r="E191" s="64"/>
      <c r="F191" s="64"/>
      <c r="G191" s="64"/>
      <c r="H191" s="64"/>
      <c r="I191" s="64"/>
      <c r="J191" s="64"/>
      <c r="K191" s="64"/>
      <c r="L191" s="64"/>
      <c r="M191" s="64"/>
      <c r="N191" s="64"/>
      <c r="O191" s="64"/>
      <c r="P191" s="64"/>
      <c r="Q191" s="64"/>
      <c r="R191" s="64"/>
      <c r="S191" s="64"/>
      <c r="T191" s="64"/>
      <c r="U191" s="64"/>
      <c r="V191" s="64"/>
      <c r="W191" s="64"/>
      <c r="X191" s="64"/>
      <c r="Y191" s="64"/>
      <c r="Z191" s="64"/>
    </row>
    <row r="192">
      <c r="A192" s="64"/>
      <c r="B192" s="64"/>
      <c r="C192" s="64"/>
      <c r="D192" s="64"/>
      <c r="E192" s="64"/>
      <c r="F192" s="64"/>
      <c r="G192" s="64"/>
      <c r="H192" s="64"/>
      <c r="I192" s="64"/>
      <c r="J192" s="64"/>
      <c r="K192" s="64"/>
      <c r="L192" s="64"/>
      <c r="M192" s="64"/>
      <c r="N192" s="64"/>
      <c r="O192" s="64"/>
      <c r="P192" s="64"/>
      <c r="Q192" s="64"/>
      <c r="R192" s="64"/>
      <c r="S192" s="64"/>
      <c r="T192" s="64"/>
      <c r="U192" s="64"/>
      <c r="V192" s="64"/>
      <c r="W192" s="64"/>
      <c r="X192" s="64"/>
      <c r="Y192" s="64"/>
      <c r="Z192" s="64"/>
    </row>
    <row r="193">
      <c r="A193" s="64"/>
      <c r="B193" s="64"/>
      <c r="C193" s="64"/>
      <c r="D193" s="64"/>
      <c r="E193" s="64"/>
      <c r="F193" s="64"/>
      <c r="G193" s="64"/>
      <c r="H193" s="64"/>
      <c r="I193" s="64"/>
      <c r="J193" s="64"/>
      <c r="K193" s="64"/>
      <c r="L193" s="64"/>
      <c r="M193" s="64"/>
      <c r="N193" s="64"/>
      <c r="O193" s="64"/>
      <c r="P193" s="64"/>
      <c r="Q193" s="64"/>
      <c r="R193" s="64"/>
      <c r="S193" s="64"/>
      <c r="T193" s="64"/>
      <c r="U193" s="64"/>
      <c r="V193" s="64"/>
      <c r="W193" s="64"/>
      <c r="X193" s="64"/>
      <c r="Y193" s="64"/>
      <c r="Z193" s="64"/>
    </row>
    <row r="194">
      <c r="A194" s="64"/>
      <c r="B194" s="64"/>
      <c r="C194" s="64"/>
      <c r="D194" s="64"/>
      <c r="E194" s="64"/>
      <c r="F194" s="64"/>
      <c r="G194" s="64"/>
      <c r="H194" s="64"/>
      <c r="I194" s="64"/>
      <c r="J194" s="64"/>
      <c r="K194" s="64"/>
      <c r="L194" s="64"/>
      <c r="M194" s="64"/>
      <c r="N194" s="64"/>
      <c r="O194" s="64"/>
      <c r="P194" s="64"/>
      <c r="Q194" s="64"/>
      <c r="R194" s="64"/>
      <c r="S194" s="64"/>
      <c r="T194" s="64"/>
      <c r="U194" s="64"/>
      <c r="V194" s="64"/>
      <c r="W194" s="64"/>
      <c r="X194" s="64"/>
      <c r="Y194" s="64"/>
      <c r="Z194" s="64"/>
    </row>
    <row r="195">
      <c r="A195" s="64"/>
      <c r="B195" s="64"/>
      <c r="C195" s="64"/>
      <c r="D195" s="64"/>
      <c r="E195" s="64"/>
      <c r="F195" s="64"/>
      <c r="G195" s="64"/>
      <c r="H195" s="64"/>
      <c r="I195" s="64"/>
      <c r="J195" s="64"/>
      <c r="K195" s="64"/>
      <c r="L195" s="64"/>
      <c r="M195" s="64"/>
      <c r="N195" s="64"/>
      <c r="O195" s="64"/>
      <c r="P195" s="64"/>
      <c r="Q195" s="64"/>
      <c r="R195" s="64"/>
      <c r="S195" s="64"/>
      <c r="T195" s="64"/>
      <c r="U195" s="64"/>
      <c r="V195" s="64"/>
      <c r="W195" s="64"/>
      <c r="X195" s="64"/>
      <c r="Y195" s="64"/>
      <c r="Z195" s="64"/>
    </row>
    <row r="196">
      <c r="A196" s="64"/>
      <c r="B196" s="64"/>
      <c r="C196" s="64"/>
      <c r="D196" s="64"/>
      <c r="E196" s="64"/>
      <c r="F196" s="64"/>
      <c r="G196" s="64"/>
      <c r="H196" s="64"/>
      <c r="I196" s="64"/>
      <c r="J196" s="64"/>
      <c r="K196" s="64"/>
      <c r="L196" s="64"/>
      <c r="M196" s="64"/>
      <c r="N196" s="64"/>
      <c r="O196" s="64"/>
      <c r="P196" s="64"/>
      <c r="Q196" s="64"/>
      <c r="R196" s="64"/>
      <c r="S196" s="64"/>
      <c r="T196" s="64"/>
      <c r="U196" s="64"/>
      <c r="V196" s="64"/>
      <c r="W196" s="64"/>
      <c r="X196" s="64"/>
      <c r="Y196" s="64"/>
      <c r="Z196" s="64"/>
    </row>
    <row r="197">
      <c r="A197" s="64"/>
      <c r="B197" s="64"/>
      <c r="C197" s="64"/>
      <c r="D197" s="64"/>
      <c r="E197" s="64"/>
      <c r="F197" s="64"/>
      <c r="G197" s="64"/>
      <c r="H197" s="64"/>
      <c r="I197" s="64"/>
      <c r="J197" s="64"/>
      <c r="K197" s="64"/>
      <c r="L197" s="64"/>
      <c r="M197" s="64"/>
      <c r="N197" s="64"/>
      <c r="O197" s="64"/>
      <c r="P197" s="64"/>
      <c r="Q197" s="64"/>
      <c r="R197" s="64"/>
      <c r="S197" s="64"/>
      <c r="T197" s="64"/>
      <c r="U197" s="64"/>
      <c r="V197" s="64"/>
      <c r="W197" s="64"/>
      <c r="X197" s="64"/>
      <c r="Y197" s="64"/>
      <c r="Z197" s="64"/>
    </row>
    <row r="198">
      <c r="A198" s="64"/>
      <c r="B198" s="64"/>
      <c r="C198" s="64"/>
      <c r="D198" s="64"/>
      <c r="E198" s="64"/>
      <c r="F198" s="64"/>
      <c r="G198" s="64"/>
      <c r="H198" s="64"/>
      <c r="I198" s="64"/>
      <c r="J198" s="64"/>
      <c r="K198" s="64"/>
      <c r="L198" s="64"/>
      <c r="M198" s="64"/>
      <c r="N198" s="64"/>
      <c r="O198" s="64"/>
      <c r="P198" s="64"/>
      <c r="Q198" s="64"/>
      <c r="R198" s="64"/>
      <c r="S198" s="64"/>
      <c r="T198" s="64"/>
      <c r="U198" s="64"/>
      <c r="V198" s="64"/>
      <c r="W198" s="64"/>
      <c r="X198" s="64"/>
      <c r="Y198" s="64"/>
      <c r="Z198" s="64"/>
    </row>
    <row r="199">
      <c r="A199" s="64"/>
      <c r="B199" s="64"/>
      <c r="C199" s="64"/>
      <c r="D199" s="64"/>
      <c r="E199" s="64"/>
      <c r="F199" s="64"/>
      <c r="G199" s="64"/>
      <c r="H199" s="64"/>
      <c r="I199" s="64"/>
      <c r="J199" s="64"/>
      <c r="K199" s="64"/>
      <c r="L199" s="64"/>
      <c r="M199" s="64"/>
      <c r="N199" s="64"/>
      <c r="O199" s="64"/>
      <c r="P199" s="64"/>
      <c r="Q199" s="64"/>
      <c r="R199" s="64"/>
      <c r="S199" s="64"/>
      <c r="T199" s="64"/>
      <c r="U199" s="64"/>
      <c r="V199" s="64"/>
      <c r="W199" s="64"/>
      <c r="X199" s="64"/>
      <c r="Y199" s="64"/>
      <c r="Z199" s="64"/>
    </row>
    <row r="200">
      <c r="A200" s="64"/>
      <c r="B200" s="64"/>
      <c r="C200" s="64"/>
      <c r="D200" s="64"/>
      <c r="E200" s="64"/>
      <c r="F200" s="64"/>
      <c r="G200" s="64"/>
      <c r="H200" s="64"/>
      <c r="I200" s="64"/>
      <c r="J200" s="64"/>
      <c r="K200" s="64"/>
      <c r="L200" s="64"/>
      <c r="M200" s="64"/>
      <c r="N200" s="64"/>
      <c r="O200" s="64"/>
      <c r="P200" s="64"/>
      <c r="Q200" s="64"/>
      <c r="R200" s="64"/>
      <c r="S200" s="64"/>
      <c r="T200" s="64"/>
      <c r="U200" s="64"/>
      <c r="V200" s="64"/>
      <c r="W200" s="64"/>
      <c r="X200" s="64"/>
      <c r="Y200" s="64"/>
      <c r="Z200" s="64"/>
    </row>
    <row r="201">
      <c r="A201" s="64"/>
      <c r="B201" s="64"/>
      <c r="C201" s="64"/>
      <c r="D201" s="64"/>
      <c r="E201" s="64"/>
      <c r="F201" s="64"/>
      <c r="G201" s="64"/>
      <c r="H201" s="64"/>
      <c r="I201" s="64"/>
      <c r="J201" s="64"/>
      <c r="K201" s="64"/>
      <c r="L201" s="64"/>
      <c r="M201" s="64"/>
      <c r="N201" s="64"/>
      <c r="O201" s="64"/>
      <c r="P201" s="64"/>
      <c r="Q201" s="64"/>
      <c r="R201" s="64"/>
      <c r="S201" s="64"/>
      <c r="T201" s="64"/>
      <c r="U201" s="64"/>
      <c r="V201" s="64"/>
      <c r="W201" s="64"/>
      <c r="X201" s="64"/>
      <c r="Y201" s="64"/>
      <c r="Z201" s="64"/>
    </row>
    <row r="202">
      <c r="A202" s="64"/>
      <c r="B202" s="64"/>
      <c r="C202" s="64"/>
      <c r="D202" s="64"/>
      <c r="E202" s="64"/>
      <c r="F202" s="64"/>
      <c r="G202" s="64"/>
      <c r="H202" s="64"/>
      <c r="I202" s="64"/>
      <c r="J202" s="64"/>
      <c r="K202" s="64"/>
      <c r="L202" s="64"/>
      <c r="M202" s="64"/>
      <c r="N202" s="64"/>
      <c r="O202" s="64"/>
      <c r="P202" s="64"/>
      <c r="Q202" s="64"/>
      <c r="R202" s="64"/>
      <c r="S202" s="64"/>
      <c r="T202" s="64"/>
      <c r="U202" s="64"/>
      <c r="V202" s="64"/>
      <c r="W202" s="64"/>
      <c r="X202" s="64"/>
      <c r="Y202" s="64"/>
      <c r="Z202" s="64"/>
    </row>
    <row r="203">
      <c r="A203" s="64"/>
      <c r="B203" s="64"/>
      <c r="C203" s="64"/>
      <c r="D203" s="64"/>
      <c r="E203" s="64"/>
      <c r="F203" s="64"/>
      <c r="G203" s="64"/>
      <c r="H203" s="64"/>
      <c r="I203" s="64"/>
      <c r="J203" s="64"/>
      <c r="K203" s="64"/>
      <c r="L203" s="64"/>
      <c r="M203" s="64"/>
      <c r="N203" s="64"/>
      <c r="O203" s="64"/>
      <c r="P203" s="64"/>
      <c r="Q203" s="64"/>
      <c r="R203" s="64"/>
      <c r="S203" s="64"/>
      <c r="T203" s="64"/>
      <c r="U203" s="64"/>
      <c r="V203" s="64"/>
      <c r="W203" s="64"/>
      <c r="X203" s="64"/>
      <c r="Y203" s="64"/>
      <c r="Z203" s="64"/>
    </row>
    <row r="204">
      <c r="A204" s="64"/>
      <c r="B204" s="64"/>
      <c r="C204" s="64"/>
      <c r="D204" s="64"/>
      <c r="E204" s="64"/>
      <c r="F204" s="64"/>
      <c r="G204" s="64"/>
      <c r="H204" s="64"/>
      <c r="I204" s="64"/>
      <c r="J204" s="64"/>
      <c r="K204" s="64"/>
      <c r="L204" s="64"/>
      <c r="M204" s="64"/>
      <c r="N204" s="64"/>
      <c r="O204" s="64"/>
      <c r="P204" s="64"/>
      <c r="Q204" s="64"/>
      <c r="R204" s="64"/>
      <c r="S204" s="64"/>
      <c r="T204" s="64"/>
      <c r="U204" s="64"/>
      <c r="V204" s="64"/>
      <c r="W204" s="64"/>
      <c r="X204" s="64"/>
      <c r="Y204" s="64"/>
      <c r="Z204" s="64"/>
    </row>
    <row r="205">
      <c r="A205" s="64"/>
      <c r="B205" s="64"/>
      <c r="C205" s="64"/>
      <c r="D205" s="64"/>
      <c r="E205" s="64"/>
      <c r="F205" s="64"/>
      <c r="G205" s="64"/>
      <c r="H205" s="64"/>
      <c r="I205" s="64"/>
      <c r="J205" s="64"/>
      <c r="K205" s="64"/>
      <c r="L205" s="64"/>
      <c r="M205" s="64"/>
      <c r="N205" s="64"/>
      <c r="O205" s="64"/>
      <c r="P205" s="64"/>
      <c r="Q205" s="64"/>
      <c r="R205" s="64"/>
      <c r="S205" s="64"/>
      <c r="T205" s="64"/>
      <c r="U205" s="64"/>
      <c r="V205" s="64"/>
      <c r="W205" s="64"/>
      <c r="X205" s="64"/>
      <c r="Y205" s="64"/>
      <c r="Z205" s="64"/>
    </row>
    <row r="206">
      <c r="A206" s="64"/>
      <c r="B206" s="64"/>
      <c r="C206" s="64"/>
      <c r="D206" s="64"/>
      <c r="E206" s="64"/>
      <c r="F206" s="64"/>
      <c r="G206" s="64"/>
      <c r="H206" s="64"/>
      <c r="I206" s="64"/>
      <c r="J206" s="64"/>
      <c r="K206" s="64"/>
      <c r="L206" s="64"/>
      <c r="M206" s="64"/>
      <c r="N206" s="64"/>
      <c r="O206" s="64"/>
      <c r="P206" s="64"/>
      <c r="Q206" s="64"/>
      <c r="R206" s="64"/>
      <c r="S206" s="64"/>
      <c r="T206" s="64"/>
      <c r="U206" s="64"/>
      <c r="V206" s="64"/>
      <c r="W206" s="64"/>
      <c r="X206" s="64"/>
      <c r="Y206" s="64"/>
      <c r="Z206" s="64"/>
    </row>
    <row r="207">
      <c r="A207" s="64"/>
      <c r="B207" s="64"/>
      <c r="C207" s="64"/>
      <c r="D207" s="64"/>
      <c r="E207" s="64"/>
      <c r="F207" s="64"/>
      <c r="G207" s="64"/>
      <c r="H207" s="64"/>
      <c r="I207" s="64"/>
      <c r="J207" s="64"/>
      <c r="K207" s="64"/>
      <c r="L207" s="64"/>
      <c r="M207" s="64"/>
      <c r="N207" s="64"/>
      <c r="O207" s="64"/>
      <c r="P207" s="64"/>
      <c r="Q207" s="64"/>
      <c r="R207" s="64"/>
      <c r="S207" s="64"/>
      <c r="T207" s="64"/>
      <c r="U207" s="64"/>
      <c r="V207" s="64"/>
      <c r="W207" s="64"/>
      <c r="X207" s="64"/>
      <c r="Y207" s="64"/>
      <c r="Z207" s="64"/>
    </row>
    <row r="208">
      <c r="A208" s="64"/>
      <c r="B208" s="64"/>
      <c r="C208" s="64"/>
      <c r="D208" s="64"/>
      <c r="E208" s="64"/>
      <c r="F208" s="64"/>
      <c r="G208" s="64"/>
      <c r="H208" s="64"/>
      <c r="I208" s="64"/>
      <c r="J208" s="64"/>
      <c r="K208" s="64"/>
      <c r="L208" s="64"/>
      <c r="M208" s="64"/>
      <c r="N208" s="64"/>
      <c r="O208" s="64"/>
      <c r="P208" s="64"/>
      <c r="Q208" s="64"/>
      <c r="R208" s="64"/>
      <c r="S208" s="64"/>
      <c r="T208" s="64"/>
      <c r="U208" s="64"/>
      <c r="V208" s="64"/>
      <c r="W208" s="64"/>
      <c r="X208" s="64"/>
      <c r="Y208" s="64"/>
      <c r="Z208" s="64"/>
    </row>
    <row r="209">
      <c r="A209" s="64"/>
      <c r="B209" s="64"/>
      <c r="C209" s="64"/>
      <c r="D209" s="64"/>
      <c r="E209" s="64"/>
      <c r="F209" s="64"/>
      <c r="G209" s="64"/>
      <c r="H209" s="64"/>
      <c r="I209" s="64"/>
      <c r="J209" s="64"/>
      <c r="K209" s="64"/>
      <c r="L209" s="64"/>
      <c r="M209" s="64"/>
      <c r="N209" s="64"/>
      <c r="O209" s="64"/>
      <c r="P209" s="64"/>
      <c r="Q209" s="64"/>
      <c r="R209" s="64"/>
      <c r="S209" s="64"/>
      <c r="T209" s="64"/>
      <c r="U209" s="64"/>
      <c r="V209" s="64"/>
      <c r="W209" s="64"/>
      <c r="X209" s="64"/>
      <c r="Y209" s="64"/>
      <c r="Z209" s="64"/>
    </row>
    <row r="210">
      <c r="A210" s="64"/>
      <c r="B210" s="64"/>
      <c r="C210" s="64"/>
      <c r="D210" s="64"/>
      <c r="E210" s="64"/>
      <c r="F210" s="64"/>
      <c r="G210" s="64"/>
      <c r="H210" s="64"/>
      <c r="I210" s="64"/>
      <c r="J210" s="64"/>
      <c r="K210" s="64"/>
      <c r="L210" s="64"/>
      <c r="M210" s="64"/>
      <c r="N210" s="64"/>
      <c r="O210" s="64"/>
      <c r="P210" s="64"/>
      <c r="Q210" s="64"/>
      <c r="R210" s="64"/>
      <c r="S210" s="64"/>
      <c r="T210" s="64"/>
      <c r="U210" s="64"/>
      <c r="V210" s="64"/>
      <c r="W210" s="64"/>
      <c r="X210" s="64"/>
      <c r="Y210" s="64"/>
      <c r="Z210" s="64"/>
    </row>
    <row r="211">
      <c r="A211" s="64"/>
      <c r="B211" s="64"/>
      <c r="C211" s="64"/>
      <c r="D211" s="64"/>
      <c r="E211" s="64"/>
      <c r="F211" s="64"/>
      <c r="G211" s="64"/>
      <c r="H211" s="64"/>
      <c r="I211" s="64"/>
      <c r="J211" s="64"/>
      <c r="K211" s="64"/>
      <c r="L211" s="64"/>
      <c r="M211" s="64"/>
      <c r="N211" s="64"/>
      <c r="O211" s="64"/>
      <c r="P211" s="64"/>
      <c r="Q211" s="64"/>
      <c r="R211" s="64"/>
      <c r="S211" s="64"/>
      <c r="T211" s="64"/>
      <c r="U211" s="64"/>
      <c r="V211" s="64"/>
      <c r="W211" s="64"/>
      <c r="X211" s="64"/>
      <c r="Y211" s="64"/>
      <c r="Z211" s="64"/>
    </row>
    <row r="212">
      <c r="A212" s="64"/>
      <c r="B212" s="64"/>
      <c r="C212" s="64"/>
      <c r="D212" s="64"/>
      <c r="E212" s="64"/>
      <c r="F212" s="64"/>
      <c r="G212" s="64"/>
      <c r="H212" s="64"/>
      <c r="I212" s="64"/>
      <c r="J212" s="64"/>
      <c r="K212" s="64"/>
      <c r="L212" s="64"/>
      <c r="M212" s="64"/>
      <c r="N212" s="64"/>
      <c r="O212" s="64"/>
      <c r="P212" s="64"/>
      <c r="Q212" s="64"/>
      <c r="R212" s="64"/>
      <c r="S212" s="64"/>
      <c r="T212" s="64"/>
      <c r="U212" s="64"/>
      <c r="V212" s="64"/>
      <c r="W212" s="64"/>
      <c r="X212" s="64"/>
      <c r="Y212" s="64"/>
      <c r="Z212" s="64"/>
    </row>
    <row r="213">
      <c r="A213" s="64"/>
      <c r="B213" s="64"/>
      <c r="C213" s="64"/>
      <c r="D213" s="64"/>
      <c r="E213" s="64"/>
      <c r="F213" s="64"/>
      <c r="G213" s="64"/>
      <c r="H213" s="64"/>
      <c r="I213" s="64"/>
      <c r="J213" s="64"/>
      <c r="K213" s="64"/>
      <c r="L213" s="64"/>
      <c r="M213" s="64"/>
      <c r="N213" s="64"/>
      <c r="O213" s="64"/>
      <c r="P213" s="64"/>
      <c r="Q213" s="64"/>
      <c r="R213" s="64"/>
      <c r="S213" s="64"/>
      <c r="T213" s="64"/>
      <c r="U213" s="64"/>
      <c r="V213" s="64"/>
      <c r="W213" s="64"/>
      <c r="X213" s="64"/>
      <c r="Y213" s="64"/>
      <c r="Z213" s="64"/>
    </row>
    <row r="214">
      <c r="A214" s="64"/>
      <c r="B214" s="64"/>
      <c r="C214" s="64"/>
      <c r="D214" s="64"/>
      <c r="E214" s="64"/>
      <c r="F214" s="64"/>
      <c r="G214" s="64"/>
      <c r="H214" s="64"/>
      <c r="I214" s="64"/>
      <c r="J214" s="64"/>
      <c r="K214" s="64"/>
      <c r="L214" s="64"/>
      <c r="M214" s="64"/>
      <c r="N214" s="64"/>
      <c r="O214" s="64"/>
      <c r="P214" s="64"/>
      <c r="Q214" s="64"/>
      <c r="R214" s="64"/>
      <c r="S214" s="64"/>
      <c r="T214" s="64"/>
      <c r="U214" s="64"/>
      <c r="V214" s="64"/>
      <c r="W214" s="64"/>
      <c r="X214" s="64"/>
      <c r="Y214" s="64"/>
      <c r="Z214" s="64"/>
    </row>
    <row r="215">
      <c r="A215" s="64"/>
      <c r="B215" s="64"/>
      <c r="C215" s="64"/>
      <c r="D215" s="64"/>
      <c r="E215" s="64"/>
      <c r="F215" s="64"/>
      <c r="G215" s="64"/>
      <c r="H215" s="64"/>
      <c r="I215" s="64"/>
      <c r="J215" s="64"/>
      <c r="K215" s="64"/>
      <c r="L215" s="64"/>
      <c r="M215" s="64"/>
      <c r="N215" s="64"/>
      <c r="O215" s="64"/>
      <c r="P215" s="64"/>
      <c r="Q215" s="64"/>
      <c r="R215" s="64"/>
      <c r="S215" s="64"/>
      <c r="T215" s="64"/>
      <c r="U215" s="64"/>
      <c r="V215" s="64"/>
      <c r="W215" s="64"/>
      <c r="X215" s="64"/>
      <c r="Y215" s="64"/>
      <c r="Z215" s="64"/>
    </row>
    <row r="216">
      <c r="A216" s="64"/>
      <c r="B216" s="64"/>
      <c r="C216" s="64"/>
      <c r="D216" s="64"/>
      <c r="E216" s="64"/>
      <c r="F216" s="64"/>
      <c r="G216" s="64"/>
      <c r="H216" s="64"/>
      <c r="I216" s="64"/>
      <c r="J216" s="64"/>
      <c r="K216" s="64"/>
      <c r="L216" s="64"/>
      <c r="M216" s="64"/>
      <c r="N216" s="64"/>
      <c r="O216" s="64"/>
      <c r="P216" s="64"/>
      <c r="Q216" s="64"/>
      <c r="R216" s="64"/>
      <c r="S216" s="64"/>
      <c r="T216" s="64"/>
      <c r="U216" s="64"/>
      <c r="V216" s="64"/>
      <c r="W216" s="64"/>
      <c r="X216" s="64"/>
      <c r="Y216" s="64"/>
      <c r="Z216" s="64"/>
    </row>
    <row r="217">
      <c r="A217" s="64"/>
      <c r="B217" s="64"/>
      <c r="C217" s="64"/>
      <c r="D217" s="64"/>
      <c r="E217" s="64"/>
      <c r="F217" s="64"/>
      <c r="G217" s="64"/>
      <c r="H217" s="64"/>
      <c r="I217" s="64"/>
      <c r="J217" s="64"/>
      <c r="K217" s="64"/>
      <c r="L217" s="64"/>
      <c r="M217" s="64"/>
      <c r="N217" s="64"/>
      <c r="O217" s="64"/>
      <c r="P217" s="64"/>
      <c r="Q217" s="64"/>
      <c r="R217" s="64"/>
      <c r="S217" s="64"/>
      <c r="T217" s="64"/>
      <c r="U217" s="64"/>
      <c r="V217" s="64"/>
      <c r="W217" s="64"/>
      <c r="X217" s="64"/>
      <c r="Y217" s="64"/>
      <c r="Z217" s="64"/>
    </row>
    <row r="218">
      <c r="A218" s="64"/>
      <c r="B218" s="64"/>
      <c r="C218" s="64"/>
      <c r="D218" s="64"/>
      <c r="E218" s="64"/>
      <c r="F218" s="64"/>
      <c r="G218" s="64"/>
      <c r="H218" s="64"/>
      <c r="I218" s="64"/>
      <c r="J218" s="64"/>
      <c r="K218" s="64"/>
      <c r="L218" s="64"/>
      <c r="M218" s="64"/>
      <c r="N218" s="64"/>
      <c r="O218" s="64"/>
      <c r="P218" s="64"/>
      <c r="Q218" s="64"/>
      <c r="R218" s="64"/>
      <c r="S218" s="64"/>
      <c r="T218" s="64"/>
      <c r="U218" s="64"/>
      <c r="V218" s="64"/>
      <c r="W218" s="64"/>
      <c r="X218" s="64"/>
      <c r="Y218" s="64"/>
      <c r="Z218" s="64"/>
    </row>
    <row r="219">
      <c r="A219" s="64"/>
      <c r="B219" s="64"/>
      <c r="C219" s="64"/>
      <c r="D219" s="64"/>
      <c r="E219" s="64"/>
      <c r="F219" s="64"/>
      <c r="G219" s="64"/>
      <c r="H219" s="64"/>
      <c r="I219" s="64"/>
      <c r="J219" s="64"/>
      <c r="K219" s="64"/>
      <c r="L219" s="64"/>
      <c r="M219" s="64"/>
      <c r="N219" s="64"/>
      <c r="O219" s="64"/>
      <c r="P219" s="64"/>
      <c r="Q219" s="64"/>
      <c r="R219" s="64"/>
      <c r="S219" s="64"/>
      <c r="T219" s="64"/>
      <c r="U219" s="64"/>
      <c r="V219" s="64"/>
      <c r="W219" s="64"/>
      <c r="X219" s="64"/>
      <c r="Y219" s="64"/>
      <c r="Z219" s="64"/>
    </row>
    <row r="220">
      <c r="A220" s="64"/>
      <c r="B220" s="64"/>
      <c r="C220" s="64"/>
      <c r="D220" s="64"/>
      <c r="E220" s="64"/>
      <c r="F220" s="64"/>
      <c r="G220" s="64"/>
      <c r="H220" s="64"/>
      <c r="I220" s="64"/>
      <c r="J220" s="64"/>
      <c r="K220" s="64"/>
      <c r="L220" s="64"/>
      <c r="M220" s="64"/>
      <c r="N220" s="64"/>
      <c r="O220" s="64"/>
      <c r="P220" s="64"/>
      <c r="Q220" s="64"/>
      <c r="R220" s="64"/>
      <c r="S220" s="64"/>
      <c r="T220" s="64"/>
      <c r="U220" s="64"/>
      <c r="V220" s="64"/>
      <c r="W220" s="64"/>
      <c r="X220" s="64"/>
      <c r="Y220" s="64"/>
      <c r="Z220" s="64"/>
    </row>
    <row r="221">
      <c r="A221" s="64"/>
      <c r="B221" s="64"/>
      <c r="C221" s="64"/>
      <c r="D221" s="64"/>
      <c r="E221" s="64"/>
      <c r="F221" s="64"/>
      <c r="G221" s="64"/>
      <c r="H221" s="64"/>
      <c r="I221" s="64"/>
      <c r="J221" s="64"/>
      <c r="K221" s="64"/>
      <c r="L221" s="64"/>
      <c r="M221" s="64"/>
      <c r="N221" s="64"/>
      <c r="O221" s="64"/>
      <c r="P221" s="64"/>
      <c r="Q221" s="64"/>
      <c r="R221" s="64"/>
      <c r="S221" s="64"/>
      <c r="T221" s="64"/>
      <c r="U221" s="64"/>
      <c r="V221" s="64"/>
      <c r="W221" s="64"/>
      <c r="X221" s="64"/>
      <c r="Y221" s="64"/>
      <c r="Z221" s="64"/>
    </row>
    <row r="222">
      <c r="A222" s="64"/>
      <c r="B222" s="64"/>
      <c r="C222" s="64"/>
      <c r="D222" s="64"/>
      <c r="E222" s="64"/>
      <c r="F222" s="64"/>
      <c r="G222" s="64"/>
      <c r="H222" s="64"/>
      <c r="I222" s="64"/>
      <c r="J222" s="64"/>
      <c r="K222" s="64"/>
      <c r="L222" s="64"/>
      <c r="M222" s="64"/>
      <c r="N222" s="64"/>
      <c r="O222" s="64"/>
      <c r="P222" s="64"/>
      <c r="Q222" s="64"/>
      <c r="R222" s="64"/>
      <c r="S222" s="64"/>
      <c r="T222" s="64"/>
      <c r="U222" s="64"/>
      <c r="V222" s="64"/>
      <c r="W222" s="64"/>
      <c r="X222" s="64"/>
      <c r="Y222" s="64"/>
      <c r="Z222" s="64"/>
    </row>
    <row r="223">
      <c r="A223" s="64"/>
      <c r="B223" s="64"/>
      <c r="C223" s="64"/>
      <c r="D223" s="64"/>
      <c r="E223" s="64"/>
      <c r="F223" s="64"/>
      <c r="G223" s="64"/>
      <c r="H223" s="64"/>
      <c r="I223" s="64"/>
      <c r="J223" s="64"/>
      <c r="K223" s="64"/>
      <c r="L223" s="64"/>
      <c r="M223" s="64"/>
      <c r="N223" s="64"/>
      <c r="O223" s="64"/>
      <c r="P223" s="64"/>
      <c r="Q223" s="64"/>
      <c r="R223" s="64"/>
      <c r="S223" s="64"/>
      <c r="T223" s="64"/>
      <c r="U223" s="64"/>
      <c r="V223" s="64"/>
      <c r="W223" s="64"/>
      <c r="X223" s="64"/>
      <c r="Y223" s="64"/>
      <c r="Z223" s="64"/>
    </row>
    <row r="224">
      <c r="A224" s="64"/>
      <c r="B224" s="64"/>
      <c r="C224" s="64"/>
      <c r="D224" s="64"/>
      <c r="E224" s="64"/>
      <c r="F224" s="64"/>
      <c r="G224" s="64"/>
      <c r="H224" s="64"/>
      <c r="I224" s="64"/>
      <c r="J224" s="64"/>
      <c r="K224" s="64"/>
      <c r="L224" s="64"/>
      <c r="M224" s="64"/>
      <c r="N224" s="64"/>
      <c r="O224" s="64"/>
      <c r="P224" s="64"/>
      <c r="Q224" s="64"/>
      <c r="R224" s="64"/>
      <c r="S224" s="64"/>
      <c r="T224" s="64"/>
      <c r="U224" s="64"/>
      <c r="V224" s="64"/>
      <c r="W224" s="64"/>
      <c r="X224" s="64"/>
      <c r="Y224" s="64"/>
      <c r="Z224" s="64"/>
    </row>
    <row r="225">
      <c r="A225" s="64"/>
      <c r="B225" s="64"/>
      <c r="C225" s="64"/>
      <c r="D225" s="64"/>
      <c r="E225" s="64"/>
      <c r="F225" s="64"/>
      <c r="G225" s="64"/>
      <c r="H225" s="64"/>
      <c r="I225" s="64"/>
      <c r="J225" s="64"/>
      <c r="K225" s="64"/>
      <c r="L225" s="64"/>
      <c r="M225" s="64"/>
      <c r="N225" s="64"/>
      <c r="O225" s="64"/>
      <c r="P225" s="64"/>
      <c r="Q225" s="64"/>
      <c r="R225" s="64"/>
      <c r="S225" s="64"/>
      <c r="T225" s="64"/>
      <c r="U225" s="64"/>
      <c r="V225" s="64"/>
      <c r="W225" s="64"/>
      <c r="X225" s="64"/>
      <c r="Y225" s="64"/>
      <c r="Z225" s="64"/>
    </row>
    <row r="226">
      <c r="A226" s="64"/>
      <c r="B226" s="64"/>
      <c r="C226" s="64"/>
      <c r="D226" s="64"/>
      <c r="E226" s="64"/>
      <c r="F226" s="64"/>
      <c r="G226" s="64"/>
      <c r="H226" s="64"/>
      <c r="I226" s="64"/>
      <c r="J226" s="64"/>
      <c r="K226" s="64"/>
      <c r="L226" s="64"/>
      <c r="M226" s="64"/>
      <c r="N226" s="64"/>
      <c r="O226" s="64"/>
      <c r="P226" s="64"/>
      <c r="Q226" s="64"/>
      <c r="R226" s="64"/>
      <c r="S226" s="64"/>
      <c r="T226" s="64"/>
      <c r="U226" s="64"/>
      <c r="V226" s="64"/>
      <c r="W226" s="64"/>
      <c r="X226" s="64"/>
      <c r="Y226" s="64"/>
      <c r="Z226" s="64"/>
    </row>
    <row r="227">
      <c r="A227" s="64"/>
      <c r="B227" s="64"/>
      <c r="C227" s="64"/>
      <c r="D227" s="64"/>
      <c r="E227" s="64"/>
      <c r="F227" s="64"/>
      <c r="G227" s="64"/>
      <c r="H227" s="64"/>
      <c r="I227" s="64"/>
      <c r="J227" s="64"/>
      <c r="K227" s="64"/>
      <c r="L227" s="64"/>
      <c r="M227" s="64"/>
      <c r="N227" s="64"/>
      <c r="O227" s="64"/>
      <c r="P227" s="64"/>
      <c r="Q227" s="64"/>
      <c r="R227" s="64"/>
      <c r="S227" s="64"/>
      <c r="T227" s="64"/>
      <c r="U227" s="64"/>
      <c r="V227" s="64"/>
      <c r="W227" s="64"/>
      <c r="X227" s="64"/>
      <c r="Y227" s="64"/>
      <c r="Z227" s="64"/>
    </row>
    <row r="228">
      <c r="A228" s="64"/>
      <c r="B228" s="64"/>
      <c r="C228" s="64"/>
      <c r="D228" s="64"/>
      <c r="E228" s="64"/>
      <c r="F228" s="64"/>
      <c r="G228" s="64"/>
      <c r="H228" s="64"/>
      <c r="I228" s="64"/>
      <c r="J228" s="64"/>
      <c r="K228" s="64"/>
      <c r="L228" s="64"/>
      <c r="M228" s="64"/>
      <c r="N228" s="64"/>
      <c r="O228" s="64"/>
      <c r="P228" s="64"/>
      <c r="Q228" s="64"/>
      <c r="R228" s="64"/>
      <c r="S228" s="64"/>
      <c r="T228" s="64"/>
      <c r="U228" s="64"/>
      <c r="V228" s="64"/>
      <c r="W228" s="64"/>
      <c r="X228" s="64"/>
      <c r="Y228" s="64"/>
      <c r="Z228" s="64"/>
    </row>
    <row r="229">
      <c r="A229" s="64"/>
      <c r="B229" s="64"/>
      <c r="C229" s="64"/>
      <c r="D229" s="64"/>
      <c r="E229" s="64"/>
      <c r="F229" s="64"/>
      <c r="G229" s="64"/>
      <c r="H229" s="64"/>
      <c r="I229" s="64"/>
      <c r="J229" s="64"/>
      <c r="K229" s="64"/>
      <c r="L229" s="64"/>
      <c r="M229" s="64"/>
      <c r="N229" s="64"/>
      <c r="O229" s="64"/>
      <c r="P229" s="64"/>
      <c r="Q229" s="64"/>
      <c r="R229" s="64"/>
      <c r="S229" s="64"/>
      <c r="T229" s="64"/>
      <c r="U229" s="64"/>
      <c r="V229" s="64"/>
      <c r="W229" s="64"/>
      <c r="X229" s="64"/>
      <c r="Y229" s="64"/>
      <c r="Z229" s="64"/>
    </row>
    <row r="230">
      <c r="A230" s="64"/>
      <c r="B230" s="64"/>
      <c r="C230" s="64"/>
      <c r="D230" s="64"/>
      <c r="E230" s="64"/>
      <c r="F230" s="64"/>
      <c r="G230" s="64"/>
      <c r="H230" s="64"/>
      <c r="I230" s="64"/>
      <c r="J230" s="64"/>
      <c r="K230" s="64"/>
      <c r="L230" s="64"/>
      <c r="M230" s="64"/>
      <c r="N230" s="64"/>
      <c r="O230" s="64"/>
      <c r="P230" s="64"/>
      <c r="Q230" s="64"/>
      <c r="R230" s="64"/>
      <c r="S230" s="64"/>
      <c r="T230" s="64"/>
      <c r="U230" s="64"/>
      <c r="V230" s="64"/>
      <c r="W230" s="64"/>
      <c r="X230" s="64"/>
      <c r="Y230" s="64"/>
      <c r="Z230" s="64"/>
    </row>
    <row r="231">
      <c r="A231" s="64"/>
      <c r="B231" s="64"/>
      <c r="C231" s="64"/>
      <c r="D231" s="64"/>
      <c r="E231" s="64"/>
      <c r="F231" s="64"/>
      <c r="G231" s="64"/>
      <c r="H231" s="64"/>
      <c r="I231" s="64"/>
      <c r="J231" s="64"/>
      <c r="K231" s="64"/>
      <c r="L231" s="64"/>
      <c r="M231" s="64"/>
      <c r="N231" s="64"/>
      <c r="O231" s="64"/>
      <c r="P231" s="64"/>
      <c r="Q231" s="64"/>
      <c r="R231" s="64"/>
      <c r="S231" s="64"/>
      <c r="T231" s="64"/>
      <c r="U231" s="64"/>
      <c r="V231" s="64"/>
      <c r="W231" s="64"/>
      <c r="X231" s="64"/>
      <c r="Y231" s="64"/>
      <c r="Z231" s="64"/>
    </row>
    <row r="232">
      <c r="A232" s="64"/>
      <c r="B232" s="64"/>
      <c r="C232" s="64"/>
      <c r="D232" s="64"/>
      <c r="E232" s="64"/>
      <c r="F232" s="64"/>
      <c r="G232" s="64"/>
      <c r="H232" s="64"/>
      <c r="I232" s="64"/>
      <c r="J232" s="64"/>
      <c r="K232" s="64"/>
      <c r="L232" s="64"/>
      <c r="M232" s="64"/>
      <c r="N232" s="64"/>
      <c r="O232" s="64"/>
      <c r="P232" s="64"/>
      <c r="Q232" s="64"/>
      <c r="R232" s="64"/>
      <c r="S232" s="64"/>
      <c r="T232" s="64"/>
      <c r="U232" s="64"/>
      <c r="V232" s="64"/>
      <c r="W232" s="64"/>
      <c r="X232" s="64"/>
      <c r="Y232" s="64"/>
      <c r="Z232" s="64"/>
    </row>
    <row r="233">
      <c r="A233" s="64"/>
      <c r="B233" s="64"/>
      <c r="C233" s="64"/>
      <c r="D233" s="64"/>
      <c r="E233" s="64"/>
      <c r="F233" s="64"/>
      <c r="G233" s="64"/>
      <c r="H233" s="64"/>
      <c r="I233" s="64"/>
      <c r="J233" s="64"/>
      <c r="K233" s="64"/>
      <c r="L233" s="64"/>
      <c r="M233" s="64"/>
      <c r="N233" s="64"/>
      <c r="O233" s="64"/>
      <c r="P233" s="64"/>
      <c r="Q233" s="64"/>
      <c r="R233" s="64"/>
      <c r="S233" s="64"/>
      <c r="T233" s="64"/>
      <c r="U233" s="64"/>
      <c r="V233" s="64"/>
      <c r="W233" s="64"/>
      <c r="X233" s="64"/>
      <c r="Y233" s="64"/>
      <c r="Z233" s="64"/>
    </row>
    <row r="234">
      <c r="A234" s="64"/>
      <c r="B234" s="64"/>
      <c r="C234" s="64"/>
      <c r="D234" s="64"/>
      <c r="E234" s="64"/>
      <c r="F234" s="64"/>
      <c r="G234" s="64"/>
      <c r="H234" s="64"/>
      <c r="I234" s="64"/>
      <c r="J234" s="64"/>
      <c r="K234" s="64"/>
      <c r="L234" s="64"/>
      <c r="M234" s="64"/>
      <c r="N234" s="64"/>
      <c r="O234" s="64"/>
      <c r="P234" s="64"/>
      <c r="Q234" s="64"/>
      <c r="R234" s="64"/>
      <c r="S234" s="64"/>
      <c r="T234" s="64"/>
      <c r="U234" s="64"/>
      <c r="V234" s="64"/>
      <c r="W234" s="64"/>
      <c r="X234" s="64"/>
      <c r="Y234" s="64"/>
      <c r="Z234" s="64"/>
    </row>
    <row r="235">
      <c r="A235" s="64"/>
      <c r="B235" s="64"/>
      <c r="C235" s="64"/>
      <c r="D235" s="64"/>
      <c r="E235" s="64"/>
      <c r="F235" s="64"/>
      <c r="G235" s="64"/>
      <c r="H235" s="64"/>
      <c r="I235" s="64"/>
      <c r="J235" s="64"/>
      <c r="K235" s="64"/>
      <c r="L235" s="64"/>
      <c r="M235" s="64"/>
      <c r="N235" s="64"/>
      <c r="O235" s="64"/>
      <c r="P235" s="64"/>
      <c r="Q235" s="64"/>
      <c r="R235" s="64"/>
      <c r="S235" s="64"/>
      <c r="T235" s="64"/>
      <c r="U235" s="64"/>
      <c r="V235" s="64"/>
      <c r="W235" s="64"/>
      <c r="X235" s="64"/>
      <c r="Y235" s="64"/>
      <c r="Z235" s="64"/>
    </row>
    <row r="236">
      <c r="A236" s="64"/>
      <c r="B236" s="64"/>
      <c r="C236" s="64"/>
      <c r="D236" s="64"/>
      <c r="E236" s="64"/>
      <c r="F236" s="64"/>
      <c r="G236" s="64"/>
      <c r="H236" s="64"/>
      <c r="I236" s="64"/>
      <c r="J236" s="64"/>
      <c r="K236" s="64"/>
      <c r="L236" s="64"/>
      <c r="M236" s="64"/>
      <c r="N236" s="64"/>
      <c r="O236" s="64"/>
      <c r="P236" s="64"/>
      <c r="Q236" s="64"/>
      <c r="R236" s="64"/>
      <c r="S236" s="64"/>
      <c r="T236" s="64"/>
      <c r="U236" s="64"/>
      <c r="V236" s="64"/>
      <c r="W236" s="64"/>
      <c r="X236" s="64"/>
      <c r="Y236" s="64"/>
      <c r="Z236" s="64"/>
    </row>
    <row r="237">
      <c r="A237" s="64"/>
      <c r="B237" s="64"/>
      <c r="C237" s="64"/>
      <c r="D237" s="64"/>
      <c r="E237" s="64"/>
      <c r="F237" s="64"/>
      <c r="G237" s="64"/>
      <c r="H237" s="64"/>
      <c r="I237" s="64"/>
      <c r="J237" s="64"/>
      <c r="K237" s="64"/>
      <c r="L237" s="64"/>
      <c r="M237" s="64"/>
      <c r="N237" s="64"/>
      <c r="O237" s="64"/>
      <c r="P237" s="64"/>
      <c r="Q237" s="64"/>
      <c r="R237" s="64"/>
      <c r="S237" s="64"/>
      <c r="T237" s="64"/>
      <c r="U237" s="64"/>
      <c r="V237" s="64"/>
      <c r="W237" s="64"/>
      <c r="X237" s="64"/>
      <c r="Y237" s="64"/>
      <c r="Z237" s="64"/>
    </row>
    <row r="238">
      <c r="A238" s="64"/>
      <c r="B238" s="64"/>
      <c r="C238" s="64"/>
      <c r="D238" s="64"/>
      <c r="E238" s="64"/>
      <c r="F238" s="64"/>
      <c r="G238" s="64"/>
      <c r="H238" s="64"/>
      <c r="I238" s="64"/>
      <c r="J238" s="64"/>
      <c r="K238" s="64"/>
      <c r="L238" s="64"/>
      <c r="M238" s="64"/>
      <c r="N238" s="64"/>
      <c r="O238" s="64"/>
      <c r="P238" s="64"/>
      <c r="Q238" s="64"/>
      <c r="R238" s="64"/>
      <c r="S238" s="64"/>
      <c r="T238" s="64"/>
      <c r="U238" s="64"/>
      <c r="V238" s="64"/>
      <c r="W238" s="64"/>
      <c r="X238" s="64"/>
      <c r="Y238" s="64"/>
      <c r="Z238" s="64"/>
    </row>
    <row r="239">
      <c r="A239" s="64"/>
      <c r="B239" s="64"/>
      <c r="C239" s="64"/>
      <c r="D239" s="64"/>
      <c r="E239" s="64"/>
      <c r="F239" s="64"/>
      <c r="G239" s="64"/>
      <c r="H239" s="64"/>
      <c r="I239" s="64"/>
      <c r="J239" s="64"/>
      <c r="K239" s="64"/>
      <c r="L239" s="64"/>
      <c r="M239" s="64"/>
      <c r="N239" s="64"/>
      <c r="O239" s="64"/>
      <c r="P239" s="64"/>
      <c r="Q239" s="64"/>
      <c r="R239" s="64"/>
      <c r="S239" s="64"/>
      <c r="T239" s="64"/>
      <c r="U239" s="64"/>
      <c r="V239" s="64"/>
      <c r="W239" s="64"/>
      <c r="X239" s="64"/>
      <c r="Y239" s="64"/>
      <c r="Z239" s="64"/>
    </row>
    <row r="240">
      <c r="A240" s="64"/>
      <c r="B240" s="64"/>
      <c r="C240" s="64"/>
      <c r="D240" s="64"/>
      <c r="E240" s="64"/>
      <c r="F240" s="64"/>
      <c r="G240" s="64"/>
      <c r="H240" s="64"/>
      <c r="I240" s="64"/>
      <c r="J240" s="64"/>
      <c r="K240" s="64"/>
      <c r="L240" s="64"/>
      <c r="M240" s="64"/>
      <c r="N240" s="64"/>
      <c r="O240" s="64"/>
      <c r="P240" s="64"/>
      <c r="Q240" s="64"/>
      <c r="R240" s="64"/>
      <c r="S240" s="64"/>
      <c r="T240" s="64"/>
      <c r="U240" s="64"/>
      <c r="V240" s="64"/>
      <c r="W240" s="64"/>
      <c r="X240" s="64"/>
      <c r="Y240" s="64"/>
      <c r="Z240" s="64"/>
    </row>
    <row r="241">
      <c r="A241" s="64"/>
      <c r="B241" s="64"/>
      <c r="C241" s="64"/>
      <c r="D241" s="64"/>
      <c r="E241" s="64"/>
      <c r="F241" s="64"/>
      <c r="G241" s="64"/>
      <c r="H241" s="64"/>
      <c r="I241" s="64"/>
      <c r="J241" s="64"/>
      <c r="K241" s="64"/>
      <c r="L241" s="64"/>
      <c r="M241" s="64"/>
      <c r="N241" s="64"/>
      <c r="O241" s="64"/>
      <c r="P241" s="64"/>
      <c r="Q241" s="64"/>
      <c r="R241" s="64"/>
      <c r="S241" s="64"/>
      <c r="T241" s="64"/>
      <c r="U241" s="64"/>
      <c r="V241" s="64"/>
      <c r="W241" s="64"/>
      <c r="X241" s="64"/>
      <c r="Y241" s="64"/>
      <c r="Z241" s="64"/>
    </row>
    <row r="242">
      <c r="A242" s="64"/>
      <c r="B242" s="64"/>
      <c r="C242" s="64"/>
      <c r="D242" s="64"/>
      <c r="E242" s="64"/>
      <c r="F242" s="64"/>
      <c r="G242" s="64"/>
      <c r="H242" s="64"/>
      <c r="I242" s="64"/>
      <c r="J242" s="64"/>
      <c r="K242" s="64"/>
      <c r="L242" s="64"/>
      <c r="M242" s="64"/>
      <c r="N242" s="64"/>
      <c r="O242" s="64"/>
      <c r="P242" s="64"/>
      <c r="Q242" s="64"/>
      <c r="R242" s="64"/>
      <c r="S242" s="64"/>
      <c r="T242" s="64"/>
      <c r="U242" s="64"/>
      <c r="V242" s="64"/>
      <c r="W242" s="64"/>
      <c r="X242" s="64"/>
      <c r="Y242" s="64"/>
      <c r="Z242" s="64"/>
    </row>
    <row r="243">
      <c r="A243" s="64"/>
      <c r="B243" s="64"/>
      <c r="C243" s="64"/>
      <c r="D243" s="64"/>
      <c r="E243" s="64"/>
      <c r="F243" s="64"/>
      <c r="G243" s="64"/>
      <c r="H243" s="64"/>
      <c r="I243" s="64"/>
      <c r="J243" s="64"/>
      <c r="K243" s="64"/>
      <c r="L243" s="64"/>
      <c r="M243" s="64"/>
      <c r="N243" s="64"/>
      <c r="O243" s="64"/>
      <c r="P243" s="64"/>
      <c r="Q243" s="64"/>
      <c r="R243" s="64"/>
      <c r="S243" s="64"/>
      <c r="T243" s="64"/>
      <c r="U243" s="64"/>
      <c r="V243" s="64"/>
      <c r="W243" s="64"/>
      <c r="X243" s="64"/>
      <c r="Y243" s="64"/>
      <c r="Z243" s="64"/>
    </row>
    <row r="244">
      <c r="A244" s="64"/>
      <c r="B244" s="64"/>
      <c r="C244" s="64"/>
      <c r="D244" s="64"/>
      <c r="E244" s="64"/>
      <c r="F244" s="64"/>
      <c r="G244" s="64"/>
      <c r="H244" s="64"/>
      <c r="I244" s="64"/>
      <c r="J244" s="64"/>
      <c r="K244" s="64"/>
      <c r="L244" s="64"/>
      <c r="M244" s="64"/>
      <c r="N244" s="64"/>
      <c r="O244" s="64"/>
      <c r="P244" s="64"/>
      <c r="Q244" s="64"/>
      <c r="R244" s="64"/>
      <c r="S244" s="64"/>
      <c r="T244" s="64"/>
      <c r="U244" s="64"/>
      <c r="V244" s="64"/>
      <c r="W244" s="64"/>
      <c r="X244" s="64"/>
      <c r="Y244" s="64"/>
      <c r="Z244" s="64"/>
    </row>
    <row r="245">
      <c r="A245" s="64"/>
      <c r="B245" s="64"/>
      <c r="C245" s="64"/>
      <c r="D245" s="64"/>
      <c r="E245" s="64"/>
      <c r="F245" s="64"/>
      <c r="G245" s="64"/>
      <c r="H245" s="64"/>
      <c r="I245" s="64"/>
      <c r="J245" s="64"/>
      <c r="K245" s="64"/>
      <c r="L245" s="64"/>
      <c r="M245" s="64"/>
      <c r="N245" s="64"/>
      <c r="O245" s="64"/>
      <c r="P245" s="64"/>
      <c r="Q245" s="64"/>
      <c r="R245" s="64"/>
      <c r="S245" s="64"/>
      <c r="T245" s="64"/>
      <c r="U245" s="64"/>
      <c r="V245" s="64"/>
      <c r="W245" s="64"/>
      <c r="X245" s="64"/>
      <c r="Y245" s="64"/>
      <c r="Z245" s="64"/>
    </row>
    <row r="246">
      <c r="A246" s="64"/>
      <c r="B246" s="64"/>
      <c r="C246" s="64"/>
      <c r="D246" s="64"/>
      <c r="E246" s="64"/>
      <c r="F246" s="64"/>
      <c r="G246" s="64"/>
      <c r="H246" s="64"/>
      <c r="I246" s="64"/>
      <c r="J246" s="64"/>
      <c r="K246" s="64"/>
      <c r="L246" s="64"/>
      <c r="M246" s="64"/>
      <c r="N246" s="64"/>
      <c r="O246" s="64"/>
      <c r="P246" s="64"/>
      <c r="Q246" s="64"/>
      <c r="R246" s="64"/>
      <c r="S246" s="64"/>
      <c r="T246" s="64"/>
      <c r="U246" s="64"/>
      <c r="V246" s="64"/>
      <c r="W246" s="64"/>
      <c r="X246" s="64"/>
      <c r="Y246" s="64"/>
      <c r="Z246" s="64"/>
    </row>
    <row r="247">
      <c r="A247" s="64"/>
      <c r="B247" s="64"/>
      <c r="C247" s="64"/>
      <c r="D247" s="64"/>
      <c r="E247" s="64"/>
      <c r="F247" s="64"/>
      <c r="G247" s="64"/>
      <c r="H247" s="64"/>
      <c r="I247" s="64"/>
      <c r="J247" s="64"/>
      <c r="K247" s="64"/>
      <c r="L247" s="64"/>
      <c r="M247" s="64"/>
      <c r="N247" s="64"/>
      <c r="O247" s="64"/>
      <c r="P247" s="64"/>
      <c r="Q247" s="64"/>
      <c r="R247" s="64"/>
      <c r="S247" s="64"/>
      <c r="T247" s="64"/>
      <c r="U247" s="64"/>
      <c r="V247" s="64"/>
      <c r="W247" s="64"/>
      <c r="X247" s="64"/>
      <c r="Y247" s="64"/>
      <c r="Z247" s="64"/>
    </row>
    <row r="248">
      <c r="A248" s="64"/>
      <c r="B248" s="64"/>
      <c r="C248" s="64"/>
      <c r="D248" s="64"/>
      <c r="E248" s="64"/>
      <c r="F248" s="64"/>
      <c r="G248" s="64"/>
      <c r="H248" s="64"/>
      <c r="I248" s="64"/>
      <c r="J248" s="64"/>
      <c r="K248" s="64"/>
      <c r="L248" s="64"/>
      <c r="M248" s="64"/>
      <c r="N248" s="64"/>
      <c r="O248" s="64"/>
      <c r="P248" s="64"/>
      <c r="Q248" s="64"/>
      <c r="R248" s="64"/>
      <c r="S248" s="64"/>
      <c r="T248" s="64"/>
      <c r="U248" s="64"/>
      <c r="V248" s="64"/>
      <c r="W248" s="64"/>
      <c r="X248" s="64"/>
      <c r="Y248" s="64"/>
      <c r="Z248" s="64"/>
    </row>
    <row r="249">
      <c r="A249" s="64"/>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c r="Z249" s="64"/>
    </row>
    <row r="250">
      <c r="A250" s="64"/>
      <c r="B250" s="64"/>
      <c r="C250" s="64"/>
      <c r="D250" s="64"/>
      <c r="E250" s="64"/>
      <c r="F250" s="64"/>
      <c r="G250" s="64"/>
      <c r="H250" s="64"/>
      <c r="I250" s="64"/>
      <c r="J250" s="64"/>
      <c r="K250" s="64"/>
      <c r="L250" s="64"/>
      <c r="M250" s="64"/>
      <c r="N250" s="64"/>
      <c r="O250" s="64"/>
      <c r="P250" s="64"/>
      <c r="Q250" s="64"/>
      <c r="R250" s="64"/>
      <c r="S250" s="64"/>
      <c r="T250" s="64"/>
      <c r="U250" s="64"/>
      <c r="V250" s="64"/>
      <c r="W250" s="64"/>
      <c r="X250" s="64"/>
      <c r="Y250" s="64"/>
      <c r="Z250" s="64"/>
    </row>
    <row r="251">
      <c r="A251" s="64"/>
      <c r="B251" s="64"/>
      <c r="C251" s="64"/>
      <c r="D251" s="64"/>
      <c r="E251" s="64"/>
      <c r="F251" s="64"/>
      <c r="G251" s="64"/>
      <c r="H251" s="64"/>
      <c r="I251" s="64"/>
      <c r="J251" s="64"/>
      <c r="K251" s="64"/>
      <c r="L251" s="64"/>
      <c r="M251" s="64"/>
      <c r="N251" s="64"/>
      <c r="O251" s="64"/>
      <c r="P251" s="64"/>
      <c r="Q251" s="64"/>
      <c r="R251" s="64"/>
      <c r="S251" s="64"/>
      <c r="T251" s="64"/>
      <c r="U251" s="64"/>
      <c r="V251" s="64"/>
      <c r="W251" s="64"/>
      <c r="X251" s="64"/>
      <c r="Y251" s="64"/>
      <c r="Z251" s="64"/>
    </row>
    <row r="252">
      <c r="A252" s="64"/>
      <c r="B252" s="64"/>
      <c r="C252" s="64"/>
      <c r="D252" s="64"/>
      <c r="E252" s="64"/>
      <c r="F252" s="64"/>
      <c r="G252" s="64"/>
      <c r="H252" s="64"/>
      <c r="I252" s="64"/>
      <c r="J252" s="64"/>
      <c r="K252" s="64"/>
      <c r="L252" s="64"/>
      <c r="M252" s="64"/>
      <c r="N252" s="64"/>
      <c r="O252" s="64"/>
      <c r="P252" s="64"/>
      <c r="Q252" s="64"/>
      <c r="R252" s="64"/>
      <c r="S252" s="64"/>
      <c r="T252" s="64"/>
      <c r="U252" s="64"/>
      <c r="V252" s="64"/>
      <c r="W252" s="64"/>
      <c r="X252" s="64"/>
      <c r="Y252" s="64"/>
      <c r="Z252" s="64"/>
    </row>
    <row r="253">
      <c r="A253" s="64"/>
      <c r="B253" s="64"/>
      <c r="C253" s="64"/>
      <c r="D253" s="64"/>
      <c r="E253" s="64"/>
      <c r="F253" s="64"/>
      <c r="G253" s="64"/>
      <c r="H253" s="64"/>
      <c r="I253" s="64"/>
      <c r="J253" s="64"/>
      <c r="K253" s="64"/>
      <c r="L253" s="64"/>
      <c r="M253" s="64"/>
      <c r="N253" s="64"/>
      <c r="O253" s="64"/>
      <c r="P253" s="64"/>
      <c r="Q253" s="64"/>
      <c r="R253" s="64"/>
      <c r="S253" s="64"/>
      <c r="T253" s="64"/>
      <c r="U253" s="64"/>
      <c r="V253" s="64"/>
      <c r="W253" s="64"/>
      <c r="X253" s="64"/>
      <c r="Y253" s="64"/>
      <c r="Z253" s="64"/>
    </row>
    <row r="254">
      <c r="A254" s="64"/>
      <c r="B254" s="64"/>
      <c r="C254" s="64"/>
      <c r="D254" s="64"/>
      <c r="E254" s="64"/>
      <c r="F254" s="64"/>
      <c r="G254" s="64"/>
      <c r="H254" s="64"/>
      <c r="I254" s="64"/>
      <c r="J254" s="64"/>
      <c r="K254" s="64"/>
      <c r="L254" s="64"/>
      <c r="M254" s="64"/>
      <c r="N254" s="64"/>
      <c r="O254" s="64"/>
      <c r="P254" s="64"/>
      <c r="Q254" s="64"/>
      <c r="R254" s="64"/>
      <c r="S254" s="64"/>
      <c r="T254" s="64"/>
      <c r="U254" s="64"/>
      <c r="V254" s="64"/>
      <c r="W254" s="64"/>
      <c r="X254" s="64"/>
      <c r="Y254" s="64"/>
      <c r="Z254" s="64"/>
    </row>
    <row r="255">
      <c r="A255" s="64"/>
      <c r="B255" s="64"/>
      <c r="C255" s="64"/>
      <c r="D255" s="64"/>
      <c r="E255" s="64"/>
      <c r="F255" s="64"/>
      <c r="G255" s="64"/>
      <c r="H255" s="64"/>
      <c r="I255" s="64"/>
      <c r="J255" s="64"/>
      <c r="K255" s="64"/>
      <c r="L255" s="64"/>
      <c r="M255" s="64"/>
      <c r="N255" s="64"/>
      <c r="O255" s="64"/>
      <c r="P255" s="64"/>
      <c r="Q255" s="64"/>
      <c r="R255" s="64"/>
      <c r="S255" s="64"/>
      <c r="T255" s="64"/>
      <c r="U255" s="64"/>
      <c r="V255" s="64"/>
      <c r="W255" s="64"/>
      <c r="X255" s="64"/>
      <c r="Y255" s="64"/>
      <c r="Z255" s="64"/>
    </row>
    <row r="256">
      <c r="A256" s="64"/>
      <c r="B256" s="64"/>
      <c r="C256" s="64"/>
      <c r="D256" s="64"/>
      <c r="E256" s="64"/>
      <c r="F256" s="64"/>
      <c r="G256" s="64"/>
      <c r="H256" s="64"/>
      <c r="I256" s="64"/>
      <c r="J256" s="64"/>
      <c r="K256" s="64"/>
      <c r="L256" s="64"/>
      <c r="M256" s="64"/>
      <c r="N256" s="64"/>
      <c r="O256" s="64"/>
      <c r="P256" s="64"/>
      <c r="Q256" s="64"/>
      <c r="R256" s="64"/>
      <c r="S256" s="64"/>
      <c r="T256" s="64"/>
      <c r="U256" s="64"/>
      <c r="V256" s="64"/>
      <c r="W256" s="64"/>
      <c r="X256" s="64"/>
      <c r="Y256" s="64"/>
      <c r="Z256" s="64"/>
    </row>
    <row r="257">
      <c r="A257" s="64"/>
      <c r="B257" s="64"/>
      <c r="C257" s="64"/>
      <c r="D257" s="64"/>
      <c r="E257" s="64"/>
      <c r="F257" s="64"/>
      <c r="G257" s="64"/>
      <c r="H257" s="64"/>
      <c r="I257" s="64"/>
      <c r="J257" s="64"/>
      <c r="K257" s="64"/>
      <c r="L257" s="64"/>
      <c r="M257" s="64"/>
      <c r="N257" s="64"/>
      <c r="O257" s="64"/>
      <c r="P257" s="64"/>
      <c r="Q257" s="64"/>
      <c r="R257" s="64"/>
      <c r="S257" s="64"/>
      <c r="T257" s="64"/>
      <c r="U257" s="64"/>
      <c r="V257" s="64"/>
      <c r="W257" s="64"/>
      <c r="X257" s="64"/>
      <c r="Y257" s="64"/>
      <c r="Z257" s="64"/>
    </row>
    <row r="258">
      <c r="A258" s="64"/>
      <c r="B258" s="64"/>
      <c r="C258" s="64"/>
      <c r="D258" s="64"/>
      <c r="E258" s="64"/>
      <c r="F258" s="64"/>
      <c r="G258" s="64"/>
      <c r="H258" s="64"/>
      <c r="I258" s="64"/>
      <c r="J258" s="64"/>
      <c r="K258" s="64"/>
      <c r="L258" s="64"/>
      <c r="M258" s="64"/>
      <c r="N258" s="64"/>
      <c r="O258" s="64"/>
      <c r="P258" s="64"/>
      <c r="Q258" s="64"/>
      <c r="R258" s="64"/>
      <c r="S258" s="64"/>
      <c r="T258" s="64"/>
      <c r="U258" s="64"/>
      <c r="V258" s="64"/>
      <c r="W258" s="64"/>
      <c r="X258" s="64"/>
      <c r="Y258" s="64"/>
      <c r="Z258" s="64"/>
    </row>
    <row r="259">
      <c r="A259" s="64"/>
      <c r="B259" s="64"/>
      <c r="C259" s="64"/>
      <c r="D259" s="64"/>
      <c r="E259" s="64"/>
      <c r="F259" s="64"/>
      <c r="G259" s="64"/>
      <c r="H259" s="64"/>
      <c r="I259" s="64"/>
      <c r="J259" s="64"/>
      <c r="K259" s="64"/>
      <c r="L259" s="64"/>
      <c r="M259" s="64"/>
      <c r="N259" s="64"/>
      <c r="O259" s="64"/>
      <c r="P259" s="64"/>
      <c r="Q259" s="64"/>
      <c r="R259" s="64"/>
      <c r="S259" s="64"/>
      <c r="T259" s="64"/>
      <c r="U259" s="64"/>
      <c r="V259" s="64"/>
      <c r="W259" s="64"/>
      <c r="X259" s="64"/>
      <c r="Y259" s="64"/>
      <c r="Z259" s="64"/>
    </row>
    <row r="260">
      <c r="A260" s="64"/>
      <c r="B260" s="64"/>
      <c r="C260" s="64"/>
      <c r="D260" s="64"/>
      <c r="E260" s="64"/>
      <c r="F260" s="64"/>
      <c r="G260" s="64"/>
      <c r="H260" s="64"/>
      <c r="I260" s="64"/>
      <c r="J260" s="64"/>
      <c r="K260" s="64"/>
      <c r="L260" s="64"/>
      <c r="M260" s="64"/>
      <c r="N260" s="64"/>
      <c r="O260" s="64"/>
      <c r="P260" s="64"/>
      <c r="Q260" s="64"/>
      <c r="R260" s="64"/>
      <c r="S260" s="64"/>
      <c r="T260" s="64"/>
      <c r="U260" s="64"/>
      <c r="V260" s="64"/>
      <c r="W260" s="64"/>
      <c r="X260" s="64"/>
      <c r="Y260" s="64"/>
      <c r="Z260" s="64"/>
    </row>
    <row r="261">
      <c r="A261" s="64"/>
      <c r="B261" s="64"/>
      <c r="C261" s="64"/>
      <c r="D261" s="64"/>
      <c r="E261" s="64"/>
      <c r="F261" s="64"/>
      <c r="G261" s="64"/>
      <c r="H261" s="64"/>
      <c r="I261" s="64"/>
      <c r="J261" s="64"/>
      <c r="K261" s="64"/>
      <c r="L261" s="64"/>
      <c r="M261" s="64"/>
      <c r="N261" s="64"/>
      <c r="O261" s="64"/>
      <c r="P261" s="64"/>
      <c r="Q261" s="64"/>
      <c r="R261" s="64"/>
      <c r="S261" s="64"/>
      <c r="T261" s="64"/>
      <c r="U261" s="64"/>
      <c r="V261" s="64"/>
      <c r="W261" s="64"/>
      <c r="X261" s="64"/>
      <c r="Y261" s="64"/>
      <c r="Z261" s="64"/>
    </row>
    <row r="262">
      <c r="A262" s="64"/>
      <c r="B262" s="64"/>
      <c r="C262" s="64"/>
      <c r="D262" s="64"/>
      <c r="E262" s="64"/>
      <c r="F262" s="64"/>
      <c r="G262" s="64"/>
      <c r="H262" s="64"/>
      <c r="I262" s="64"/>
      <c r="J262" s="64"/>
      <c r="K262" s="64"/>
      <c r="L262" s="64"/>
      <c r="M262" s="64"/>
      <c r="N262" s="64"/>
      <c r="O262" s="64"/>
      <c r="P262" s="64"/>
      <c r="Q262" s="64"/>
      <c r="R262" s="64"/>
      <c r="S262" s="64"/>
      <c r="T262" s="64"/>
      <c r="U262" s="64"/>
      <c r="V262" s="64"/>
      <c r="W262" s="64"/>
      <c r="X262" s="64"/>
      <c r="Y262" s="64"/>
      <c r="Z262" s="64"/>
    </row>
    <row r="263">
      <c r="A263" s="64"/>
      <c r="B263" s="64"/>
      <c r="C263" s="64"/>
      <c r="D263" s="64"/>
      <c r="E263" s="64"/>
      <c r="F263" s="64"/>
      <c r="G263" s="64"/>
      <c r="H263" s="64"/>
      <c r="I263" s="64"/>
      <c r="J263" s="64"/>
      <c r="K263" s="64"/>
      <c r="L263" s="64"/>
      <c r="M263" s="64"/>
      <c r="N263" s="64"/>
      <c r="O263" s="64"/>
      <c r="P263" s="64"/>
      <c r="Q263" s="64"/>
      <c r="R263" s="64"/>
      <c r="S263" s="64"/>
      <c r="T263" s="64"/>
      <c r="U263" s="64"/>
      <c r="V263" s="64"/>
      <c r="W263" s="64"/>
      <c r="X263" s="64"/>
      <c r="Y263" s="64"/>
      <c r="Z263" s="64"/>
    </row>
    <row r="264">
      <c r="A264" s="64"/>
      <c r="B264" s="64"/>
      <c r="C264" s="64"/>
      <c r="D264" s="64"/>
      <c r="E264" s="64"/>
      <c r="F264" s="64"/>
      <c r="G264" s="64"/>
      <c r="H264" s="64"/>
      <c r="I264" s="64"/>
      <c r="J264" s="64"/>
      <c r="K264" s="64"/>
      <c r="L264" s="64"/>
      <c r="M264" s="64"/>
      <c r="N264" s="64"/>
      <c r="O264" s="64"/>
      <c r="P264" s="64"/>
      <c r="Q264" s="64"/>
      <c r="R264" s="64"/>
      <c r="S264" s="64"/>
      <c r="T264" s="64"/>
      <c r="U264" s="64"/>
      <c r="V264" s="64"/>
      <c r="W264" s="64"/>
      <c r="X264" s="64"/>
      <c r="Y264" s="64"/>
      <c r="Z264" s="64"/>
    </row>
    <row r="265">
      <c r="A265" s="64"/>
      <c r="B265" s="64"/>
      <c r="C265" s="64"/>
      <c r="D265" s="64"/>
      <c r="E265" s="64"/>
      <c r="F265" s="64"/>
      <c r="G265" s="64"/>
      <c r="H265" s="64"/>
      <c r="I265" s="64"/>
      <c r="J265" s="64"/>
      <c r="K265" s="64"/>
      <c r="L265" s="64"/>
      <c r="M265" s="64"/>
      <c r="N265" s="64"/>
      <c r="O265" s="64"/>
      <c r="P265" s="64"/>
      <c r="Q265" s="64"/>
      <c r="R265" s="64"/>
      <c r="S265" s="64"/>
      <c r="T265" s="64"/>
      <c r="U265" s="64"/>
      <c r="V265" s="64"/>
      <c r="W265" s="64"/>
      <c r="X265" s="64"/>
      <c r="Y265" s="64"/>
      <c r="Z265" s="64"/>
    </row>
    <row r="266">
      <c r="A266" s="64"/>
      <c r="B266" s="64"/>
      <c r="C266" s="64"/>
      <c r="D266" s="64"/>
      <c r="E266" s="64"/>
      <c r="F266" s="64"/>
      <c r="G266" s="64"/>
      <c r="H266" s="64"/>
      <c r="I266" s="64"/>
      <c r="J266" s="64"/>
      <c r="K266" s="64"/>
      <c r="L266" s="64"/>
      <c r="M266" s="64"/>
      <c r="N266" s="64"/>
      <c r="O266" s="64"/>
      <c r="P266" s="64"/>
      <c r="Q266" s="64"/>
      <c r="R266" s="64"/>
      <c r="S266" s="64"/>
      <c r="T266" s="64"/>
      <c r="U266" s="64"/>
      <c r="V266" s="64"/>
      <c r="W266" s="64"/>
      <c r="X266" s="64"/>
      <c r="Y266" s="64"/>
      <c r="Z266" s="64"/>
    </row>
    <row r="267">
      <c r="A267" s="64"/>
      <c r="B267" s="64"/>
      <c r="C267" s="64"/>
      <c r="D267" s="64"/>
      <c r="E267" s="64"/>
      <c r="F267" s="64"/>
      <c r="G267" s="64"/>
      <c r="H267" s="64"/>
      <c r="I267" s="64"/>
      <c r="J267" s="64"/>
      <c r="K267" s="64"/>
      <c r="L267" s="64"/>
      <c r="M267" s="64"/>
      <c r="N267" s="64"/>
      <c r="O267" s="64"/>
      <c r="P267" s="64"/>
      <c r="Q267" s="64"/>
      <c r="R267" s="64"/>
      <c r="S267" s="64"/>
      <c r="T267" s="64"/>
      <c r="U267" s="64"/>
      <c r="V267" s="64"/>
      <c r="W267" s="64"/>
      <c r="X267" s="64"/>
      <c r="Y267" s="64"/>
      <c r="Z267" s="64"/>
    </row>
    <row r="268">
      <c r="A268" s="64"/>
      <c r="B268" s="64"/>
      <c r="C268" s="64"/>
      <c r="D268" s="64"/>
      <c r="E268" s="64"/>
      <c r="F268" s="64"/>
      <c r="G268" s="64"/>
      <c r="H268" s="64"/>
      <c r="I268" s="64"/>
      <c r="J268" s="64"/>
      <c r="K268" s="64"/>
      <c r="L268" s="64"/>
      <c r="M268" s="64"/>
      <c r="N268" s="64"/>
      <c r="O268" s="64"/>
      <c r="P268" s="64"/>
      <c r="Q268" s="64"/>
      <c r="R268" s="64"/>
      <c r="S268" s="64"/>
      <c r="T268" s="64"/>
      <c r="U268" s="64"/>
      <c r="V268" s="64"/>
      <c r="W268" s="64"/>
      <c r="X268" s="64"/>
      <c r="Y268" s="64"/>
      <c r="Z268" s="64"/>
    </row>
    <row r="269">
      <c r="A269" s="64"/>
      <c r="B269" s="64"/>
      <c r="C269" s="64"/>
      <c r="D269" s="64"/>
      <c r="E269" s="64"/>
      <c r="F269" s="64"/>
      <c r="G269" s="64"/>
      <c r="H269" s="64"/>
      <c r="I269" s="64"/>
      <c r="J269" s="64"/>
      <c r="K269" s="64"/>
      <c r="L269" s="64"/>
      <c r="M269" s="64"/>
      <c r="N269" s="64"/>
      <c r="O269" s="64"/>
      <c r="P269" s="64"/>
      <c r="Q269" s="64"/>
      <c r="R269" s="64"/>
      <c r="S269" s="64"/>
      <c r="T269" s="64"/>
      <c r="U269" s="64"/>
      <c r="V269" s="64"/>
      <c r="W269" s="64"/>
      <c r="X269" s="64"/>
      <c r="Y269" s="64"/>
      <c r="Z269" s="64"/>
    </row>
    <row r="270">
      <c r="A270" s="64"/>
      <c r="B270" s="64"/>
      <c r="C270" s="64"/>
      <c r="D270" s="64"/>
      <c r="E270" s="64"/>
      <c r="F270" s="64"/>
      <c r="G270" s="64"/>
      <c r="H270" s="64"/>
      <c r="I270" s="64"/>
      <c r="J270" s="64"/>
      <c r="K270" s="64"/>
      <c r="L270" s="64"/>
      <c r="M270" s="64"/>
      <c r="N270" s="64"/>
      <c r="O270" s="64"/>
      <c r="P270" s="64"/>
      <c r="Q270" s="64"/>
      <c r="R270" s="64"/>
      <c r="S270" s="64"/>
      <c r="T270" s="64"/>
      <c r="U270" s="64"/>
      <c r="V270" s="64"/>
      <c r="W270" s="64"/>
      <c r="X270" s="64"/>
      <c r="Y270" s="64"/>
      <c r="Z270" s="64"/>
    </row>
    <row r="271">
      <c r="A271" s="64"/>
      <c r="B271" s="64"/>
      <c r="C271" s="64"/>
      <c r="D271" s="64"/>
      <c r="E271" s="64"/>
      <c r="F271" s="64"/>
      <c r="G271" s="64"/>
      <c r="H271" s="64"/>
      <c r="I271" s="64"/>
      <c r="J271" s="64"/>
      <c r="K271" s="64"/>
      <c r="L271" s="64"/>
      <c r="M271" s="64"/>
      <c r="N271" s="64"/>
      <c r="O271" s="64"/>
      <c r="P271" s="64"/>
      <c r="Q271" s="64"/>
      <c r="R271" s="64"/>
      <c r="S271" s="64"/>
      <c r="T271" s="64"/>
      <c r="U271" s="64"/>
      <c r="V271" s="64"/>
      <c r="W271" s="64"/>
      <c r="X271" s="64"/>
      <c r="Y271" s="64"/>
      <c r="Z271" s="64"/>
    </row>
    <row r="272">
      <c r="A272" s="64"/>
      <c r="B272" s="64"/>
      <c r="C272" s="64"/>
      <c r="D272" s="64"/>
      <c r="E272" s="64"/>
      <c r="F272" s="64"/>
      <c r="G272" s="64"/>
      <c r="H272" s="64"/>
      <c r="I272" s="64"/>
      <c r="J272" s="64"/>
      <c r="K272" s="64"/>
      <c r="L272" s="64"/>
      <c r="M272" s="64"/>
      <c r="N272" s="64"/>
      <c r="O272" s="64"/>
      <c r="P272" s="64"/>
      <c r="Q272" s="64"/>
      <c r="R272" s="64"/>
      <c r="S272" s="64"/>
      <c r="T272" s="64"/>
      <c r="U272" s="64"/>
      <c r="V272" s="64"/>
      <c r="W272" s="64"/>
      <c r="X272" s="64"/>
      <c r="Y272" s="64"/>
      <c r="Z272" s="64"/>
    </row>
    <row r="273">
      <c r="A273" s="64"/>
      <c r="B273" s="64"/>
      <c r="C273" s="64"/>
      <c r="D273" s="64"/>
      <c r="E273" s="64"/>
      <c r="F273" s="64"/>
      <c r="G273" s="64"/>
      <c r="H273" s="64"/>
      <c r="I273" s="64"/>
      <c r="J273" s="64"/>
      <c r="K273" s="64"/>
      <c r="L273" s="64"/>
      <c r="M273" s="64"/>
      <c r="N273" s="64"/>
      <c r="O273" s="64"/>
      <c r="P273" s="64"/>
      <c r="Q273" s="64"/>
      <c r="R273" s="64"/>
      <c r="S273" s="64"/>
      <c r="T273" s="64"/>
      <c r="U273" s="64"/>
      <c r="V273" s="64"/>
      <c r="W273" s="64"/>
      <c r="X273" s="64"/>
      <c r="Y273" s="64"/>
      <c r="Z273" s="64"/>
    </row>
    <row r="274">
      <c r="A274" s="64"/>
      <c r="B274" s="64"/>
      <c r="C274" s="64"/>
      <c r="D274" s="64"/>
      <c r="E274" s="64"/>
      <c r="F274" s="64"/>
      <c r="G274" s="64"/>
      <c r="H274" s="64"/>
      <c r="I274" s="64"/>
      <c r="J274" s="64"/>
      <c r="K274" s="64"/>
      <c r="L274" s="64"/>
      <c r="M274" s="64"/>
      <c r="N274" s="64"/>
      <c r="O274" s="64"/>
      <c r="P274" s="64"/>
      <c r="Q274" s="64"/>
      <c r="R274" s="64"/>
      <c r="S274" s="64"/>
      <c r="T274" s="64"/>
      <c r="U274" s="64"/>
      <c r="V274" s="64"/>
      <c r="W274" s="64"/>
      <c r="X274" s="64"/>
      <c r="Y274" s="64"/>
      <c r="Z274" s="64"/>
    </row>
    <row r="275">
      <c r="A275" s="64"/>
      <c r="B275" s="64"/>
      <c r="C275" s="64"/>
      <c r="D275" s="64"/>
      <c r="E275" s="64"/>
      <c r="F275" s="64"/>
      <c r="G275" s="64"/>
      <c r="H275" s="64"/>
      <c r="I275" s="64"/>
      <c r="J275" s="64"/>
      <c r="K275" s="64"/>
      <c r="L275" s="64"/>
      <c r="M275" s="64"/>
      <c r="N275" s="64"/>
      <c r="O275" s="64"/>
      <c r="P275" s="64"/>
      <c r="Q275" s="64"/>
      <c r="R275" s="64"/>
      <c r="S275" s="64"/>
      <c r="T275" s="64"/>
      <c r="U275" s="64"/>
      <c r="V275" s="64"/>
      <c r="W275" s="64"/>
      <c r="X275" s="64"/>
      <c r="Y275" s="64"/>
      <c r="Z275" s="64"/>
    </row>
    <row r="276">
      <c r="A276" s="64"/>
      <c r="B276" s="64"/>
      <c r="C276" s="64"/>
      <c r="D276" s="64"/>
      <c r="E276" s="64"/>
      <c r="F276" s="64"/>
      <c r="G276" s="64"/>
      <c r="H276" s="64"/>
      <c r="I276" s="64"/>
      <c r="J276" s="64"/>
      <c r="K276" s="64"/>
      <c r="L276" s="64"/>
      <c r="M276" s="64"/>
      <c r="N276" s="64"/>
      <c r="O276" s="64"/>
      <c r="P276" s="64"/>
      <c r="Q276" s="64"/>
      <c r="R276" s="64"/>
      <c r="S276" s="64"/>
      <c r="T276" s="64"/>
      <c r="U276" s="64"/>
      <c r="V276" s="64"/>
      <c r="W276" s="64"/>
      <c r="X276" s="64"/>
      <c r="Y276" s="64"/>
      <c r="Z276" s="64"/>
    </row>
    <row r="277">
      <c r="A277" s="64"/>
      <c r="B277" s="64"/>
      <c r="C277" s="64"/>
      <c r="D277" s="64"/>
      <c r="E277" s="64"/>
      <c r="F277" s="64"/>
      <c r="G277" s="64"/>
      <c r="H277" s="64"/>
      <c r="I277" s="64"/>
      <c r="J277" s="64"/>
      <c r="K277" s="64"/>
      <c r="L277" s="64"/>
      <c r="M277" s="64"/>
      <c r="N277" s="64"/>
      <c r="O277" s="64"/>
      <c r="P277" s="64"/>
      <c r="Q277" s="64"/>
      <c r="R277" s="64"/>
      <c r="S277" s="64"/>
      <c r="T277" s="64"/>
      <c r="U277" s="64"/>
      <c r="V277" s="64"/>
      <c r="W277" s="64"/>
      <c r="X277" s="64"/>
      <c r="Y277" s="64"/>
      <c r="Z277" s="64"/>
    </row>
    <row r="278">
      <c r="A278" s="64"/>
      <c r="B278" s="64"/>
      <c r="C278" s="64"/>
      <c r="D278" s="64"/>
      <c r="E278" s="64"/>
      <c r="F278" s="64"/>
      <c r="G278" s="64"/>
      <c r="H278" s="64"/>
      <c r="I278" s="64"/>
      <c r="J278" s="64"/>
      <c r="K278" s="64"/>
      <c r="L278" s="64"/>
      <c r="M278" s="64"/>
      <c r="N278" s="64"/>
      <c r="O278" s="64"/>
      <c r="P278" s="64"/>
      <c r="Q278" s="64"/>
      <c r="R278" s="64"/>
      <c r="S278" s="64"/>
      <c r="T278" s="64"/>
      <c r="U278" s="64"/>
      <c r="V278" s="64"/>
      <c r="W278" s="64"/>
      <c r="X278" s="64"/>
      <c r="Y278" s="64"/>
      <c r="Z278" s="64"/>
    </row>
    <row r="279">
      <c r="A279" s="64"/>
      <c r="B279" s="64"/>
      <c r="C279" s="64"/>
      <c r="D279" s="64"/>
      <c r="E279" s="64"/>
      <c r="F279" s="64"/>
      <c r="G279" s="64"/>
      <c r="H279" s="64"/>
      <c r="I279" s="64"/>
      <c r="J279" s="64"/>
      <c r="K279" s="64"/>
      <c r="L279" s="64"/>
      <c r="M279" s="64"/>
      <c r="N279" s="64"/>
      <c r="O279" s="64"/>
      <c r="P279" s="64"/>
      <c r="Q279" s="64"/>
      <c r="R279" s="64"/>
      <c r="S279" s="64"/>
      <c r="T279" s="64"/>
      <c r="U279" s="64"/>
      <c r="V279" s="64"/>
      <c r="W279" s="64"/>
      <c r="X279" s="64"/>
      <c r="Y279" s="64"/>
      <c r="Z279" s="64"/>
    </row>
    <row r="280">
      <c r="A280" s="64"/>
      <c r="B280" s="64"/>
      <c r="C280" s="64"/>
      <c r="D280" s="64"/>
      <c r="E280" s="64"/>
      <c r="F280" s="64"/>
      <c r="G280" s="64"/>
      <c r="H280" s="64"/>
      <c r="I280" s="64"/>
      <c r="J280" s="64"/>
      <c r="K280" s="64"/>
      <c r="L280" s="64"/>
      <c r="M280" s="64"/>
      <c r="N280" s="64"/>
      <c r="O280" s="64"/>
      <c r="P280" s="64"/>
      <c r="Q280" s="64"/>
      <c r="R280" s="64"/>
      <c r="S280" s="64"/>
      <c r="T280" s="64"/>
      <c r="U280" s="64"/>
      <c r="V280" s="64"/>
      <c r="W280" s="64"/>
      <c r="X280" s="64"/>
      <c r="Y280" s="64"/>
      <c r="Z280" s="64"/>
    </row>
    <row r="281">
      <c r="A281" s="64"/>
      <c r="B281" s="64"/>
      <c r="C281" s="64"/>
      <c r="D281" s="64"/>
      <c r="E281" s="64"/>
      <c r="F281" s="64"/>
      <c r="G281" s="64"/>
      <c r="H281" s="64"/>
      <c r="I281" s="64"/>
      <c r="J281" s="64"/>
      <c r="K281" s="64"/>
      <c r="L281" s="64"/>
      <c r="M281" s="64"/>
      <c r="N281" s="64"/>
      <c r="O281" s="64"/>
      <c r="P281" s="64"/>
      <c r="Q281" s="64"/>
      <c r="R281" s="64"/>
      <c r="S281" s="64"/>
      <c r="T281" s="64"/>
      <c r="U281" s="64"/>
      <c r="V281" s="64"/>
      <c r="W281" s="64"/>
      <c r="X281" s="64"/>
      <c r="Y281" s="64"/>
      <c r="Z281" s="64"/>
    </row>
    <row r="282">
      <c r="A282" s="64"/>
      <c r="B282" s="64"/>
      <c r="C282" s="64"/>
      <c r="D282" s="64"/>
      <c r="E282" s="64"/>
      <c r="F282" s="64"/>
      <c r="G282" s="64"/>
      <c r="H282" s="64"/>
      <c r="I282" s="64"/>
      <c r="J282" s="64"/>
      <c r="K282" s="64"/>
      <c r="L282" s="64"/>
      <c r="M282" s="64"/>
      <c r="N282" s="64"/>
      <c r="O282" s="64"/>
      <c r="P282" s="64"/>
      <c r="Q282" s="64"/>
      <c r="R282" s="64"/>
      <c r="S282" s="64"/>
      <c r="T282" s="64"/>
      <c r="U282" s="64"/>
      <c r="V282" s="64"/>
      <c r="W282" s="64"/>
      <c r="X282" s="64"/>
      <c r="Y282" s="64"/>
      <c r="Z282" s="64"/>
    </row>
    <row r="283">
      <c r="A283" s="64"/>
      <c r="B283" s="64"/>
      <c r="C283" s="64"/>
      <c r="D283" s="64"/>
      <c r="E283" s="64"/>
      <c r="F283" s="64"/>
      <c r="G283" s="64"/>
      <c r="H283" s="64"/>
      <c r="I283" s="64"/>
      <c r="J283" s="64"/>
      <c r="K283" s="64"/>
      <c r="L283" s="64"/>
      <c r="M283" s="64"/>
      <c r="N283" s="64"/>
      <c r="O283" s="64"/>
      <c r="P283" s="64"/>
      <c r="Q283" s="64"/>
      <c r="R283" s="64"/>
      <c r="S283" s="64"/>
      <c r="T283" s="64"/>
      <c r="U283" s="64"/>
      <c r="V283" s="64"/>
      <c r="W283" s="64"/>
      <c r="X283" s="64"/>
      <c r="Y283" s="64"/>
      <c r="Z283" s="64"/>
    </row>
    <row r="284">
      <c r="A284" s="64"/>
      <c r="B284" s="64"/>
      <c r="C284" s="64"/>
      <c r="D284" s="64"/>
      <c r="E284" s="64"/>
      <c r="F284" s="64"/>
      <c r="G284" s="64"/>
      <c r="H284" s="64"/>
      <c r="I284" s="64"/>
      <c r="J284" s="64"/>
      <c r="K284" s="64"/>
      <c r="L284" s="64"/>
      <c r="M284" s="64"/>
      <c r="N284" s="64"/>
      <c r="O284" s="64"/>
      <c r="P284" s="64"/>
      <c r="Q284" s="64"/>
      <c r="R284" s="64"/>
      <c r="S284" s="64"/>
      <c r="T284" s="64"/>
      <c r="U284" s="64"/>
      <c r="V284" s="64"/>
      <c r="W284" s="64"/>
      <c r="X284" s="64"/>
      <c r="Y284" s="64"/>
      <c r="Z284" s="64"/>
    </row>
    <row r="285">
      <c r="A285" s="64"/>
      <c r="B285" s="64"/>
      <c r="C285" s="64"/>
      <c r="D285" s="64"/>
      <c r="E285" s="64"/>
      <c r="F285" s="64"/>
      <c r="G285" s="64"/>
      <c r="H285" s="64"/>
      <c r="I285" s="64"/>
      <c r="J285" s="64"/>
      <c r="K285" s="64"/>
      <c r="L285" s="64"/>
      <c r="M285" s="64"/>
      <c r="N285" s="64"/>
      <c r="O285" s="64"/>
      <c r="P285" s="64"/>
      <c r="Q285" s="64"/>
      <c r="R285" s="64"/>
      <c r="S285" s="64"/>
      <c r="T285" s="64"/>
      <c r="U285" s="64"/>
      <c r="V285" s="64"/>
      <c r="W285" s="64"/>
      <c r="X285" s="64"/>
      <c r="Y285" s="64"/>
      <c r="Z285" s="64"/>
    </row>
    <row r="286">
      <c r="A286" s="64"/>
      <c r="B286" s="64"/>
      <c r="C286" s="64"/>
      <c r="D286" s="64"/>
      <c r="E286" s="64"/>
      <c r="F286" s="64"/>
      <c r="G286" s="64"/>
      <c r="H286" s="64"/>
      <c r="I286" s="64"/>
      <c r="J286" s="64"/>
      <c r="K286" s="64"/>
      <c r="L286" s="64"/>
      <c r="M286" s="64"/>
      <c r="N286" s="64"/>
      <c r="O286" s="64"/>
      <c r="P286" s="64"/>
      <c r="Q286" s="64"/>
      <c r="R286" s="64"/>
      <c r="S286" s="64"/>
      <c r="T286" s="64"/>
      <c r="U286" s="64"/>
      <c r="V286" s="64"/>
      <c r="W286" s="64"/>
      <c r="X286" s="64"/>
      <c r="Y286" s="64"/>
      <c r="Z286" s="64"/>
    </row>
    <row r="287">
      <c r="A287" s="64"/>
      <c r="B287" s="64"/>
      <c r="C287" s="64"/>
      <c r="D287" s="64"/>
      <c r="E287" s="64"/>
      <c r="F287" s="64"/>
      <c r="G287" s="64"/>
      <c r="H287" s="64"/>
      <c r="I287" s="64"/>
      <c r="J287" s="64"/>
      <c r="K287" s="64"/>
      <c r="L287" s="64"/>
      <c r="M287" s="64"/>
      <c r="N287" s="64"/>
      <c r="O287" s="64"/>
      <c r="P287" s="64"/>
      <c r="Q287" s="64"/>
      <c r="R287" s="64"/>
      <c r="S287" s="64"/>
      <c r="T287" s="64"/>
      <c r="U287" s="64"/>
      <c r="V287" s="64"/>
      <c r="W287" s="64"/>
      <c r="X287" s="64"/>
      <c r="Y287" s="64"/>
      <c r="Z287" s="64"/>
    </row>
    <row r="288">
      <c r="A288" s="64"/>
      <c r="B288" s="64"/>
      <c r="C288" s="64"/>
      <c r="D288" s="64"/>
      <c r="E288" s="64"/>
      <c r="F288" s="64"/>
      <c r="G288" s="64"/>
      <c r="H288" s="64"/>
      <c r="I288" s="64"/>
      <c r="J288" s="64"/>
      <c r="K288" s="64"/>
      <c r="L288" s="64"/>
      <c r="M288" s="64"/>
      <c r="N288" s="64"/>
      <c r="O288" s="64"/>
      <c r="P288" s="64"/>
      <c r="Q288" s="64"/>
      <c r="R288" s="64"/>
      <c r="S288" s="64"/>
      <c r="T288" s="64"/>
      <c r="U288" s="64"/>
      <c r="V288" s="64"/>
      <c r="W288" s="64"/>
      <c r="X288" s="64"/>
      <c r="Y288" s="64"/>
      <c r="Z288" s="64"/>
    </row>
    <row r="289">
      <c r="A289" s="64"/>
      <c r="B289" s="64"/>
      <c r="C289" s="64"/>
      <c r="D289" s="64"/>
      <c r="E289" s="64"/>
      <c r="F289" s="64"/>
      <c r="G289" s="64"/>
      <c r="H289" s="64"/>
      <c r="I289" s="64"/>
      <c r="J289" s="64"/>
      <c r="K289" s="64"/>
      <c r="L289" s="64"/>
      <c r="M289" s="64"/>
      <c r="N289" s="64"/>
      <c r="O289" s="64"/>
      <c r="P289" s="64"/>
      <c r="Q289" s="64"/>
      <c r="R289" s="64"/>
      <c r="S289" s="64"/>
      <c r="T289" s="64"/>
      <c r="U289" s="64"/>
      <c r="V289" s="64"/>
      <c r="W289" s="64"/>
      <c r="X289" s="64"/>
      <c r="Y289" s="64"/>
      <c r="Z289" s="64"/>
    </row>
    <row r="290">
      <c r="A290" s="64"/>
      <c r="B290" s="64"/>
      <c r="C290" s="64"/>
      <c r="D290" s="64"/>
      <c r="E290" s="64"/>
      <c r="F290" s="64"/>
      <c r="G290" s="64"/>
      <c r="H290" s="64"/>
      <c r="I290" s="64"/>
      <c r="J290" s="64"/>
      <c r="K290" s="64"/>
      <c r="L290" s="64"/>
      <c r="M290" s="64"/>
      <c r="N290" s="64"/>
      <c r="O290" s="64"/>
      <c r="P290" s="64"/>
      <c r="Q290" s="64"/>
      <c r="R290" s="64"/>
      <c r="S290" s="64"/>
      <c r="T290" s="64"/>
      <c r="U290" s="64"/>
      <c r="V290" s="64"/>
      <c r="W290" s="64"/>
      <c r="X290" s="64"/>
      <c r="Y290" s="64"/>
      <c r="Z290" s="64"/>
    </row>
    <row r="291">
      <c r="A291" s="64"/>
      <c r="B291" s="64"/>
      <c r="C291" s="64"/>
      <c r="D291" s="64"/>
      <c r="E291" s="64"/>
      <c r="F291" s="64"/>
      <c r="G291" s="64"/>
      <c r="H291" s="64"/>
      <c r="I291" s="64"/>
      <c r="J291" s="64"/>
      <c r="K291" s="64"/>
      <c r="L291" s="64"/>
      <c r="M291" s="64"/>
      <c r="N291" s="64"/>
      <c r="O291" s="64"/>
      <c r="P291" s="64"/>
      <c r="Q291" s="64"/>
      <c r="R291" s="64"/>
      <c r="S291" s="64"/>
      <c r="T291" s="64"/>
      <c r="U291" s="64"/>
      <c r="V291" s="64"/>
      <c r="W291" s="64"/>
      <c r="X291" s="64"/>
      <c r="Y291" s="64"/>
      <c r="Z291" s="64"/>
    </row>
    <row r="292">
      <c r="A292" s="64"/>
      <c r="B292" s="64"/>
      <c r="C292" s="64"/>
      <c r="D292" s="64"/>
      <c r="E292" s="64"/>
      <c r="F292" s="64"/>
      <c r="G292" s="64"/>
      <c r="H292" s="64"/>
      <c r="I292" s="64"/>
      <c r="J292" s="64"/>
      <c r="K292" s="64"/>
      <c r="L292" s="64"/>
      <c r="M292" s="64"/>
      <c r="N292" s="64"/>
      <c r="O292" s="64"/>
      <c r="P292" s="64"/>
      <c r="Q292" s="64"/>
      <c r="R292" s="64"/>
      <c r="S292" s="64"/>
      <c r="T292" s="64"/>
      <c r="U292" s="64"/>
      <c r="V292" s="64"/>
      <c r="W292" s="64"/>
      <c r="X292" s="64"/>
      <c r="Y292" s="64"/>
      <c r="Z292" s="64"/>
    </row>
    <row r="293">
      <c r="A293" s="64"/>
      <c r="B293" s="64"/>
      <c r="C293" s="64"/>
      <c r="D293" s="64"/>
      <c r="E293" s="64"/>
      <c r="F293" s="64"/>
      <c r="G293" s="64"/>
      <c r="H293" s="64"/>
      <c r="I293" s="64"/>
      <c r="J293" s="64"/>
      <c r="K293" s="64"/>
      <c r="L293" s="64"/>
      <c r="M293" s="64"/>
      <c r="N293" s="64"/>
      <c r="O293" s="64"/>
      <c r="P293" s="64"/>
      <c r="Q293" s="64"/>
      <c r="R293" s="64"/>
      <c r="S293" s="64"/>
      <c r="T293" s="64"/>
      <c r="U293" s="64"/>
      <c r="V293" s="64"/>
      <c r="W293" s="64"/>
      <c r="X293" s="64"/>
      <c r="Y293" s="64"/>
      <c r="Z293" s="64"/>
    </row>
    <row r="294">
      <c r="A294" s="64"/>
      <c r="B294" s="64"/>
      <c r="C294" s="64"/>
      <c r="D294" s="64"/>
      <c r="E294" s="64"/>
      <c r="F294" s="64"/>
      <c r="G294" s="64"/>
      <c r="H294" s="64"/>
      <c r="I294" s="64"/>
      <c r="J294" s="64"/>
      <c r="K294" s="64"/>
      <c r="L294" s="64"/>
      <c r="M294" s="64"/>
      <c r="N294" s="64"/>
      <c r="O294" s="64"/>
      <c r="P294" s="64"/>
      <c r="Q294" s="64"/>
      <c r="R294" s="64"/>
      <c r="S294" s="64"/>
      <c r="T294" s="64"/>
      <c r="U294" s="64"/>
      <c r="V294" s="64"/>
      <c r="W294" s="64"/>
      <c r="X294" s="64"/>
      <c r="Y294" s="64"/>
      <c r="Z294" s="64"/>
    </row>
    <row r="295">
      <c r="A295" s="64"/>
      <c r="B295" s="64"/>
      <c r="C295" s="64"/>
      <c r="D295" s="64"/>
      <c r="E295" s="64"/>
      <c r="F295" s="64"/>
      <c r="G295" s="64"/>
      <c r="H295" s="64"/>
      <c r="I295" s="64"/>
      <c r="J295" s="64"/>
      <c r="K295" s="64"/>
      <c r="L295" s="64"/>
      <c r="M295" s="64"/>
      <c r="N295" s="64"/>
      <c r="O295" s="64"/>
      <c r="P295" s="64"/>
      <c r="Q295" s="64"/>
      <c r="R295" s="64"/>
      <c r="S295" s="64"/>
      <c r="T295" s="64"/>
      <c r="U295" s="64"/>
      <c r="V295" s="64"/>
      <c r="W295" s="64"/>
      <c r="X295" s="64"/>
      <c r="Y295" s="64"/>
      <c r="Z295" s="64"/>
    </row>
    <row r="296">
      <c r="A296" s="64"/>
      <c r="B296" s="64"/>
      <c r="C296" s="64"/>
      <c r="D296" s="64"/>
      <c r="E296" s="64"/>
      <c r="F296" s="64"/>
      <c r="G296" s="64"/>
      <c r="H296" s="64"/>
      <c r="I296" s="64"/>
      <c r="J296" s="64"/>
      <c r="K296" s="64"/>
      <c r="L296" s="64"/>
      <c r="M296" s="64"/>
      <c r="N296" s="64"/>
      <c r="O296" s="64"/>
      <c r="P296" s="64"/>
      <c r="Q296" s="64"/>
      <c r="R296" s="64"/>
      <c r="S296" s="64"/>
      <c r="T296" s="64"/>
      <c r="U296" s="64"/>
      <c r="V296" s="64"/>
      <c r="W296" s="64"/>
      <c r="X296" s="64"/>
      <c r="Y296" s="64"/>
      <c r="Z296" s="64"/>
    </row>
    <row r="297">
      <c r="A297" s="64"/>
      <c r="B297" s="64"/>
      <c r="C297" s="64"/>
      <c r="D297" s="64"/>
      <c r="E297" s="64"/>
      <c r="F297" s="64"/>
      <c r="G297" s="64"/>
      <c r="H297" s="64"/>
      <c r="I297" s="64"/>
      <c r="J297" s="64"/>
      <c r="K297" s="64"/>
      <c r="L297" s="64"/>
      <c r="M297" s="64"/>
      <c r="N297" s="64"/>
      <c r="O297" s="64"/>
      <c r="P297" s="64"/>
      <c r="Q297" s="64"/>
      <c r="R297" s="64"/>
      <c r="S297" s="64"/>
      <c r="T297" s="64"/>
      <c r="U297" s="64"/>
      <c r="V297" s="64"/>
      <c r="W297" s="64"/>
      <c r="X297" s="64"/>
      <c r="Y297" s="64"/>
      <c r="Z297" s="64"/>
    </row>
    <row r="298">
      <c r="A298" s="64"/>
      <c r="B298" s="64"/>
      <c r="C298" s="64"/>
      <c r="D298" s="64"/>
      <c r="E298" s="64"/>
      <c r="F298" s="64"/>
      <c r="G298" s="64"/>
      <c r="H298" s="64"/>
      <c r="I298" s="64"/>
      <c r="J298" s="64"/>
      <c r="K298" s="64"/>
      <c r="L298" s="64"/>
      <c r="M298" s="64"/>
      <c r="N298" s="64"/>
      <c r="O298" s="64"/>
      <c r="P298" s="64"/>
      <c r="Q298" s="64"/>
      <c r="R298" s="64"/>
      <c r="S298" s="64"/>
      <c r="T298" s="64"/>
      <c r="U298" s="64"/>
      <c r="V298" s="64"/>
      <c r="W298" s="64"/>
      <c r="X298" s="64"/>
      <c r="Y298" s="64"/>
      <c r="Z298" s="64"/>
    </row>
    <row r="299">
      <c r="A299" s="64"/>
      <c r="B299" s="64"/>
      <c r="C299" s="64"/>
      <c r="D299" s="64"/>
      <c r="E299" s="64"/>
      <c r="F299" s="64"/>
      <c r="G299" s="64"/>
      <c r="H299" s="64"/>
      <c r="I299" s="64"/>
      <c r="J299" s="64"/>
      <c r="K299" s="64"/>
      <c r="L299" s="64"/>
      <c r="M299" s="64"/>
      <c r="N299" s="64"/>
      <c r="O299" s="64"/>
      <c r="P299" s="64"/>
      <c r="Q299" s="64"/>
      <c r="R299" s="64"/>
      <c r="S299" s="64"/>
      <c r="T299" s="64"/>
      <c r="U299" s="64"/>
      <c r="V299" s="64"/>
      <c r="W299" s="64"/>
      <c r="X299" s="64"/>
      <c r="Y299" s="64"/>
      <c r="Z299" s="64"/>
    </row>
    <row r="300">
      <c r="A300" s="64"/>
      <c r="B300" s="64"/>
      <c r="C300" s="64"/>
      <c r="D300" s="64"/>
      <c r="E300" s="64"/>
      <c r="F300" s="64"/>
      <c r="G300" s="64"/>
      <c r="H300" s="64"/>
      <c r="I300" s="64"/>
      <c r="J300" s="64"/>
      <c r="K300" s="64"/>
      <c r="L300" s="64"/>
      <c r="M300" s="64"/>
      <c r="N300" s="64"/>
      <c r="O300" s="64"/>
      <c r="P300" s="64"/>
      <c r="Q300" s="64"/>
      <c r="R300" s="64"/>
      <c r="S300" s="64"/>
      <c r="T300" s="64"/>
      <c r="U300" s="64"/>
      <c r="V300" s="64"/>
      <c r="W300" s="64"/>
      <c r="X300" s="64"/>
      <c r="Y300" s="64"/>
      <c r="Z300" s="64"/>
    </row>
    <row r="301">
      <c r="A301" s="64"/>
      <c r="B301" s="64"/>
      <c r="C301" s="64"/>
      <c r="D301" s="64"/>
      <c r="E301" s="64"/>
      <c r="F301" s="64"/>
      <c r="G301" s="64"/>
      <c r="H301" s="64"/>
      <c r="I301" s="64"/>
      <c r="J301" s="64"/>
      <c r="K301" s="64"/>
      <c r="L301" s="64"/>
      <c r="M301" s="64"/>
      <c r="N301" s="64"/>
      <c r="O301" s="64"/>
      <c r="P301" s="64"/>
      <c r="Q301" s="64"/>
      <c r="R301" s="64"/>
      <c r="S301" s="64"/>
      <c r="T301" s="64"/>
      <c r="U301" s="64"/>
      <c r="V301" s="64"/>
      <c r="W301" s="64"/>
      <c r="X301" s="64"/>
      <c r="Y301" s="64"/>
      <c r="Z301" s="64"/>
    </row>
    <row r="302">
      <c r="A302" s="64"/>
      <c r="B302" s="64"/>
      <c r="C302" s="64"/>
      <c r="D302" s="64"/>
      <c r="E302" s="64"/>
      <c r="F302" s="64"/>
      <c r="G302" s="64"/>
      <c r="H302" s="64"/>
      <c r="I302" s="64"/>
      <c r="J302" s="64"/>
      <c r="K302" s="64"/>
      <c r="L302" s="64"/>
      <c r="M302" s="64"/>
      <c r="N302" s="64"/>
      <c r="O302" s="64"/>
      <c r="P302" s="64"/>
      <c r="Q302" s="64"/>
      <c r="R302" s="64"/>
      <c r="S302" s="64"/>
      <c r="T302" s="64"/>
      <c r="U302" s="64"/>
      <c r="V302" s="64"/>
      <c r="W302" s="64"/>
      <c r="X302" s="64"/>
      <c r="Y302" s="64"/>
      <c r="Z302" s="64"/>
    </row>
    <row r="303">
      <c r="A303" s="64"/>
      <c r="B303" s="64"/>
      <c r="C303" s="64"/>
      <c r="D303" s="64"/>
      <c r="E303" s="64"/>
      <c r="F303" s="64"/>
      <c r="G303" s="64"/>
      <c r="H303" s="64"/>
      <c r="I303" s="64"/>
      <c r="J303" s="64"/>
      <c r="K303" s="64"/>
      <c r="L303" s="64"/>
      <c r="M303" s="64"/>
      <c r="N303" s="64"/>
      <c r="O303" s="64"/>
      <c r="P303" s="64"/>
      <c r="Q303" s="64"/>
      <c r="R303" s="64"/>
      <c r="S303" s="64"/>
      <c r="T303" s="64"/>
      <c r="U303" s="64"/>
      <c r="V303" s="64"/>
      <c r="W303" s="64"/>
      <c r="X303" s="64"/>
      <c r="Y303" s="64"/>
      <c r="Z303" s="64"/>
    </row>
    <row r="304">
      <c r="A304" s="64"/>
      <c r="B304" s="64"/>
      <c r="C304" s="64"/>
      <c r="D304" s="64"/>
      <c r="E304" s="64"/>
      <c r="F304" s="64"/>
      <c r="G304" s="64"/>
      <c r="H304" s="64"/>
      <c r="I304" s="64"/>
      <c r="J304" s="64"/>
      <c r="K304" s="64"/>
      <c r="L304" s="64"/>
      <c r="M304" s="64"/>
      <c r="N304" s="64"/>
      <c r="O304" s="64"/>
      <c r="P304" s="64"/>
      <c r="Q304" s="64"/>
      <c r="R304" s="64"/>
      <c r="S304" s="64"/>
      <c r="T304" s="64"/>
      <c r="U304" s="64"/>
      <c r="V304" s="64"/>
      <c r="W304" s="64"/>
      <c r="X304" s="64"/>
      <c r="Y304" s="64"/>
      <c r="Z304" s="64"/>
    </row>
    <row r="305">
      <c r="A305" s="64"/>
      <c r="B305" s="64"/>
      <c r="C305" s="64"/>
      <c r="D305" s="64"/>
      <c r="E305" s="64"/>
      <c r="F305" s="64"/>
      <c r="G305" s="64"/>
      <c r="H305" s="64"/>
      <c r="I305" s="64"/>
      <c r="J305" s="64"/>
      <c r="K305" s="64"/>
      <c r="L305" s="64"/>
      <c r="M305" s="64"/>
      <c r="N305" s="64"/>
      <c r="O305" s="64"/>
      <c r="P305" s="64"/>
      <c r="Q305" s="64"/>
      <c r="R305" s="64"/>
      <c r="S305" s="64"/>
      <c r="T305" s="64"/>
      <c r="U305" s="64"/>
      <c r="V305" s="64"/>
      <c r="W305" s="64"/>
      <c r="X305" s="64"/>
      <c r="Y305" s="64"/>
      <c r="Z305" s="64"/>
    </row>
    <row r="306">
      <c r="A306" s="64"/>
      <c r="B306" s="64"/>
      <c r="C306" s="64"/>
      <c r="D306" s="64"/>
      <c r="E306" s="64"/>
      <c r="F306" s="64"/>
      <c r="G306" s="64"/>
      <c r="H306" s="64"/>
      <c r="I306" s="64"/>
      <c r="J306" s="64"/>
      <c r="K306" s="64"/>
      <c r="L306" s="64"/>
      <c r="M306" s="64"/>
      <c r="N306" s="64"/>
      <c r="O306" s="64"/>
      <c r="P306" s="64"/>
      <c r="Q306" s="64"/>
      <c r="R306" s="64"/>
      <c r="S306" s="64"/>
      <c r="T306" s="64"/>
      <c r="U306" s="64"/>
      <c r="V306" s="64"/>
      <c r="W306" s="64"/>
      <c r="X306" s="64"/>
      <c r="Y306" s="64"/>
      <c r="Z306" s="64"/>
    </row>
    <row r="307">
      <c r="A307" s="64"/>
      <c r="B307" s="64"/>
      <c r="C307" s="64"/>
      <c r="D307" s="64"/>
      <c r="E307" s="64"/>
      <c r="F307" s="64"/>
      <c r="G307" s="64"/>
      <c r="H307" s="64"/>
      <c r="I307" s="64"/>
      <c r="J307" s="64"/>
      <c r="K307" s="64"/>
      <c r="L307" s="64"/>
      <c r="M307" s="64"/>
      <c r="N307" s="64"/>
      <c r="O307" s="64"/>
      <c r="P307" s="64"/>
      <c r="Q307" s="64"/>
      <c r="R307" s="64"/>
      <c r="S307" s="64"/>
      <c r="T307" s="64"/>
      <c r="U307" s="64"/>
      <c r="V307" s="64"/>
      <c r="W307" s="64"/>
      <c r="X307" s="64"/>
      <c r="Y307" s="64"/>
      <c r="Z307" s="64"/>
    </row>
    <row r="308">
      <c r="A308" s="64"/>
      <c r="B308" s="64"/>
      <c r="C308" s="64"/>
      <c r="D308" s="64"/>
      <c r="E308" s="64"/>
      <c r="F308" s="64"/>
      <c r="G308" s="64"/>
      <c r="H308" s="64"/>
      <c r="I308" s="64"/>
      <c r="J308" s="64"/>
      <c r="K308" s="64"/>
      <c r="L308" s="64"/>
      <c r="M308" s="64"/>
      <c r="N308" s="64"/>
      <c r="O308" s="64"/>
      <c r="P308" s="64"/>
      <c r="Q308" s="64"/>
      <c r="R308" s="64"/>
      <c r="S308" s="64"/>
      <c r="T308" s="64"/>
      <c r="U308" s="64"/>
      <c r="V308" s="64"/>
      <c r="W308" s="64"/>
      <c r="X308" s="64"/>
      <c r="Y308" s="64"/>
      <c r="Z308" s="64"/>
    </row>
    <row r="309">
      <c r="A309" s="64"/>
      <c r="B309" s="64"/>
      <c r="C309" s="64"/>
      <c r="D309" s="64"/>
      <c r="E309" s="64"/>
      <c r="F309" s="64"/>
      <c r="G309" s="64"/>
      <c r="H309" s="64"/>
      <c r="I309" s="64"/>
      <c r="J309" s="64"/>
      <c r="K309" s="64"/>
      <c r="L309" s="64"/>
      <c r="M309" s="64"/>
      <c r="N309" s="64"/>
      <c r="O309" s="64"/>
      <c r="P309" s="64"/>
      <c r="Q309" s="64"/>
      <c r="R309" s="64"/>
      <c r="S309" s="64"/>
      <c r="T309" s="64"/>
      <c r="U309" s="64"/>
      <c r="V309" s="64"/>
      <c r="W309" s="64"/>
      <c r="X309" s="64"/>
      <c r="Y309" s="64"/>
      <c r="Z309" s="64"/>
    </row>
    <row r="310">
      <c r="A310" s="64"/>
      <c r="B310" s="64"/>
      <c r="C310" s="64"/>
      <c r="D310" s="64"/>
      <c r="E310" s="64"/>
      <c r="F310" s="64"/>
      <c r="G310" s="64"/>
      <c r="H310" s="64"/>
      <c r="I310" s="64"/>
      <c r="J310" s="64"/>
      <c r="K310" s="64"/>
      <c r="L310" s="64"/>
      <c r="M310" s="64"/>
      <c r="N310" s="64"/>
      <c r="O310" s="64"/>
      <c r="P310" s="64"/>
      <c r="Q310" s="64"/>
      <c r="R310" s="64"/>
      <c r="S310" s="64"/>
      <c r="T310" s="64"/>
      <c r="U310" s="64"/>
      <c r="V310" s="64"/>
      <c r="W310" s="64"/>
      <c r="X310" s="64"/>
      <c r="Y310" s="64"/>
      <c r="Z310" s="64"/>
    </row>
    <row r="311">
      <c r="A311" s="64"/>
      <c r="B311" s="64"/>
      <c r="C311" s="64"/>
      <c r="D311" s="64"/>
      <c r="E311" s="64"/>
      <c r="F311" s="64"/>
      <c r="G311" s="64"/>
      <c r="H311" s="64"/>
      <c r="I311" s="64"/>
      <c r="J311" s="64"/>
      <c r="K311" s="64"/>
      <c r="L311" s="64"/>
      <c r="M311" s="64"/>
      <c r="N311" s="64"/>
      <c r="O311" s="64"/>
      <c r="P311" s="64"/>
      <c r="Q311" s="64"/>
      <c r="R311" s="64"/>
      <c r="S311" s="64"/>
      <c r="T311" s="64"/>
      <c r="U311" s="64"/>
      <c r="V311" s="64"/>
      <c r="W311" s="64"/>
      <c r="X311" s="64"/>
      <c r="Y311" s="64"/>
      <c r="Z311" s="64"/>
    </row>
    <row r="312">
      <c r="A312" s="64"/>
      <c r="B312" s="64"/>
      <c r="C312" s="64"/>
      <c r="D312" s="64"/>
      <c r="E312" s="64"/>
      <c r="F312" s="64"/>
      <c r="G312" s="64"/>
      <c r="H312" s="64"/>
      <c r="I312" s="64"/>
      <c r="J312" s="64"/>
      <c r="K312" s="64"/>
      <c r="L312" s="64"/>
      <c r="M312" s="64"/>
      <c r="N312" s="64"/>
      <c r="O312" s="64"/>
      <c r="P312" s="64"/>
      <c r="Q312" s="64"/>
      <c r="R312" s="64"/>
      <c r="S312" s="64"/>
      <c r="T312" s="64"/>
      <c r="U312" s="64"/>
      <c r="V312" s="64"/>
      <c r="W312" s="64"/>
      <c r="X312" s="64"/>
      <c r="Y312" s="64"/>
      <c r="Z312" s="64"/>
    </row>
    <row r="313">
      <c r="A313" s="64"/>
      <c r="B313" s="64"/>
      <c r="C313" s="64"/>
      <c r="D313" s="64"/>
      <c r="E313" s="64"/>
      <c r="F313" s="64"/>
      <c r="G313" s="64"/>
      <c r="H313" s="64"/>
      <c r="I313" s="64"/>
      <c r="J313" s="64"/>
      <c r="K313" s="64"/>
      <c r="L313" s="64"/>
      <c r="M313" s="64"/>
      <c r="N313" s="64"/>
      <c r="O313" s="64"/>
      <c r="P313" s="64"/>
      <c r="Q313" s="64"/>
      <c r="R313" s="64"/>
      <c r="S313" s="64"/>
      <c r="T313" s="64"/>
      <c r="U313" s="64"/>
      <c r="V313" s="64"/>
      <c r="W313" s="64"/>
      <c r="X313" s="64"/>
      <c r="Y313" s="64"/>
      <c r="Z313" s="64"/>
    </row>
    <row r="314">
      <c r="A314" s="64"/>
      <c r="B314" s="64"/>
      <c r="C314" s="64"/>
      <c r="D314" s="64"/>
      <c r="E314" s="64"/>
      <c r="F314" s="64"/>
      <c r="G314" s="64"/>
      <c r="H314" s="64"/>
      <c r="I314" s="64"/>
      <c r="J314" s="64"/>
      <c r="K314" s="64"/>
      <c r="L314" s="64"/>
      <c r="M314" s="64"/>
      <c r="N314" s="64"/>
      <c r="O314" s="64"/>
      <c r="P314" s="64"/>
      <c r="Q314" s="64"/>
      <c r="R314" s="64"/>
      <c r="S314" s="64"/>
      <c r="T314" s="64"/>
      <c r="U314" s="64"/>
      <c r="V314" s="64"/>
      <c r="W314" s="64"/>
      <c r="X314" s="64"/>
      <c r="Y314" s="64"/>
      <c r="Z314" s="64"/>
    </row>
    <row r="315">
      <c r="A315" s="64"/>
      <c r="B315" s="64"/>
      <c r="C315" s="64"/>
      <c r="D315" s="64"/>
      <c r="E315" s="64"/>
      <c r="F315" s="64"/>
      <c r="G315" s="64"/>
      <c r="H315" s="64"/>
      <c r="I315" s="64"/>
      <c r="J315" s="64"/>
      <c r="K315" s="64"/>
      <c r="L315" s="64"/>
      <c r="M315" s="64"/>
      <c r="N315" s="64"/>
      <c r="O315" s="64"/>
      <c r="P315" s="64"/>
      <c r="Q315" s="64"/>
      <c r="R315" s="64"/>
      <c r="S315" s="64"/>
      <c r="T315" s="64"/>
      <c r="U315" s="64"/>
      <c r="V315" s="64"/>
      <c r="W315" s="64"/>
      <c r="X315" s="64"/>
      <c r="Y315" s="64"/>
      <c r="Z315" s="64"/>
    </row>
    <row r="316">
      <c r="A316" s="64"/>
      <c r="B316" s="64"/>
      <c r="C316" s="64"/>
      <c r="D316" s="64"/>
      <c r="E316" s="64"/>
      <c r="F316" s="64"/>
      <c r="G316" s="64"/>
      <c r="H316" s="64"/>
      <c r="I316" s="64"/>
      <c r="J316" s="64"/>
      <c r="K316" s="64"/>
      <c r="L316" s="64"/>
      <c r="M316" s="64"/>
      <c r="N316" s="64"/>
      <c r="O316" s="64"/>
      <c r="P316" s="64"/>
      <c r="Q316" s="64"/>
      <c r="R316" s="64"/>
      <c r="S316" s="64"/>
      <c r="T316" s="64"/>
      <c r="U316" s="64"/>
      <c r="V316" s="64"/>
      <c r="W316" s="64"/>
      <c r="X316" s="64"/>
      <c r="Y316" s="64"/>
      <c r="Z316" s="64"/>
    </row>
    <row r="317">
      <c r="A317" s="64"/>
      <c r="B317" s="64"/>
      <c r="C317" s="64"/>
      <c r="D317" s="64"/>
      <c r="E317" s="64"/>
      <c r="F317" s="64"/>
      <c r="G317" s="64"/>
      <c r="H317" s="64"/>
      <c r="I317" s="64"/>
      <c r="J317" s="64"/>
      <c r="K317" s="64"/>
      <c r="L317" s="64"/>
      <c r="M317" s="64"/>
      <c r="N317" s="64"/>
      <c r="O317" s="64"/>
      <c r="P317" s="64"/>
      <c r="Q317" s="64"/>
      <c r="R317" s="64"/>
      <c r="S317" s="64"/>
      <c r="T317" s="64"/>
      <c r="U317" s="64"/>
      <c r="V317" s="64"/>
      <c r="W317" s="64"/>
      <c r="X317" s="64"/>
      <c r="Y317" s="64"/>
      <c r="Z317" s="64"/>
    </row>
    <row r="318">
      <c r="A318" s="64"/>
      <c r="B318" s="64"/>
      <c r="C318" s="64"/>
      <c r="D318" s="64"/>
      <c r="E318" s="64"/>
      <c r="F318" s="64"/>
      <c r="G318" s="64"/>
      <c r="H318" s="64"/>
      <c r="I318" s="64"/>
      <c r="J318" s="64"/>
      <c r="K318" s="64"/>
      <c r="L318" s="64"/>
      <c r="M318" s="64"/>
      <c r="N318" s="64"/>
      <c r="O318" s="64"/>
      <c r="P318" s="64"/>
      <c r="Q318" s="64"/>
      <c r="R318" s="64"/>
      <c r="S318" s="64"/>
      <c r="T318" s="64"/>
      <c r="U318" s="64"/>
      <c r="V318" s="64"/>
      <c r="W318" s="64"/>
      <c r="X318" s="64"/>
      <c r="Y318" s="64"/>
      <c r="Z318" s="64"/>
    </row>
    <row r="319">
      <c r="A319" s="64"/>
      <c r="B319" s="64"/>
      <c r="C319" s="64"/>
      <c r="D319" s="64"/>
      <c r="E319" s="64"/>
      <c r="F319" s="64"/>
      <c r="G319" s="64"/>
      <c r="H319" s="64"/>
      <c r="I319" s="64"/>
      <c r="J319" s="64"/>
      <c r="K319" s="64"/>
      <c r="L319" s="64"/>
      <c r="M319" s="64"/>
      <c r="N319" s="64"/>
      <c r="O319" s="64"/>
      <c r="P319" s="64"/>
      <c r="Q319" s="64"/>
      <c r="R319" s="64"/>
      <c r="S319" s="64"/>
      <c r="T319" s="64"/>
      <c r="U319" s="64"/>
      <c r="V319" s="64"/>
      <c r="W319" s="64"/>
      <c r="X319" s="64"/>
      <c r="Y319" s="64"/>
      <c r="Z319" s="64"/>
    </row>
    <row r="320">
      <c r="A320" s="64"/>
      <c r="B320" s="64"/>
      <c r="C320" s="64"/>
      <c r="D320" s="64"/>
      <c r="E320" s="64"/>
      <c r="F320" s="64"/>
      <c r="G320" s="64"/>
      <c r="H320" s="64"/>
      <c r="I320" s="64"/>
      <c r="J320" s="64"/>
      <c r="K320" s="64"/>
      <c r="L320" s="64"/>
      <c r="M320" s="64"/>
      <c r="N320" s="64"/>
      <c r="O320" s="64"/>
      <c r="P320" s="64"/>
      <c r="Q320" s="64"/>
      <c r="R320" s="64"/>
      <c r="S320" s="64"/>
      <c r="T320" s="64"/>
      <c r="U320" s="64"/>
      <c r="V320" s="64"/>
      <c r="W320" s="64"/>
      <c r="X320" s="64"/>
      <c r="Y320" s="64"/>
      <c r="Z320" s="64"/>
    </row>
    <row r="321">
      <c r="A321" s="64"/>
      <c r="B321" s="64"/>
      <c r="C321" s="64"/>
      <c r="D321" s="64"/>
      <c r="E321" s="64"/>
      <c r="F321" s="64"/>
      <c r="G321" s="64"/>
      <c r="H321" s="64"/>
      <c r="I321" s="64"/>
      <c r="J321" s="64"/>
      <c r="K321" s="64"/>
      <c r="L321" s="64"/>
      <c r="M321" s="64"/>
      <c r="N321" s="64"/>
      <c r="O321" s="64"/>
      <c r="P321" s="64"/>
      <c r="Q321" s="64"/>
      <c r="R321" s="64"/>
      <c r="S321" s="64"/>
      <c r="T321" s="64"/>
      <c r="U321" s="64"/>
      <c r="V321" s="64"/>
      <c r="W321" s="64"/>
      <c r="X321" s="64"/>
      <c r="Y321" s="64"/>
      <c r="Z321" s="64"/>
    </row>
    <row r="322">
      <c r="A322" s="64"/>
      <c r="B322" s="64"/>
      <c r="C322" s="64"/>
      <c r="D322" s="64"/>
      <c r="E322" s="64"/>
      <c r="F322" s="64"/>
      <c r="G322" s="64"/>
      <c r="H322" s="64"/>
      <c r="I322" s="64"/>
      <c r="J322" s="64"/>
      <c r="K322" s="64"/>
      <c r="L322" s="64"/>
      <c r="M322" s="64"/>
      <c r="N322" s="64"/>
      <c r="O322" s="64"/>
      <c r="P322" s="64"/>
      <c r="Q322" s="64"/>
      <c r="R322" s="64"/>
      <c r="S322" s="64"/>
      <c r="T322" s="64"/>
      <c r="U322" s="64"/>
      <c r="V322" s="64"/>
      <c r="W322" s="64"/>
      <c r="X322" s="64"/>
      <c r="Y322" s="64"/>
      <c r="Z322" s="64"/>
    </row>
    <row r="323">
      <c r="A323" s="64"/>
      <c r="B323" s="64"/>
      <c r="C323" s="64"/>
      <c r="D323" s="64"/>
      <c r="E323" s="64"/>
      <c r="F323" s="64"/>
      <c r="G323" s="64"/>
      <c r="H323" s="64"/>
      <c r="I323" s="64"/>
      <c r="J323" s="64"/>
      <c r="K323" s="64"/>
      <c r="L323" s="64"/>
      <c r="M323" s="64"/>
      <c r="N323" s="64"/>
      <c r="O323" s="64"/>
      <c r="P323" s="64"/>
      <c r="Q323" s="64"/>
      <c r="R323" s="64"/>
      <c r="S323" s="64"/>
      <c r="T323" s="64"/>
      <c r="U323" s="64"/>
      <c r="V323" s="64"/>
      <c r="W323" s="64"/>
      <c r="X323" s="64"/>
      <c r="Y323" s="64"/>
      <c r="Z323" s="64"/>
    </row>
    <row r="324">
      <c r="A324" s="64"/>
      <c r="B324" s="64"/>
      <c r="C324" s="64"/>
      <c r="D324" s="64"/>
      <c r="E324" s="64"/>
      <c r="F324" s="64"/>
      <c r="G324" s="64"/>
      <c r="H324" s="64"/>
      <c r="I324" s="64"/>
      <c r="J324" s="64"/>
      <c r="K324" s="64"/>
      <c r="L324" s="64"/>
      <c r="M324" s="64"/>
      <c r="N324" s="64"/>
      <c r="O324" s="64"/>
      <c r="P324" s="64"/>
      <c r="Q324" s="64"/>
      <c r="R324" s="64"/>
      <c r="S324" s="64"/>
      <c r="T324" s="64"/>
      <c r="U324" s="64"/>
      <c r="V324" s="64"/>
      <c r="W324" s="64"/>
      <c r="X324" s="64"/>
      <c r="Y324" s="64"/>
      <c r="Z324" s="64"/>
    </row>
    <row r="325">
      <c r="A325" s="64"/>
      <c r="B325" s="64"/>
      <c r="C325" s="64"/>
      <c r="D325" s="64"/>
      <c r="E325" s="64"/>
      <c r="F325" s="64"/>
      <c r="G325" s="64"/>
      <c r="H325" s="64"/>
      <c r="I325" s="64"/>
      <c r="J325" s="64"/>
      <c r="K325" s="64"/>
      <c r="L325" s="64"/>
      <c r="M325" s="64"/>
      <c r="N325" s="64"/>
      <c r="O325" s="64"/>
      <c r="P325" s="64"/>
      <c r="Q325" s="64"/>
      <c r="R325" s="64"/>
      <c r="S325" s="64"/>
      <c r="T325" s="64"/>
      <c r="U325" s="64"/>
      <c r="V325" s="64"/>
      <c r="W325" s="64"/>
      <c r="X325" s="64"/>
      <c r="Y325" s="64"/>
      <c r="Z325" s="64"/>
    </row>
    <row r="326">
      <c r="A326" s="64"/>
      <c r="B326" s="64"/>
      <c r="C326" s="64"/>
      <c r="D326" s="64"/>
      <c r="E326" s="64"/>
      <c r="F326" s="64"/>
      <c r="G326" s="64"/>
      <c r="H326" s="64"/>
      <c r="I326" s="64"/>
      <c r="J326" s="64"/>
      <c r="K326" s="64"/>
      <c r="L326" s="64"/>
      <c r="M326" s="64"/>
      <c r="N326" s="64"/>
      <c r="O326" s="64"/>
      <c r="P326" s="64"/>
      <c r="Q326" s="64"/>
      <c r="R326" s="64"/>
      <c r="S326" s="64"/>
      <c r="T326" s="64"/>
      <c r="U326" s="64"/>
      <c r="V326" s="64"/>
      <c r="W326" s="64"/>
      <c r="X326" s="64"/>
      <c r="Y326" s="64"/>
      <c r="Z326" s="64"/>
    </row>
    <row r="327">
      <c r="A327" s="64"/>
      <c r="B327" s="64"/>
      <c r="C327" s="64"/>
      <c r="D327" s="64"/>
      <c r="E327" s="64"/>
      <c r="F327" s="64"/>
      <c r="G327" s="64"/>
      <c r="H327" s="64"/>
      <c r="I327" s="64"/>
      <c r="J327" s="64"/>
      <c r="K327" s="64"/>
      <c r="L327" s="64"/>
      <c r="M327" s="64"/>
      <c r="N327" s="64"/>
      <c r="O327" s="64"/>
      <c r="P327" s="64"/>
      <c r="Q327" s="64"/>
      <c r="R327" s="64"/>
      <c r="S327" s="64"/>
      <c r="T327" s="64"/>
      <c r="U327" s="64"/>
      <c r="V327" s="64"/>
      <c r="W327" s="64"/>
      <c r="X327" s="64"/>
      <c r="Y327" s="64"/>
      <c r="Z327" s="64"/>
    </row>
    <row r="328">
      <c r="A328" s="64"/>
      <c r="B328" s="64"/>
      <c r="C328" s="64"/>
      <c r="D328" s="64"/>
      <c r="E328" s="64"/>
      <c r="F328" s="64"/>
      <c r="G328" s="64"/>
      <c r="H328" s="64"/>
      <c r="I328" s="64"/>
      <c r="J328" s="64"/>
      <c r="K328" s="64"/>
      <c r="L328" s="64"/>
      <c r="M328" s="64"/>
      <c r="N328" s="64"/>
      <c r="O328" s="64"/>
      <c r="P328" s="64"/>
      <c r="Q328" s="64"/>
      <c r="R328" s="64"/>
      <c r="S328" s="64"/>
      <c r="T328" s="64"/>
      <c r="U328" s="64"/>
      <c r="V328" s="64"/>
      <c r="W328" s="64"/>
      <c r="X328" s="64"/>
      <c r="Y328" s="64"/>
      <c r="Z328" s="64"/>
    </row>
    <row r="329">
      <c r="A329" s="64"/>
      <c r="B329" s="64"/>
      <c r="C329" s="64"/>
      <c r="D329" s="64"/>
      <c r="E329" s="64"/>
      <c r="F329" s="64"/>
      <c r="G329" s="64"/>
      <c r="H329" s="64"/>
      <c r="I329" s="64"/>
      <c r="J329" s="64"/>
      <c r="K329" s="64"/>
      <c r="L329" s="64"/>
      <c r="M329" s="64"/>
      <c r="N329" s="64"/>
      <c r="O329" s="64"/>
      <c r="P329" s="64"/>
      <c r="Q329" s="64"/>
      <c r="R329" s="64"/>
      <c r="S329" s="64"/>
      <c r="T329" s="64"/>
      <c r="U329" s="64"/>
      <c r="V329" s="64"/>
      <c r="W329" s="64"/>
      <c r="X329" s="64"/>
      <c r="Y329" s="64"/>
      <c r="Z329" s="64"/>
    </row>
    <row r="330">
      <c r="A330" s="64"/>
      <c r="B330" s="64"/>
      <c r="C330" s="64"/>
      <c r="D330" s="64"/>
      <c r="E330" s="64"/>
      <c r="F330" s="64"/>
      <c r="G330" s="64"/>
      <c r="H330" s="64"/>
      <c r="I330" s="64"/>
      <c r="J330" s="64"/>
      <c r="K330" s="64"/>
      <c r="L330" s="64"/>
      <c r="M330" s="64"/>
      <c r="N330" s="64"/>
      <c r="O330" s="64"/>
      <c r="P330" s="64"/>
      <c r="Q330" s="64"/>
      <c r="R330" s="64"/>
      <c r="S330" s="64"/>
      <c r="T330" s="64"/>
      <c r="U330" s="64"/>
      <c r="V330" s="64"/>
      <c r="W330" s="64"/>
      <c r="X330" s="64"/>
      <c r="Y330" s="64"/>
      <c r="Z330" s="64"/>
    </row>
    <row r="331">
      <c r="A331" s="64"/>
      <c r="B331" s="64"/>
      <c r="C331" s="64"/>
      <c r="D331" s="64"/>
      <c r="E331" s="64"/>
      <c r="F331" s="64"/>
      <c r="G331" s="64"/>
      <c r="H331" s="64"/>
      <c r="I331" s="64"/>
      <c r="J331" s="64"/>
      <c r="K331" s="64"/>
      <c r="L331" s="64"/>
      <c r="M331" s="64"/>
      <c r="N331" s="64"/>
      <c r="O331" s="64"/>
      <c r="P331" s="64"/>
      <c r="Q331" s="64"/>
      <c r="R331" s="64"/>
      <c r="S331" s="64"/>
      <c r="T331" s="64"/>
      <c r="U331" s="64"/>
      <c r="V331" s="64"/>
      <c r="W331" s="64"/>
      <c r="X331" s="64"/>
      <c r="Y331" s="64"/>
      <c r="Z331" s="64"/>
    </row>
    <row r="332">
      <c r="A332" s="64"/>
      <c r="B332" s="64"/>
      <c r="C332" s="64"/>
      <c r="D332" s="64"/>
      <c r="E332" s="64"/>
      <c r="F332" s="64"/>
      <c r="G332" s="64"/>
      <c r="H332" s="64"/>
      <c r="I332" s="64"/>
      <c r="J332" s="64"/>
      <c r="K332" s="64"/>
      <c r="L332" s="64"/>
      <c r="M332" s="64"/>
      <c r="N332" s="64"/>
      <c r="O332" s="64"/>
      <c r="P332" s="64"/>
      <c r="Q332" s="64"/>
      <c r="R332" s="64"/>
      <c r="S332" s="64"/>
      <c r="T332" s="64"/>
      <c r="U332" s="64"/>
      <c r="V332" s="64"/>
      <c r="W332" s="64"/>
      <c r="X332" s="64"/>
      <c r="Y332" s="64"/>
      <c r="Z332" s="64"/>
    </row>
    <row r="333">
      <c r="A333" s="64"/>
      <c r="B333" s="64"/>
      <c r="C333" s="64"/>
      <c r="D333" s="64"/>
      <c r="E333" s="64"/>
      <c r="F333" s="64"/>
      <c r="G333" s="64"/>
      <c r="H333" s="64"/>
      <c r="I333" s="64"/>
      <c r="J333" s="64"/>
      <c r="K333" s="64"/>
      <c r="L333" s="64"/>
      <c r="M333" s="64"/>
      <c r="N333" s="64"/>
      <c r="O333" s="64"/>
      <c r="P333" s="64"/>
      <c r="Q333" s="64"/>
      <c r="R333" s="64"/>
      <c r="S333" s="64"/>
      <c r="T333" s="64"/>
      <c r="U333" s="64"/>
      <c r="V333" s="64"/>
      <c r="W333" s="64"/>
      <c r="X333" s="64"/>
      <c r="Y333" s="64"/>
      <c r="Z333" s="64"/>
    </row>
    <row r="334">
      <c r="A334" s="64"/>
      <c r="B334" s="64"/>
      <c r="C334" s="64"/>
      <c r="D334" s="64"/>
      <c r="E334" s="64"/>
      <c r="F334" s="64"/>
      <c r="G334" s="64"/>
      <c r="H334" s="64"/>
      <c r="I334" s="64"/>
      <c r="J334" s="64"/>
      <c r="K334" s="64"/>
      <c r="L334" s="64"/>
      <c r="M334" s="64"/>
      <c r="N334" s="64"/>
      <c r="O334" s="64"/>
      <c r="P334" s="64"/>
      <c r="Q334" s="64"/>
      <c r="R334" s="64"/>
      <c r="S334" s="64"/>
      <c r="T334" s="64"/>
      <c r="U334" s="64"/>
      <c r="V334" s="64"/>
      <c r="W334" s="64"/>
      <c r="X334" s="64"/>
      <c r="Y334" s="64"/>
      <c r="Z334" s="64"/>
    </row>
    <row r="335">
      <c r="A335" s="64"/>
      <c r="B335" s="64"/>
      <c r="C335" s="64"/>
      <c r="D335" s="64"/>
      <c r="E335" s="64"/>
      <c r="F335" s="64"/>
      <c r="G335" s="64"/>
      <c r="H335" s="64"/>
      <c r="I335" s="64"/>
      <c r="J335" s="64"/>
      <c r="K335" s="64"/>
      <c r="L335" s="64"/>
      <c r="M335" s="64"/>
      <c r="N335" s="64"/>
      <c r="O335" s="64"/>
      <c r="P335" s="64"/>
      <c r="Q335" s="64"/>
      <c r="R335" s="64"/>
      <c r="S335" s="64"/>
      <c r="T335" s="64"/>
      <c r="U335" s="64"/>
      <c r="V335" s="64"/>
      <c r="W335" s="64"/>
      <c r="X335" s="64"/>
      <c r="Y335" s="64"/>
      <c r="Z335" s="64"/>
    </row>
    <row r="336">
      <c r="A336" s="64"/>
      <c r="B336" s="64"/>
      <c r="C336" s="64"/>
      <c r="D336" s="64"/>
      <c r="E336" s="64"/>
      <c r="F336" s="64"/>
      <c r="G336" s="64"/>
      <c r="H336" s="64"/>
      <c r="I336" s="64"/>
      <c r="J336" s="64"/>
      <c r="K336" s="64"/>
      <c r="L336" s="64"/>
      <c r="M336" s="64"/>
      <c r="N336" s="64"/>
      <c r="O336" s="64"/>
      <c r="P336" s="64"/>
      <c r="Q336" s="64"/>
      <c r="R336" s="64"/>
      <c r="S336" s="64"/>
      <c r="T336" s="64"/>
      <c r="U336" s="64"/>
      <c r="V336" s="64"/>
      <c r="W336" s="64"/>
      <c r="X336" s="64"/>
      <c r="Y336" s="64"/>
      <c r="Z336" s="64"/>
    </row>
    <row r="337">
      <c r="A337" s="64"/>
      <c r="B337" s="64"/>
      <c r="C337" s="64"/>
      <c r="D337" s="64"/>
      <c r="E337" s="64"/>
      <c r="F337" s="64"/>
      <c r="G337" s="64"/>
      <c r="H337" s="64"/>
      <c r="I337" s="64"/>
      <c r="J337" s="64"/>
      <c r="K337" s="64"/>
      <c r="L337" s="64"/>
      <c r="M337" s="64"/>
      <c r="N337" s="64"/>
      <c r="O337" s="64"/>
      <c r="P337" s="64"/>
      <c r="Q337" s="64"/>
      <c r="R337" s="64"/>
      <c r="S337" s="64"/>
      <c r="T337" s="64"/>
      <c r="U337" s="64"/>
      <c r="V337" s="64"/>
      <c r="W337" s="64"/>
      <c r="X337" s="64"/>
      <c r="Y337" s="64"/>
      <c r="Z337" s="64"/>
    </row>
    <row r="338">
      <c r="A338" s="64"/>
      <c r="B338" s="64"/>
      <c r="C338" s="64"/>
      <c r="D338" s="64"/>
      <c r="E338" s="64"/>
      <c r="F338" s="64"/>
      <c r="G338" s="64"/>
      <c r="H338" s="64"/>
      <c r="I338" s="64"/>
      <c r="J338" s="64"/>
      <c r="K338" s="64"/>
      <c r="L338" s="64"/>
      <c r="M338" s="64"/>
      <c r="N338" s="64"/>
      <c r="O338" s="64"/>
      <c r="P338" s="64"/>
      <c r="Q338" s="64"/>
      <c r="R338" s="64"/>
      <c r="S338" s="64"/>
      <c r="T338" s="64"/>
      <c r="U338" s="64"/>
      <c r="V338" s="64"/>
      <c r="W338" s="64"/>
      <c r="X338" s="64"/>
      <c r="Y338" s="64"/>
      <c r="Z338" s="64"/>
    </row>
    <row r="339">
      <c r="A339" s="64"/>
      <c r="B339" s="64"/>
      <c r="C339" s="64"/>
      <c r="D339" s="64"/>
      <c r="E339" s="64"/>
      <c r="F339" s="64"/>
      <c r="G339" s="64"/>
      <c r="H339" s="64"/>
      <c r="I339" s="64"/>
      <c r="J339" s="64"/>
      <c r="K339" s="64"/>
      <c r="L339" s="64"/>
      <c r="M339" s="64"/>
      <c r="N339" s="64"/>
      <c r="O339" s="64"/>
      <c r="P339" s="64"/>
      <c r="Q339" s="64"/>
      <c r="R339" s="64"/>
      <c r="S339" s="64"/>
      <c r="T339" s="64"/>
      <c r="U339" s="64"/>
      <c r="V339" s="64"/>
      <c r="W339" s="64"/>
      <c r="X339" s="64"/>
      <c r="Y339" s="64"/>
      <c r="Z339" s="64"/>
    </row>
    <row r="340">
      <c r="A340" s="64"/>
      <c r="B340" s="64"/>
      <c r="C340" s="64"/>
      <c r="D340" s="64"/>
      <c r="E340" s="64"/>
      <c r="F340" s="64"/>
      <c r="G340" s="64"/>
      <c r="H340" s="64"/>
      <c r="I340" s="64"/>
      <c r="J340" s="64"/>
      <c r="K340" s="64"/>
      <c r="L340" s="64"/>
      <c r="M340" s="64"/>
      <c r="N340" s="64"/>
      <c r="O340" s="64"/>
      <c r="P340" s="64"/>
      <c r="Q340" s="64"/>
      <c r="R340" s="64"/>
      <c r="S340" s="64"/>
      <c r="T340" s="64"/>
      <c r="U340" s="64"/>
      <c r="V340" s="64"/>
      <c r="W340" s="64"/>
      <c r="X340" s="64"/>
      <c r="Y340" s="64"/>
      <c r="Z340" s="64"/>
    </row>
    <row r="341">
      <c r="A341" s="64"/>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row>
    <row r="342">
      <c r="A342" s="64"/>
      <c r="B342" s="64"/>
      <c r="C342" s="64"/>
      <c r="D342" s="64"/>
      <c r="E342" s="64"/>
      <c r="F342" s="64"/>
      <c r="G342" s="64"/>
      <c r="H342" s="64"/>
      <c r="I342" s="64"/>
      <c r="J342" s="64"/>
      <c r="K342" s="64"/>
      <c r="L342" s="64"/>
      <c r="M342" s="64"/>
      <c r="N342" s="64"/>
      <c r="O342" s="64"/>
      <c r="P342" s="64"/>
      <c r="Q342" s="64"/>
      <c r="R342" s="64"/>
      <c r="S342" s="64"/>
      <c r="T342" s="64"/>
      <c r="U342" s="64"/>
      <c r="V342" s="64"/>
      <c r="W342" s="64"/>
      <c r="X342" s="64"/>
      <c r="Y342" s="64"/>
      <c r="Z342" s="64"/>
    </row>
    <row r="343">
      <c r="A343" s="64"/>
      <c r="B343" s="64"/>
      <c r="C343" s="64"/>
      <c r="D343" s="64"/>
      <c r="E343" s="64"/>
      <c r="F343" s="64"/>
      <c r="G343" s="64"/>
      <c r="H343" s="64"/>
      <c r="I343" s="64"/>
      <c r="J343" s="64"/>
      <c r="K343" s="64"/>
      <c r="L343" s="64"/>
      <c r="M343" s="64"/>
      <c r="N343" s="64"/>
      <c r="O343" s="64"/>
      <c r="P343" s="64"/>
      <c r="Q343" s="64"/>
      <c r="R343" s="64"/>
      <c r="S343" s="64"/>
      <c r="T343" s="64"/>
      <c r="U343" s="64"/>
      <c r="V343" s="64"/>
      <c r="W343" s="64"/>
      <c r="X343" s="64"/>
      <c r="Y343" s="64"/>
      <c r="Z343" s="64"/>
    </row>
    <row r="344">
      <c r="A344" s="64"/>
      <c r="B344" s="64"/>
      <c r="C344" s="64"/>
      <c r="D344" s="64"/>
      <c r="E344" s="64"/>
      <c r="F344" s="64"/>
      <c r="G344" s="64"/>
      <c r="H344" s="64"/>
      <c r="I344" s="64"/>
      <c r="J344" s="64"/>
      <c r="K344" s="64"/>
      <c r="L344" s="64"/>
      <c r="M344" s="64"/>
      <c r="N344" s="64"/>
      <c r="O344" s="64"/>
      <c r="P344" s="64"/>
      <c r="Q344" s="64"/>
      <c r="R344" s="64"/>
      <c r="S344" s="64"/>
      <c r="T344" s="64"/>
      <c r="U344" s="64"/>
      <c r="V344" s="64"/>
      <c r="W344" s="64"/>
      <c r="X344" s="64"/>
      <c r="Y344" s="64"/>
      <c r="Z344" s="64"/>
    </row>
    <row r="345">
      <c r="A345" s="64"/>
      <c r="B345" s="64"/>
      <c r="C345" s="64"/>
      <c r="D345" s="64"/>
      <c r="E345" s="64"/>
      <c r="F345" s="64"/>
      <c r="G345" s="64"/>
      <c r="H345" s="64"/>
      <c r="I345" s="64"/>
      <c r="J345" s="64"/>
      <c r="K345" s="64"/>
      <c r="L345" s="64"/>
      <c r="M345" s="64"/>
      <c r="N345" s="64"/>
      <c r="O345" s="64"/>
      <c r="P345" s="64"/>
      <c r="Q345" s="64"/>
      <c r="R345" s="64"/>
      <c r="S345" s="64"/>
      <c r="T345" s="64"/>
      <c r="U345" s="64"/>
      <c r="V345" s="64"/>
      <c r="W345" s="64"/>
      <c r="X345" s="64"/>
      <c r="Y345" s="64"/>
      <c r="Z345" s="64"/>
    </row>
    <row r="346">
      <c r="A346" s="64"/>
      <c r="B346" s="64"/>
      <c r="C346" s="64"/>
      <c r="D346" s="64"/>
      <c r="E346" s="64"/>
      <c r="F346" s="64"/>
      <c r="G346" s="64"/>
      <c r="H346" s="64"/>
      <c r="I346" s="64"/>
      <c r="J346" s="64"/>
      <c r="K346" s="64"/>
      <c r="L346" s="64"/>
      <c r="M346" s="64"/>
      <c r="N346" s="64"/>
      <c r="O346" s="64"/>
      <c r="P346" s="64"/>
      <c r="Q346" s="64"/>
      <c r="R346" s="64"/>
      <c r="S346" s="64"/>
      <c r="T346" s="64"/>
      <c r="U346" s="64"/>
      <c r="V346" s="64"/>
      <c r="W346" s="64"/>
      <c r="X346" s="64"/>
      <c r="Y346" s="64"/>
      <c r="Z346" s="64"/>
    </row>
    <row r="347">
      <c r="A347" s="64"/>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row>
    <row r="348">
      <c r="A348" s="64"/>
      <c r="B348" s="64"/>
      <c r="C348" s="64"/>
      <c r="D348" s="64"/>
      <c r="E348" s="64"/>
      <c r="F348" s="64"/>
      <c r="G348" s="64"/>
      <c r="H348" s="64"/>
      <c r="I348" s="64"/>
      <c r="J348" s="64"/>
      <c r="K348" s="64"/>
      <c r="L348" s="64"/>
      <c r="M348" s="64"/>
      <c r="N348" s="64"/>
      <c r="O348" s="64"/>
      <c r="P348" s="64"/>
      <c r="Q348" s="64"/>
      <c r="R348" s="64"/>
      <c r="S348" s="64"/>
      <c r="T348" s="64"/>
      <c r="U348" s="64"/>
      <c r="V348" s="64"/>
      <c r="W348" s="64"/>
      <c r="X348" s="64"/>
      <c r="Y348" s="64"/>
      <c r="Z348" s="64"/>
    </row>
    <row r="349">
      <c r="A349" s="64"/>
      <c r="B349" s="64"/>
      <c r="C349" s="64"/>
      <c r="D349" s="64"/>
      <c r="E349" s="64"/>
      <c r="F349" s="64"/>
      <c r="G349" s="64"/>
      <c r="H349" s="64"/>
      <c r="I349" s="64"/>
      <c r="J349" s="64"/>
      <c r="K349" s="64"/>
      <c r="L349" s="64"/>
      <c r="M349" s="64"/>
      <c r="N349" s="64"/>
      <c r="O349" s="64"/>
      <c r="P349" s="64"/>
      <c r="Q349" s="64"/>
      <c r="R349" s="64"/>
      <c r="S349" s="64"/>
      <c r="T349" s="64"/>
      <c r="U349" s="64"/>
      <c r="V349" s="64"/>
      <c r="W349" s="64"/>
      <c r="X349" s="64"/>
      <c r="Y349" s="64"/>
      <c r="Z349" s="64"/>
    </row>
    <row r="350">
      <c r="A350" s="64"/>
      <c r="B350" s="64"/>
      <c r="C350" s="64"/>
      <c r="D350" s="64"/>
      <c r="E350" s="64"/>
      <c r="F350" s="64"/>
      <c r="G350" s="64"/>
      <c r="H350" s="64"/>
      <c r="I350" s="64"/>
      <c r="J350" s="64"/>
      <c r="K350" s="64"/>
      <c r="L350" s="64"/>
      <c r="M350" s="64"/>
      <c r="N350" s="64"/>
      <c r="O350" s="64"/>
      <c r="P350" s="64"/>
      <c r="Q350" s="64"/>
      <c r="R350" s="64"/>
      <c r="S350" s="64"/>
      <c r="T350" s="64"/>
      <c r="U350" s="64"/>
      <c r="V350" s="64"/>
      <c r="W350" s="64"/>
      <c r="X350" s="64"/>
      <c r="Y350" s="64"/>
      <c r="Z350" s="64"/>
    </row>
    <row r="351">
      <c r="A351" s="64"/>
      <c r="B351" s="64"/>
      <c r="C351" s="64"/>
      <c r="D351" s="64"/>
      <c r="E351" s="64"/>
      <c r="F351" s="64"/>
      <c r="G351" s="64"/>
      <c r="H351" s="64"/>
      <c r="I351" s="64"/>
      <c r="J351" s="64"/>
      <c r="K351" s="64"/>
      <c r="L351" s="64"/>
      <c r="M351" s="64"/>
      <c r="N351" s="64"/>
      <c r="O351" s="64"/>
      <c r="P351" s="64"/>
      <c r="Q351" s="64"/>
      <c r="R351" s="64"/>
      <c r="S351" s="64"/>
      <c r="T351" s="64"/>
      <c r="U351" s="64"/>
      <c r="V351" s="64"/>
      <c r="W351" s="64"/>
      <c r="X351" s="64"/>
      <c r="Y351" s="64"/>
      <c r="Z351" s="64"/>
    </row>
    <row r="352">
      <c r="A352" s="64"/>
      <c r="B352" s="64"/>
      <c r="C352" s="64"/>
      <c r="D352" s="64"/>
      <c r="E352" s="64"/>
      <c r="F352" s="64"/>
      <c r="G352" s="64"/>
      <c r="H352" s="64"/>
      <c r="I352" s="64"/>
      <c r="J352" s="64"/>
      <c r="K352" s="64"/>
      <c r="L352" s="64"/>
      <c r="M352" s="64"/>
      <c r="N352" s="64"/>
      <c r="O352" s="64"/>
      <c r="P352" s="64"/>
      <c r="Q352" s="64"/>
      <c r="R352" s="64"/>
      <c r="S352" s="64"/>
      <c r="T352" s="64"/>
      <c r="U352" s="64"/>
      <c r="V352" s="64"/>
      <c r="W352" s="64"/>
      <c r="X352" s="64"/>
      <c r="Y352" s="64"/>
      <c r="Z352" s="64"/>
    </row>
    <row r="353">
      <c r="A353" s="64"/>
      <c r="B353" s="64"/>
      <c r="C353" s="64"/>
      <c r="D353" s="64"/>
      <c r="E353" s="64"/>
      <c r="F353" s="64"/>
      <c r="G353" s="64"/>
      <c r="H353" s="64"/>
      <c r="I353" s="64"/>
      <c r="J353" s="64"/>
      <c r="K353" s="64"/>
      <c r="L353" s="64"/>
      <c r="M353" s="64"/>
      <c r="N353" s="64"/>
      <c r="O353" s="64"/>
      <c r="P353" s="64"/>
      <c r="Q353" s="64"/>
      <c r="R353" s="64"/>
      <c r="S353" s="64"/>
      <c r="T353" s="64"/>
      <c r="U353" s="64"/>
      <c r="V353" s="64"/>
      <c r="W353" s="64"/>
      <c r="X353" s="64"/>
      <c r="Y353" s="64"/>
      <c r="Z353" s="64"/>
    </row>
    <row r="354">
      <c r="A354" s="64"/>
      <c r="B354" s="64"/>
      <c r="C354" s="64"/>
      <c r="D354" s="64"/>
      <c r="E354" s="64"/>
      <c r="F354" s="64"/>
      <c r="G354" s="64"/>
      <c r="H354" s="64"/>
      <c r="I354" s="64"/>
      <c r="J354" s="64"/>
      <c r="K354" s="64"/>
      <c r="L354" s="64"/>
      <c r="M354" s="64"/>
      <c r="N354" s="64"/>
      <c r="O354" s="64"/>
      <c r="P354" s="64"/>
      <c r="Q354" s="64"/>
      <c r="R354" s="64"/>
      <c r="S354" s="64"/>
      <c r="T354" s="64"/>
      <c r="U354" s="64"/>
      <c r="V354" s="64"/>
      <c r="W354" s="64"/>
      <c r="X354" s="64"/>
      <c r="Y354" s="64"/>
      <c r="Z354" s="64"/>
    </row>
    <row r="355">
      <c r="A355" s="64"/>
      <c r="B355" s="64"/>
      <c r="C355" s="64"/>
      <c r="D355" s="64"/>
      <c r="E355" s="64"/>
      <c r="F355" s="64"/>
      <c r="G355" s="64"/>
      <c r="H355" s="64"/>
      <c r="I355" s="64"/>
      <c r="J355" s="64"/>
      <c r="K355" s="64"/>
      <c r="L355" s="64"/>
      <c r="M355" s="64"/>
      <c r="N355" s="64"/>
      <c r="O355" s="64"/>
      <c r="P355" s="64"/>
      <c r="Q355" s="64"/>
      <c r="R355" s="64"/>
      <c r="S355" s="64"/>
      <c r="T355" s="64"/>
      <c r="U355" s="64"/>
      <c r="V355" s="64"/>
      <c r="W355" s="64"/>
      <c r="X355" s="64"/>
      <c r="Y355" s="64"/>
      <c r="Z355" s="64"/>
    </row>
    <row r="356">
      <c r="A356" s="64"/>
      <c r="B356" s="64"/>
      <c r="C356" s="64"/>
      <c r="D356" s="64"/>
      <c r="E356" s="64"/>
      <c r="F356" s="64"/>
      <c r="G356" s="64"/>
      <c r="H356" s="64"/>
      <c r="I356" s="64"/>
      <c r="J356" s="64"/>
      <c r="K356" s="64"/>
      <c r="L356" s="64"/>
      <c r="M356" s="64"/>
      <c r="N356" s="64"/>
      <c r="O356" s="64"/>
      <c r="P356" s="64"/>
      <c r="Q356" s="64"/>
      <c r="R356" s="64"/>
      <c r="S356" s="64"/>
      <c r="T356" s="64"/>
      <c r="U356" s="64"/>
      <c r="V356" s="64"/>
      <c r="W356" s="64"/>
      <c r="X356" s="64"/>
      <c r="Y356" s="64"/>
      <c r="Z356" s="64"/>
    </row>
    <row r="357">
      <c r="A357" s="64"/>
      <c r="B357" s="64"/>
      <c r="C357" s="64"/>
      <c r="D357" s="64"/>
      <c r="E357" s="64"/>
      <c r="F357" s="64"/>
      <c r="G357" s="64"/>
      <c r="H357" s="64"/>
      <c r="I357" s="64"/>
      <c r="J357" s="64"/>
      <c r="K357" s="64"/>
      <c r="L357" s="64"/>
      <c r="M357" s="64"/>
      <c r="N357" s="64"/>
      <c r="O357" s="64"/>
      <c r="P357" s="64"/>
      <c r="Q357" s="64"/>
      <c r="R357" s="64"/>
      <c r="S357" s="64"/>
      <c r="T357" s="64"/>
      <c r="U357" s="64"/>
      <c r="V357" s="64"/>
      <c r="W357" s="64"/>
      <c r="X357" s="64"/>
      <c r="Y357" s="64"/>
      <c r="Z357" s="64"/>
    </row>
    <row r="358">
      <c r="A358" s="64"/>
      <c r="B358" s="64"/>
      <c r="C358" s="64"/>
      <c r="D358" s="64"/>
      <c r="E358" s="64"/>
      <c r="F358" s="64"/>
      <c r="G358" s="64"/>
      <c r="H358" s="64"/>
      <c r="I358" s="64"/>
      <c r="J358" s="64"/>
      <c r="K358" s="64"/>
      <c r="L358" s="64"/>
      <c r="M358" s="64"/>
      <c r="N358" s="64"/>
      <c r="O358" s="64"/>
      <c r="P358" s="64"/>
      <c r="Q358" s="64"/>
      <c r="R358" s="64"/>
      <c r="S358" s="64"/>
      <c r="T358" s="64"/>
      <c r="U358" s="64"/>
      <c r="V358" s="64"/>
      <c r="W358" s="64"/>
      <c r="X358" s="64"/>
      <c r="Y358" s="64"/>
      <c r="Z358" s="64"/>
    </row>
    <row r="359">
      <c r="A359" s="64"/>
      <c r="B359" s="64"/>
      <c r="C359" s="64"/>
      <c r="D359" s="64"/>
      <c r="E359" s="64"/>
      <c r="F359" s="64"/>
      <c r="G359" s="64"/>
      <c r="H359" s="64"/>
      <c r="I359" s="64"/>
      <c r="J359" s="64"/>
      <c r="K359" s="64"/>
      <c r="L359" s="64"/>
      <c r="M359" s="64"/>
      <c r="N359" s="64"/>
      <c r="O359" s="64"/>
      <c r="P359" s="64"/>
      <c r="Q359" s="64"/>
      <c r="R359" s="64"/>
      <c r="S359" s="64"/>
      <c r="T359" s="64"/>
      <c r="U359" s="64"/>
      <c r="V359" s="64"/>
      <c r="W359" s="64"/>
      <c r="X359" s="64"/>
      <c r="Y359" s="64"/>
      <c r="Z359" s="64"/>
    </row>
    <row r="360">
      <c r="A360" s="64"/>
      <c r="B360" s="64"/>
      <c r="C360" s="64"/>
      <c r="D360" s="64"/>
      <c r="E360" s="64"/>
      <c r="F360" s="64"/>
      <c r="G360" s="64"/>
      <c r="H360" s="64"/>
      <c r="I360" s="64"/>
      <c r="J360" s="64"/>
      <c r="K360" s="64"/>
      <c r="L360" s="64"/>
      <c r="M360" s="64"/>
      <c r="N360" s="64"/>
      <c r="O360" s="64"/>
      <c r="P360" s="64"/>
      <c r="Q360" s="64"/>
      <c r="R360" s="64"/>
      <c r="S360" s="64"/>
      <c r="T360" s="64"/>
      <c r="U360" s="64"/>
      <c r="V360" s="64"/>
      <c r="W360" s="64"/>
      <c r="X360" s="64"/>
      <c r="Y360" s="64"/>
      <c r="Z360" s="64"/>
    </row>
    <row r="361">
      <c r="A361" s="64"/>
      <c r="B361" s="64"/>
      <c r="C361" s="64"/>
      <c r="D361" s="64"/>
      <c r="E361" s="64"/>
      <c r="F361" s="64"/>
      <c r="G361" s="64"/>
      <c r="H361" s="64"/>
      <c r="I361" s="64"/>
      <c r="J361" s="64"/>
      <c r="K361" s="64"/>
      <c r="L361" s="64"/>
      <c r="M361" s="64"/>
      <c r="N361" s="64"/>
      <c r="O361" s="64"/>
      <c r="P361" s="64"/>
      <c r="Q361" s="64"/>
      <c r="R361" s="64"/>
      <c r="S361" s="64"/>
      <c r="T361" s="64"/>
      <c r="U361" s="64"/>
      <c r="V361" s="64"/>
      <c r="W361" s="64"/>
      <c r="X361" s="64"/>
      <c r="Y361" s="64"/>
      <c r="Z361" s="64"/>
    </row>
    <row r="362">
      <c r="A362" s="64"/>
      <c r="B362" s="64"/>
      <c r="C362" s="64"/>
      <c r="D362" s="64"/>
      <c r="E362" s="64"/>
      <c r="F362" s="64"/>
      <c r="G362" s="64"/>
      <c r="H362" s="64"/>
      <c r="I362" s="64"/>
      <c r="J362" s="64"/>
      <c r="K362" s="64"/>
      <c r="L362" s="64"/>
      <c r="M362" s="64"/>
      <c r="N362" s="64"/>
      <c r="O362" s="64"/>
      <c r="P362" s="64"/>
      <c r="Q362" s="64"/>
      <c r="R362" s="64"/>
      <c r="S362" s="64"/>
      <c r="T362" s="64"/>
      <c r="U362" s="64"/>
      <c r="V362" s="64"/>
      <c r="W362" s="64"/>
      <c r="X362" s="64"/>
      <c r="Y362" s="64"/>
      <c r="Z362" s="64"/>
    </row>
    <row r="363">
      <c r="A363" s="64"/>
      <c r="B363" s="64"/>
      <c r="C363" s="64"/>
      <c r="D363" s="64"/>
      <c r="E363" s="64"/>
      <c r="F363" s="64"/>
      <c r="G363" s="64"/>
      <c r="H363" s="64"/>
      <c r="I363" s="64"/>
      <c r="J363" s="64"/>
      <c r="K363" s="64"/>
      <c r="L363" s="64"/>
      <c r="M363" s="64"/>
      <c r="N363" s="64"/>
      <c r="O363" s="64"/>
      <c r="P363" s="64"/>
      <c r="Q363" s="64"/>
      <c r="R363" s="64"/>
      <c r="S363" s="64"/>
      <c r="T363" s="64"/>
      <c r="U363" s="64"/>
      <c r="V363" s="64"/>
      <c r="W363" s="64"/>
      <c r="X363" s="64"/>
      <c r="Y363" s="64"/>
      <c r="Z363" s="64"/>
    </row>
    <row r="364">
      <c r="A364" s="64"/>
      <c r="B364" s="64"/>
      <c r="C364" s="64"/>
      <c r="D364" s="64"/>
      <c r="E364" s="64"/>
      <c r="F364" s="64"/>
      <c r="G364" s="64"/>
      <c r="H364" s="64"/>
      <c r="I364" s="64"/>
      <c r="J364" s="64"/>
      <c r="K364" s="64"/>
      <c r="L364" s="64"/>
      <c r="M364" s="64"/>
      <c r="N364" s="64"/>
      <c r="O364" s="64"/>
      <c r="P364" s="64"/>
      <c r="Q364" s="64"/>
      <c r="R364" s="64"/>
      <c r="S364" s="64"/>
      <c r="T364" s="64"/>
      <c r="U364" s="64"/>
      <c r="V364" s="64"/>
      <c r="W364" s="64"/>
      <c r="X364" s="64"/>
      <c r="Y364" s="64"/>
      <c r="Z364" s="64"/>
    </row>
    <row r="365">
      <c r="A365" s="64"/>
      <c r="B365" s="64"/>
      <c r="C365" s="64"/>
      <c r="D365" s="64"/>
      <c r="E365" s="64"/>
      <c r="F365" s="64"/>
      <c r="G365" s="64"/>
      <c r="H365" s="64"/>
      <c r="I365" s="64"/>
      <c r="J365" s="64"/>
      <c r="K365" s="64"/>
      <c r="L365" s="64"/>
      <c r="M365" s="64"/>
      <c r="N365" s="64"/>
      <c r="O365" s="64"/>
      <c r="P365" s="64"/>
      <c r="Q365" s="64"/>
      <c r="R365" s="64"/>
      <c r="S365" s="64"/>
      <c r="T365" s="64"/>
      <c r="U365" s="64"/>
      <c r="V365" s="64"/>
      <c r="W365" s="64"/>
      <c r="X365" s="64"/>
      <c r="Y365" s="64"/>
      <c r="Z365" s="64"/>
    </row>
    <row r="366">
      <c r="A366" s="64"/>
      <c r="B366" s="64"/>
      <c r="C366" s="64"/>
      <c r="D366" s="64"/>
      <c r="E366" s="64"/>
      <c r="F366" s="64"/>
      <c r="G366" s="64"/>
      <c r="H366" s="64"/>
      <c r="I366" s="64"/>
      <c r="J366" s="64"/>
      <c r="K366" s="64"/>
      <c r="L366" s="64"/>
      <c r="M366" s="64"/>
      <c r="N366" s="64"/>
      <c r="O366" s="64"/>
      <c r="P366" s="64"/>
      <c r="Q366" s="64"/>
      <c r="R366" s="64"/>
      <c r="S366" s="64"/>
      <c r="T366" s="64"/>
      <c r="U366" s="64"/>
      <c r="V366" s="64"/>
      <c r="W366" s="64"/>
      <c r="X366" s="64"/>
      <c r="Y366" s="64"/>
      <c r="Z366" s="64"/>
    </row>
    <row r="367">
      <c r="A367" s="64"/>
      <c r="B367" s="64"/>
      <c r="C367" s="64"/>
      <c r="D367" s="64"/>
      <c r="E367" s="64"/>
      <c r="F367" s="64"/>
      <c r="G367" s="64"/>
      <c r="H367" s="64"/>
      <c r="I367" s="64"/>
      <c r="J367" s="64"/>
      <c r="K367" s="64"/>
      <c r="L367" s="64"/>
      <c r="M367" s="64"/>
      <c r="N367" s="64"/>
      <c r="O367" s="64"/>
      <c r="P367" s="64"/>
      <c r="Q367" s="64"/>
      <c r="R367" s="64"/>
      <c r="S367" s="64"/>
      <c r="T367" s="64"/>
      <c r="U367" s="64"/>
      <c r="V367" s="64"/>
      <c r="W367" s="64"/>
      <c r="X367" s="64"/>
      <c r="Y367" s="64"/>
      <c r="Z367" s="64"/>
    </row>
    <row r="368">
      <c r="A368" s="64"/>
      <c r="B368" s="64"/>
      <c r="C368" s="64"/>
      <c r="D368" s="64"/>
      <c r="E368" s="64"/>
      <c r="F368" s="64"/>
      <c r="G368" s="64"/>
      <c r="H368" s="64"/>
      <c r="I368" s="64"/>
      <c r="J368" s="64"/>
      <c r="K368" s="64"/>
      <c r="L368" s="64"/>
      <c r="M368" s="64"/>
      <c r="N368" s="64"/>
      <c r="O368" s="64"/>
      <c r="P368" s="64"/>
      <c r="Q368" s="64"/>
      <c r="R368" s="64"/>
      <c r="S368" s="64"/>
      <c r="T368" s="64"/>
      <c r="U368" s="64"/>
      <c r="V368" s="64"/>
      <c r="W368" s="64"/>
      <c r="X368" s="64"/>
      <c r="Y368" s="64"/>
      <c r="Z368" s="64"/>
    </row>
    <row r="369">
      <c r="A369" s="64"/>
      <c r="B369" s="64"/>
      <c r="C369" s="64"/>
      <c r="D369" s="64"/>
      <c r="E369" s="64"/>
      <c r="F369" s="64"/>
      <c r="G369" s="64"/>
      <c r="H369" s="64"/>
      <c r="I369" s="64"/>
      <c r="J369" s="64"/>
      <c r="K369" s="64"/>
      <c r="L369" s="64"/>
      <c r="M369" s="64"/>
      <c r="N369" s="64"/>
      <c r="O369" s="64"/>
      <c r="P369" s="64"/>
      <c r="Q369" s="64"/>
      <c r="R369" s="64"/>
      <c r="S369" s="64"/>
      <c r="T369" s="64"/>
      <c r="U369" s="64"/>
      <c r="V369" s="64"/>
      <c r="W369" s="64"/>
      <c r="X369" s="64"/>
      <c r="Y369" s="64"/>
      <c r="Z369" s="64"/>
    </row>
    <row r="370">
      <c r="A370" s="64"/>
      <c r="B370" s="64"/>
      <c r="C370" s="64"/>
      <c r="D370" s="64"/>
      <c r="E370" s="64"/>
      <c r="F370" s="64"/>
      <c r="G370" s="64"/>
      <c r="H370" s="64"/>
      <c r="I370" s="64"/>
      <c r="J370" s="64"/>
      <c r="K370" s="64"/>
      <c r="L370" s="64"/>
      <c r="M370" s="64"/>
      <c r="N370" s="64"/>
      <c r="O370" s="64"/>
      <c r="P370" s="64"/>
      <c r="Q370" s="64"/>
      <c r="R370" s="64"/>
      <c r="S370" s="64"/>
      <c r="T370" s="64"/>
      <c r="U370" s="64"/>
      <c r="V370" s="64"/>
      <c r="W370" s="64"/>
      <c r="X370" s="64"/>
      <c r="Y370" s="64"/>
      <c r="Z370" s="64"/>
    </row>
    <row r="371">
      <c r="A371" s="64"/>
      <c r="B371" s="64"/>
      <c r="C371" s="64"/>
      <c r="D371" s="64"/>
      <c r="E371" s="64"/>
      <c r="F371" s="64"/>
      <c r="G371" s="64"/>
      <c r="H371" s="64"/>
      <c r="I371" s="64"/>
      <c r="J371" s="64"/>
      <c r="K371" s="64"/>
      <c r="L371" s="64"/>
      <c r="M371" s="64"/>
      <c r="N371" s="64"/>
      <c r="O371" s="64"/>
      <c r="P371" s="64"/>
      <c r="Q371" s="64"/>
      <c r="R371" s="64"/>
      <c r="S371" s="64"/>
      <c r="T371" s="64"/>
      <c r="U371" s="64"/>
      <c r="V371" s="64"/>
      <c r="W371" s="64"/>
      <c r="X371" s="64"/>
      <c r="Y371" s="64"/>
      <c r="Z371" s="64"/>
    </row>
    <row r="372">
      <c r="A372" s="64"/>
      <c r="B372" s="64"/>
      <c r="C372" s="64"/>
      <c r="D372" s="64"/>
      <c r="E372" s="64"/>
      <c r="F372" s="64"/>
      <c r="G372" s="64"/>
      <c r="H372" s="64"/>
      <c r="I372" s="64"/>
      <c r="J372" s="64"/>
      <c r="K372" s="64"/>
      <c r="L372" s="64"/>
      <c r="M372" s="64"/>
      <c r="N372" s="64"/>
      <c r="O372" s="64"/>
      <c r="P372" s="64"/>
      <c r="Q372" s="64"/>
      <c r="R372" s="64"/>
      <c r="S372" s="64"/>
      <c r="T372" s="64"/>
      <c r="U372" s="64"/>
      <c r="V372" s="64"/>
      <c r="W372" s="64"/>
      <c r="X372" s="64"/>
      <c r="Y372" s="64"/>
      <c r="Z372" s="64"/>
    </row>
    <row r="373">
      <c r="A373" s="64"/>
      <c r="B373" s="64"/>
      <c r="C373" s="64"/>
      <c r="D373" s="64"/>
      <c r="E373" s="64"/>
      <c r="F373" s="64"/>
      <c r="G373" s="64"/>
      <c r="H373" s="64"/>
      <c r="I373" s="64"/>
      <c r="J373" s="64"/>
      <c r="K373" s="64"/>
      <c r="L373" s="64"/>
      <c r="M373" s="64"/>
      <c r="N373" s="64"/>
      <c r="O373" s="64"/>
      <c r="P373" s="64"/>
      <c r="Q373" s="64"/>
      <c r="R373" s="64"/>
      <c r="S373" s="64"/>
      <c r="T373" s="64"/>
      <c r="U373" s="64"/>
      <c r="V373" s="64"/>
      <c r="W373" s="64"/>
      <c r="X373" s="64"/>
      <c r="Y373" s="64"/>
      <c r="Z373" s="64"/>
    </row>
    <row r="374">
      <c r="A374" s="64"/>
      <c r="B374" s="64"/>
      <c r="C374" s="64"/>
      <c r="D374" s="64"/>
      <c r="E374" s="64"/>
      <c r="F374" s="64"/>
      <c r="G374" s="64"/>
      <c r="H374" s="64"/>
      <c r="I374" s="64"/>
      <c r="J374" s="64"/>
      <c r="K374" s="64"/>
      <c r="L374" s="64"/>
      <c r="M374" s="64"/>
      <c r="N374" s="64"/>
      <c r="O374" s="64"/>
      <c r="P374" s="64"/>
      <c r="Q374" s="64"/>
      <c r="R374" s="64"/>
      <c r="S374" s="64"/>
      <c r="T374" s="64"/>
      <c r="U374" s="64"/>
      <c r="V374" s="64"/>
      <c r="W374" s="64"/>
      <c r="X374" s="64"/>
      <c r="Y374" s="64"/>
      <c r="Z374" s="64"/>
    </row>
    <row r="375">
      <c r="A375" s="64"/>
      <c r="B375" s="64"/>
      <c r="C375" s="64"/>
      <c r="D375" s="64"/>
      <c r="E375" s="64"/>
      <c r="F375" s="64"/>
      <c r="G375" s="64"/>
      <c r="H375" s="64"/>
      <c r="I375" s="64"/>
      <c r="J375" s="64"/>
      <c r="K375" s="64"/>
      <c r="L375" s="64"/>
      <c r="M375" s="64"/>
      <c r="N375" s="64"/>
      <c r="O375" s="64"/>
      <c r="P375" s="64"/>
      <c r="Q375" s="64"/>
      <c r="R375" s="64"/>
      <c r="S375" s="64"/>
      <c r="T375" s="64"/>
      <c r="U375" s="64"/>
      <c r="V375" s="64"/>
      <c r="W375" s="64"/>
      <c r="X375" s="64"/>
      <c r="Y375" s="64"/>
      <c r="Z375" s="64"/>
    </row>
    <row r="376">
      <c r="A376" s="64"/>
      <c r="B376" s="64"/>
      <c r="C376" s="64"/>
      <c r="D376" s="64"/>
      <c r="E376" s="64"/>
      <c r="F376" s="64"/>
      <c r="G376" s="64"/>
      <c r="H376" s="64"/>
      <c r="I376" s="64"/>
      <c r="J376" s="64"/>
      <c r="K376" s="64"/>
      <c r="L376" s="64"/>
      <c r="M376" s="64"/>
      <c r="N376" s="64"/>
      <c r="O376" s="64"/>
      <c r="P376" s="64"/>
      <c r="Q376" s="64"/>
      <c r="R376" s="64"/>
      <c r="S376" s="64"/>
      <c r="T376" s="64"/>
      <c r="U376" s="64"/>
      <c r="V376" s="64"/>
      <c r="W376" s="64"/>
      <c r="X376" s="64"/>
      <c r="Y376" s="64"/>
      <c r="Z376" s="64"/>
    </row>
    <row r="377">
      <c r="A377" s="64"/>
      <c r="B377" s="64"/>
      <c r="C377" s="64"/>
      <c r="D377" s="64"/>
      <c r="E377" s="64"/>
      <c r="F377" s="64"/>
      <c r="G377" s="64"/>
      <c r="H377" s="64"/>
      <c r="I377" s="64"/>
      <c r="J377" s="64"/>
      <c r="K377" s="64"/>
      <c r="L377" s="64"/>
      <c r="M377" s="64"/>
      <c r="N377" s="64"/>
      <c r="O377" s="64"/>
      <c r="P377" s="64"/>
      <c r="Q377" s="64"/>
      <c r="R377" s="64"/>
      <c r="S377" s="64"/>
      <c r="T377" s="64"/>
      <c r="U377" s="64"/>
      <c r="V377" s="64"/>
      <c r="W377" s="64"/>
      <c r="X377" s="64"/>
      <c r="Y377" s="64"/>
      <c r="Z377" s="64"/>
    </row>
    <row r="378">
      <c r="A378" s="64"/>
      <c r="B378" s="64"/>
      <c r="C378" s="64"/>
      <c r="D378" s="64"/>
      <c r="E378" s="64"/>
      <c r="F378" s="64"/>
      <c r="G378" s="64"/>
      <c r="H378" s="64"/>
      <c r="I378" s="64"/>
      <c r="J378" s="64"/>
      <c r="K378" s="64"/>
      <c r="L378" s="64"/>
      <c r="M378" s="64"/>
      <c r="N378" s="64"/>
      <c r="O378" s="64"/>
      <c r="P378" s="64"/>
      <c r="Q378" s="64"/>
      <c r="R378" s="64"/>
      <c r="S378" s="64"/>
      <c r="T378" s="64"/>
      <c r="U378" s="64"/>
      <c r="V378" s="64"/>
      <c r="W378" s="64"/>
      <c r="X378" s="64"/>
      <c r="Y378" s="64"/>
      <c r="Z378" s="64"/>
    </row>
    <row r="379">
      <c r="A379" s="64"/>
      <c r="B379" s="64"/>
      <c r="C379" s="64"/>
      <c r="D379" s="64"/>
      <c r="E379" s="64"/>
      <c r="F379" s="64"/>
      <c r="G379" s="64"/>
      <c r="H379" s="64"/>
      <c r="I379" s="64"/>
      <c r="J379" s="64"/>
      <c r="K379" s="64"/>
      <c r="L379" s="64"/>
      <c r="M379" s="64"/>
      <c r="N379" s="64"/>
      <c r="O379" s="64"/>
      <c r="P379" s="64"/>
      <c r="Q379" s="64"/>
      <c r="R379" s="64"/>
      <c r="S379" s="64"/>
      <c r="T379" s="64"/>
      <c r="U379" s="64"/>
      <c r="V379" s="64"/>
      <c r="W379" s="64"/>
      <c r="X379" s="64"/>
      <c r="Y379" s="64"/>
      <c r="Z379" s="64"/>
    </row>
    <row r="380">
      <c r="A380" s="64"/>
      <c r="B380" s="64"/>
      <c r="C380" s="64"/>
      <c r="D380" s="64"/>
      <c r="E380" s="64"/>
      <c r="F380" s="64"/>
      <c r="G380" s="64"/>
      <c r="H380" s="64"/>
      <c r="I380" s="64"/>
      <c r="J380" s="64"/>
      <c r="K380" s="64"/>
      <c r="L380" s="64"/>
      <c r="M380" s="64"/>
      <c r="N380" s="64"/>
      <c r="O380" s="64"/>
      <c r="P380" s="64"/>
      <c r="Q380" s="64"/>
      <c r="R380" s="64"/>
      <c r="S380" s="64"/>
      <c r="T380" s="64"/>
      <c r="U380" s="64"/>
      <c r="V380" s="64"/>
      <c r="W380" s="64"/>
      <c r="X380" s="64"/>
      <c r="Y380" s="64"/>
      <c r="Z380" s="64"/>
    </row>
    <row r="381">
      <c r="A381" s="64"/>
      <c r="B381" s="64"/>
      <c r="C381" s="64"/>
      <c r="D381" s="64"/>
      <c r="E381" s="64"/>
      <c r="F381" s="64"/>
      <c r="G381" s="64"/>
      <c r="H381" s="64"/>
      <c r="I381" s="64"/>
      <c r="J381" s="64"/>
      <c r="K381" s="64"/>
      <c r="L381" s="64"/>
      <c r="M381" s="64"/>
      <c r="N381" s="64"/>
      <c r="O381" s="64"/>
      <c r="P381" s="64"/>
      <c r="Q381" s="64"/>
      <c r="R381" s="64"/>
      <c r="S381" s="64"/>
      <c r="T381" s="64"/>
      <c r="U381" s="64"/>
      <c r="V381" s="64"/>
      <c r="W381" s="64"/>
      <c r="X381" s="64"/>
      <c r="Y381" s="64"/>
      <c r="Z381" s="64"/>
    </row>
    <row r="382">
      <c r="A382" s="64"/>
      <c r="B382" s="64"/>
      <c r="C382" s="64"/>
      <c r="D382" s="64"/>
      <c r="E382" s="64"/>
      <c r="F382" s="64"/>
      <c r="G382" s="64"/>
      <c r="H382" s="64"/>
      <c r="I382" s="64"/>
      <c r="J382" s="64"/>
      <c r="K382" s="64"/>
      <c r="L382" s="64"/>
      <c r="M382" s="64"/>
      <c r="N382" s="64"/>
      <c r="O382" s="64"/>
      <c r="P382" s="64"/>
      <c r="Q382" s="64"/>
      <c r="R382" s="64"/>
      <c r="S382" s="64"/>
      <c r="T382" s="64"/>
      <c r="U382" s="64"/>
      <c r="V382" s="64"/>
      <c r="W382" s="64"/>
      <c r="X382" s="64"/>
      <c r="Y382" s="64"/>
      <c r="Z382" s="64"/>
    </row>
    <row r="383">
      <c r="A383" s="64"/>
      <c r="B383" s="64"/>
      <c r="C383" s="64"/>
      <c r="D383" s="64"/>
      <c r="E383" s="64"/>
      <c r="F383" s="64"/>
      <c r="G383" s="64"/>
      <c r="H383" s="64"/>
      <c r="I383" s="64"/>
      <c r="J383" s="64"/>
      <c r="K383" s="64"/>
      <c r="L383" s="64"/>
      <c r="M383" s="64"/>
      <c r="N383" s="64"/>
      <c r="O383" s="64"/>
      <c r="P383" s="64"/>
      <c r="Q383" s="64"/>
      <c r="R383" s="64"/>
      <c r="S383" s="64"/>
      <c r="T383" s="64"/>
      <c r="U383" s="64"/>
      <c r="V383" s="64"/>
      <c r="W383" s="64"/>
      <c r="X383" s="64"/>
      <c r="Y383" s="64"/>
      <c r="Z383" s="64"/>
    </row>
    <row r="384">
      <c r="A384" s="64"/>
      <c r="B384" s="64"/>
      <c r="C384" s="64"/>
      <c r="D384" s="64"/>
      <c r="E384" s="64"/>
      <c r="F384" s="64"/>
      <c r="G384" s="64"/>
      <c r="H384" s="64"/>
      <c r="I384" s="64"/>
      <c r="J384" s="64"/>
      <c r="K384" s="64"/>
      <c r="L384" s="64"/>
      <c r="M384" s="64"/>
      <c r="N384" s="64"/>
      <c r="O384" s="64"/>
      <c r="P384" s="64"/>
      <c r="Q384" s="64"/>
      <c r="R384" s="64"/>
      <c r="S384" s="64"/>
      <c r="T384" s="64"/>
      <c r="U384" s="64"/>
      <c r="V384" s="64"/>
      <c r="W384" s="64"/>
      <c r="X384" s="64"/>
      <c r="Y384" s="64"/>
      <c r="Z384" s="64"/>
    </row>
    <row r="385">
      <c r="A385" s="64"/>
      <c r="B385" s="64"/>
      <c r="C385" s="64"/>
      <c r="D385" s="64"/>
      <c r="E385" s="64"/>
      <c r="F385" s="64"/>
      <c r="G385" s="64"/>
      <c r="H385" s="64"/>
      <c r="I385" s="64"/>
      <c r="J385" s="64"/>
      <c r="K385" s="64"/>
      <c r="L385" s="64"/>
      <c r="M385" s="64"/>
      <c r="N385" s="64"/>
      <c r="O385" s="64"/>
      <c r="P385" s="64"/>
      <c r="Q385" s="64"/>
      <c r="R385" s="64"/>
      <c r="S385" s="64"/>
      <c r="T385" s="64"/>
      <c r="U385" s="64"/>
      <c r="V385" s="64"/>
      <c r="W385" s="64"/>
      <c r="X385" s="64"/>
      <c r="Y385" s="64"/>
      <c r="Z385" s="64"/>
    </row>
    <row r="386">
      <c r="A386" s="64"/>
      <c r="B386" s="64"/>
      <c r="C386" s="64"/>
      <c r="D386" s="64"/>
      <c r="E386" s="64"/>
      <c r="F386" s="64"/>
      <c r="G386" s="64"/>
      <c r="H386" s="64"/>
      <c r="I386" s="64"/>
      <c r="J386" s="64"/>
      <c r="K386" s="64"/>
      <c r="L386" s="64"/>
      <c r="M386" s="64"/>
      <c r="N386" s="64"/>
      <c r="O386" s="64"/>
      <c r="P386" s="64"/>
      <c r="Q386" s="64"/>
      <c r="R386" s="64"/>
      <c r="S386" s="64"/>
      <c r="T386" s="64"/>
      <c r="U386" s="64"/>
      <c r="V386" s="64"/>
      <c r="W386" s="64"/>
      <c r="X386" s="64"/>
      <c r="Y386" s="64"/>
      <c r="Z386" s="64"/>
    </row>
    <row r="387">
      <c r="A387" s="64"/>
      <c r="B387" s="64"/>
      <c r="C387" s="64"/>
      <c r="D387" s="64"/>
      <c r="E387" s="64"/>
      <c r="F387" s="64"/>
      <c r="G387" s="64"/>
      <c r="H387" s="64"/>
      <c r="I387" s="64"/>
      <c r="J387" s="64"/>
      <c r="K387" s="64"/>
      <c r="L387" s="64"/>
      <c r="M387" s="64"/>
      <c r="N387" s="64"/>
      <c r="O387" s="64"/>
      <c r="P387" s="64"/>
      <c r="Q387" s="64"/>
      <c r="R387" s="64"/>
      <c r="S387" s="64"/>
      <c r="T387" s="64"/>
      <c r="U387" s="64"/>
      <c r="V387" s="64"/>
      <c r="W387" s="64"/>
      <c r="X387" s="64"/>
      <c r="Y387" s="64"/>
      <c r="Z387" s="64"/>
    </row>
    <row r="388">
      <c r="A388" s="64"/>
      <c r="B388" s="64"/>
      <c r="C388" s="64"/>
      <c r="D388" s="64"/>
      <c r="E388" s="64"/>
      <c r="F388" s="64"/>
      <c r="G388" s="64"/>
      <c r="H388" s="64"/>
      <c r="I388" s="64"/>
      <c r="J388" s="64"/>
      <c r="K388" s="64"/>
      <c r="L388" s="64"/>
      <c r="M388" s="64"/>
      <c r="N388" s="64"/>
      <c r="O388" s="64"/>
      <c r="P388" s="64"/>
      <c r="Q388" s="64"/>
      <c r="R388" s="64"/>
      <c r="S388" s="64"/>
      <c r="T388" s="64"/>
      <c r="U388" s="64"/>
      <c r="V388" s="64"/>
      <c r="W388" s="64"/>
      <c r="X388" s="64"/>
      <c r="Y388" s="64"/>
      <c r="Z388" s="64"/>
    </row>
    <row r="389">
      <c r="A389" s="64"/>
      <c r="B389" s="64"/>
      <c r="C389" s="64"/>
      <c r="D389" s="64"/>
      <c r="E389" s="64"/>
      <c r="F389" s="64"/>
      <c r="G389" s="64"/>
      <c r="H389" s="64"/>
      <c r="I389" s="64"/>
      <c r="J389" s="64"/>
      <c r="K389" s="64"/>
      <c r="L389" s="64"/>
      <c r="M389" s="64"/>
      <c r="N389" s="64"/>
      <c r="O389" s="64"/>
      <c r="P389" s="64"/>
      <c r="Q389" s="64"/>
      <c r="R389" s="64"/>
      <c r="S389" s="64"/>
      <c r="T389" s="64"/>
      <c r="U389" s="64"/>
      <c r="V389" s="64"/>
      <c r="W389" s="64"/>
      <c r="X389" s="64"/>
      <c r="Y389" s="64"/>
      <c r="Z389" s="64"/>
    </row>
    <row r="390">
      <c r="A390" s="64"/>
      <c r="B390" s="64"/>
      <c r="C390" s="64"/>
      <c r="D390" s="64"/>
      <c r="E390" s="64"/>
      <c r="F390" s="64"/>
      <c r="G390" s="64"/>
      <c r="H390" s="64"/>
      <c r="I390" s="64"/>
      <c r="J390" s="64"/>
      <c r="K390" s="64"/>
      <c r="L390" s="64"/>
      <c r="M390" s="64"/>
      <c r="N390" s="64"/>
      <c r="O390" s="64"/>
      <c r="P390" s="64"/>
      <c r="Q390" s="64"/>
      <c r="R390" s="64"/>
      <c r="S390" s="64"/>
      <c r="T390" s="64"/>
      <c r="U390" s="64"/>
      <c r="V390" s="64"/>
      <c r="W390" s="64"/>
      <c r="X390" s="64"/>
      <c r="Y390" s="64"/>
      <c r="Z390" s="64"/>
    </row>
    <row r="391">
      <c r="A391" s="64"/>
      <c r="B391" s="64"/>
      <c r="C391" s="64"/>
      <c r="D391" s="64"/>
      <c r="E391" s="64"/>
      <c r="F391" s="64"/>
      <c r="G391" s="64"/>
      <c r="H391" s="64"/>
      <c r="I391" s="64"/>
      <c r="J391" s="64"/>
      <c r="K391" s="64"/>
      <c r="L391" s="64"/>
      <c r="M391" s="64"/>
      <c r="N391" s="64"/>
      <c r="O391" s="64"/>
      <c r="P391" s="64"/>
      <c r="Q391" s="64"/>
      <c r="R391" s="64"/>
      <c r="S391" s="64"/>
      <c r="T391" s="64"/>
      <c r="U391" s="64"/>
      <c r="V391" s="64"/>
      <c r="W391" s="64"/>
      <c r="X391" s="64"/>
      <c r="Y391" s="64"/>
      <c r="Z391" s="64"/>
    </row>
    <row r="392">
      <c r="A392" s="64"/>
      <c r="B392" s="64"/>
      <c r="C392" s="64"/>
      <c r="D392" s="64"/>
      <c r="E392" s="64"/>
      <c r="F392" s="64"/>
      <c r="G392" s="64"/>
      <c r="H392" s="64"/>
      <c r="I392" s="64"/>
      <c r="J392" s="64"/>
      <c r="K392" s="64"/>
      <c r="L392" s="64"/>
      <c r="M392" s="64"/>
      <c r="N392" s="64"/>
      <c r="O392" s="64"/>
      <c r="P392" s="64"/>
      <c r="Q392" s="64"/>
      <c r="R392" s="64"/>
      <c r="S392" s="64"/>
      <c r="T392" s="64"/>
      <c r="U392" s="64"/>
      <c r="V392" s="64"/>
      <c r="W392" s="64"/>
      <c r="X392" s="64"/>
      <c r="Y392" s="64"/>
      <c r="Z392" s="64"/>
    </row>
    <row r="393">
      <c r="A393" s="64"/>
      <c r="B393" s="64"/>
      <c r="C393" s="64"/>
      <c r="D393" s="64"/>
      <c r="E393" s="64"/>
      <c r="F393" s="64"/>
      <c r="G393" s="64"/>
      <c r="H393" s="64"/>
      <c r="I393" s="64"/>
      <c r="J393" s="64"/>
      <c r="K393" s="64"/>
      <c r="L393" s="64"/>
      <c r="M393" s="64"/>
      <c r="N393" s="64"/>
      <c r="O393" s="64"/>
      <c r="P393" s="64"/>
      <c r="Q393" s="64"/>
      <c r="R393" s="64"/>
      <c r="S393" s="64"/>
      <c r="T393" s="64"/>
      <c r="U393" s="64"/>
      <c r="V393" s="64"/>
      <c r="W393" s="64"/>
      <c r="X393" s="64"/>
      <c r="Y393" s="64"/>
      <c r="Z393" s="64"/>
    </row>
    <row r="394">
      <c r="A394" s="64"/>
      <c r="B394" s="64"/>
      <c r="C394" s="64"/>
      <c r="D394" s="64"/>
      <c r="E394" s="64"/>
      <c r="F394" s="64"/>
      <c r="G394" s="64"/>
      <c r="H394" s="64"/>
      <c r="I394" s="64"/>
      <c r="J394" s="64"/>
      <c r="K394" s="64"/>
      <c r="L394" s="64"/>
      <c r="M394" s="64"/>
      <c r="N394" s="64"/>
      <c r="O394" s="64"/>
      <c r="P394" s="64"/>
      <c r="Q394" s="64"/>
      <c r="R394" s="64"/>
      <c r="S394" s="64"/>
      <c r="T394" s="64"/>
      <c r="U394" s="64"/>
      <c r="V394" s="64"/>
      <c r="W394" s="64"/>
      <c r="X394" s="64"/>
      <c r="Y394" s="64"/>
      <c r="Z394" s="64"/>
    </row>
    <row r="395">
      <c r="A395" s="64"/>
      <c r="B395" s="64"/>
      <c r="C395" s="64"/>
      <c r="D395" s="64"/>
      <c r="E395" s="64"/>
      <c r="F395" s="64"/>
      <c r="G395" s="64"/>
      <c r="H395" s="64"/>
      <c r="I395" s="64"/>
      <c r="J395" s="64"/>
      <c r="K395" s="64"/>
      <c r="L395" s="64"/>
      <c r="M395" s="64"/>
      <c r="N395" s="64"/>
      <c r="O395" s="64"/>
      <c r="P395" s="64"/>
      <c r="Q395" s="64"/>
      <c r="R395" s="64"/>
      <c r="S395" s="64"/>
      <c r="T395" s="64"/>
      <c r="U395" s="64"/>
      <c r="V395" s="64"/>
      <c r="W395" s="64"/>
      <c r="X395" s="64"/>
      <c r="Y395" s="64"/>
      <c r="Z395" s="64"/>
    </row>
    <row r="396">
      <c r="A396" s="64"/>
      <c r="B396" s="64"/>
      <c r="C396" s="64"/>
      <c r="D396" s="64"/>
      <c r="E396" s="64"/>
      <c r="F396" s="64"/>
      <c r="G396" s="64"/>
      <c r="H396" s="64"/>
      <c r="I396" s="64"/>
      <c r="J396" s="64"/>
      <c r="K396" s="64"/>
      <c r="L396" s="64"/>
      <c r="M396" s="64"/>
      <c r="N396" s="64"/>
      <c r="O396" s="64"/>
      <c r="P396" s="64"/>
      <c r="Q396" s="64"/>
      <c r="R396" s="64"/>
      <c r="S396" s="64"/>
      <c r="T396" s="64"/>
      <c r="U396" s="64"/>
      <c r="V396" s="64"/>
      <c r="W396" s="64"/>
      <c r="X396" s="64"/>
      <c r="Y396" s="64"/>
      <c r="Z396" s="64"/>
    </row>
    <row r="397">
      <c r="A397" s="64"/>
      <c r="B397" s="64"/>
      <c r="C397" s="64"/>
      <c r="D397" s="64"/>
      <c r="E397" s="64"/>
      <c r="F397" s="64"/>
      <c r="G397" s="64"/>
      <c r="H397" s="64"/>
      <c r="I397" s="64"/>
      <c r="J397" s="64"/>
      <c r="K397" s="64"/>
      <c r="L397" s="64"/>
      <c r="M397" s="64"/>
      <c r="N397" s="64"/>
      <c r="O397" s="64"/>
      <c r="P397" s="64"/>
      <c r="Q397" s="64"/>
      <c r="R397" s="64"/>
      <c r="S397" s="64"/>
      <c r="T397" s="64"/>
      <c r="U397" s="64"/>
      <c r="V397" s="64"/>
      <c r="W397" s="64"/>
      <c r="X397" s="64"/>
      <c r="Y397" s="64"/>
      <c r="Z397" s="64"/>
    </row>
    <row r="398">
      <c r="A398" s="64"/>
      <c r="B398" s="64"/>
      <c r="C398" s="64"/>
      <c r="D398" s="64"/>
      <c r="E398" s="64"/>
      <c r="F398" s="64"/>
      <c r="G398" s="64"/>
      <c r="H398" s="64"/>
      <c r="I398" s="64"/>
      <c r="J398" s="64"/>
      <c r="K398" s="64"/>
      <c r="L398" s="64"/>
      <c r="M398" s="64"/>
      <c r="N398" s="64"/>
      <c r="O398" s="64"/>
      <c r="P398" s="64"/>
      <c r="Q398" s="64"/>
      <c r="R398" s="64"/>
      <c r="S398" s="64"/>
      <c r="T398" s="64"/>
      <c r="U398" s="64"/>
      <c r="V398" s="64"/>
      <c r="W398" s="64"/>
      <c r="X398" s="64"/>
      <c r="Y398" s="64"/>
      <c r="Z398" s="64"/>
    </row>
    <row r="399">
      <c r="A399" s="64"/>
      <c r="B399" s="64"/>
      <c r="C399" s="64"/>
      <c r="D399" s="64"/>
      <c r="E399" s="64"/>
      <c r="F399" s="64"/>
      <c r="G399" s="64"/>
      <c r="H399" s="64"/>
      <c r="I399" s="64"/>
      <c r="J399" s="64"/>
      <c r="K399" s="64"/>
      <c r="L399" s="64"/>
      <c r="M399" s="64"/>
      <c r="N399" s="64"/>
      <c r="O399" s="64"/>
      <c r="P399" s="64"/>
      <c r="Q399" s="64"/>
      <c r="R399" s="64"/>
      <c r="S399" s="64"/>
      <c r="T399" s="64"/>
      <c r="U399" s="64"/>
      <c r="V399" s="64"/>
      <c r="W399" s="64"/>
      <c r="X399" s="64"/>
      <c r="Y399" s="64"/>
      <c r="Z399" s="64"/>
    </row>
    <row r="400">
      <c r="A400" s="64"/>
      <c r="B400" s="64"/>
      <c r="C400" s="64"/>
      <c r="D400" s="64"/>
      <c r="E400" s="64"/>
      <c r="F400" s="64"/>
      <c r="G400" s="64"/>
      <c r="H400" s="64"/>
      <c r="I400" s="64"/>
      <c r="J400" s="64"/>
      <c r="K400" s="64"/>
      <c r="L400" s="64"/>
      <c r="M400" s="64"/>
      <c r="N400" s="64"/>
      <c r="O400" s="64"/>
      <c r="P400" s="64"/>
      <c r="Q400" s="64"/>
      <c r="R400" s="64"/>
      <c r="S400" s="64"/>
      <c r="T400" s="64"/>
      <c r="U400" s="64"/>
      <c r="V400" s="64"/>
      <c r="W400" s="64"/>
      <c r="X400" s="64"/>
      <c r="Y400" s="64"/>
      <c r="Z400" s="64"/>
    </row>
    <row r="401">
      <c r="A401" s="64"/>
      <c r="B401" s="64"/>
      <c r="C401" s="64"/>
      <c r="D401" s="64"/>
      <c r="E401" s="64"/>
      <c r="F401" s="64"/>
      <c r="G401" s="64"/>
      <c r="H401" s="64"/>
      <c r="I401" s="64"/>
      <c r="J401" s="64"/>
      <c r="K401" s="64"/>
      <c r="L401" s="64"/>
      <c r="M401" s="64"/>
      <c r="N401" s="64"/>
      <c r="O401" s="64"/>
      <c r="P401" s="64"/>
      <c r="Q401" s="64"/>
      <c r="R401" s="64"/>
      <c r="S401" s="64"/>
      <c r="T401" s="64"/>
      <c r="U401" s="64"/>
      <c r="V401" s="64"/>
      <c r="W401" s="64"/>
      <c r="X401" s="64"/>
      <c r="Y401" s="64"/>
      <c r="Z401" s="64"/>
    </row>
    <row r="402">
      <c r="A402" s="64"/>
      <c r="B402" s="64"/>
      <c r="C402" s="64"/>
      <c r="D402" s="64"/>
      <c r="E402" s="64"/>
      <c r="F402" s="64"/>
      <c r="G402" s="64"/>
      <c r="H402" s="64"/>
      <c r="I402" s="64"/>
      <c r="J402" s="64"/>
      <c r="K402" s="64"/>
      <c r="L402" s="64"/>
      <c r="M402" s="64"/>
      <c r="N402" s="64"/>
      <c r="O402" s="64"/>
      <c r="P402" s="64"/>
      <c r="Q402" s="64"/>
      <c r="R402" s="64"/>
      <c r="S402" s="64"/>
      <c r="T402" s="64"/>
      <c r="U402" s="64"/>
      <c r="V402" s="64"/>
      <c r="W402" s="64"/>
      <c r="X402" s="64"/>
      <c r="Y402" s="64"/>
      <c r="Z402" s="64"/>
    </row>
    <row r="403">
      <c r="A403" s="64"/>
      <c r="B403" s="64"/>
      <c r="C403" s="64"/>
      <c r="D403" s="64"/>
      <c r="E403" s="64"/>
      <c r="F403" s="64"/>
      <c r="G403" s="64"/>
      <c r="H403" s="64"/>
      <c r="I403" s="64"/>
      <c r="J403" s="64"/>
      <c r="K403" s="64"/>
      <c r="L403" s="64"/>
      <c r="M403" s="64"/>
      <c r="N403" s="64"/>
      <c r="O403" s="64"/>
      <c r="P403" s="64"/>
      <c r="Q403" s="64"/>
      <c r="R403" s="64"/>
      <c r="S403" s="64"/>
      <c r="T403" s="64"/>
      <c r="U403" s="64"/>
      <c r="V403" s="64"/>
      <c r="W403" s="64"/>
      <c r="X403" s="64"/>
      <c r="Y403" s="64"/>
      <c r="Z403" s="64"/>
    </row>
    <row r="404">
      <c r="A404" s="64"/>
      <c r="B404" s="64"/>
      <c r="C404" s="64"/>
      <c r="D404" s="64"/>
      <c r="E404" s="64"/>
      <c r="F404" s="64"/>
      <c r="G404" s="64"/>
      <c r="H404" s="64"/>
      <c r="I404" s="64"/>
      <c r="J404" s="64"/>
      <c r="K404" s="64"/>
      <c r="L404" s="64"/>
      <c r="M404" s="64"/>
      <c r="N404" s="64"/>
      <c r="O404" s="64"/>
      <c r="P404" s="64"/>
      <c r="Q404" s="64"/>
      <c r="R404" s="64"/>
      <c r="S404" s="64"/>
      <c r="T404" s="64"/>
      <c r="U404" s="64"/>
      <c r="V404" s="64"/>
      <c r="W404" s="64"/>
      <c r="X404" s="64"/>
      <c r="Y404" s="64"/>
      <c r="Z404" s="64"/>
    </row>
    <row r="405">
      <c r="A405" s="64"/>
      <c r="B405" s="64"/>
      <c r="C405" s="64"/>
      <c r="D405" s="64"/>
      <c r="E405" s="64"/>
      <c r="F405" s="64"/>
      <c r="G405" s="64"/>
      <c r="H405" s="64"/>
      <c r="I405" s="64"/>
      <c r="J405" s="64"/>
      <c r="K405" s="64"/>
      <c r="L405" s="64"/>
      <c r="M405" s="64"/>
      <c r="N405" s="64"/>
      <c r="O405" s="64"/>
      <c r="P405" s="64"/>
      <c r="Q405" s="64"/>
      <c r="R405" s="64"/>
      <c r="S405" s="64"/>
      <c r="T405" s="64"/>
      <c r="U405" s="64"/>
      <c r="V405" s="64"/>
      <c r="W405" s="64"/>
      <c r="X405" s="64"/>
      <c r="Y405" s="64"/>
      <c r="Z405" s="64"/>
    </row>
    <row r="406">
      <c r="A406" s="64"/>
      <c r="B406" s="64"/>
      <c r="C406" s="64"/>
      <c r="D406" s="64"/>
      <c r="E406" s="64"/>
      <c r="F406" s="64"/>
      <c r="G406" s="64"/>
      <c r="H406" s="64"/>
      <c r="I406" s="64"/>
      <c r="J406" s="64"/>
      <c r="K406" s="64"/>
      <c r="L406" s="64"/>
      <c r="M406" s="64"/>
      <c r="N406" s="64"/>
      <c r="O406" s="64"/>
      <c r="P406" s="64"/>
      <c r="Q406" s="64"/>
      <c r="R406" s="64"/>
      <c r="S406" s="64"/>
      <c r="T406" s="64"/>
      <c r="U406" s="64"/>
      <c r="V406" s="64"/>
      <c r="W406" s="64"/>
      <c r="X406" s="64"/>
      <c r="Y406" s="64"/>
      <c r="Z406" s="64"/>
    </row>
    <row r="407">
      <c r="A407" s="64"/>
      <c r="B407" s="64"/>
      <c r="C407" s="64"/>
      <c r="D407" s="64"/>
      <c r="E407" s="64"/>
      <c r="F407" s="64"/>
      <c r="G407" s="64"/>
      <c r="H407" s="64"/>
      <c r="I407" s="64"/>
      <c r="J407" s="64"/>
      <c r="K407" s="64"/>
      <c r="L407" s="64"/>
      <c r="M407" s="64"/>
      <c r="N407" s="64"/>
      <c r="O407" s="64"/>
      <c r="P407" s="64"/>
      <c r="Q407" s="64"/>
      <c r="R407" s="64"/>
      <c r="S407" s="64"/>
      <c r="T407" s="64"/>
      <c r="U407" s="64"/>
      <c r="V407" s="64"/>
      <c r="W407" s="64"/>
      <c r="X407" s="64"/>
      <c r="Y407" s="64"/>
      <c r="Z407" s="64"/>
    </row>
    <row r="408">
      <c r="A408" s="64"/>
      <c r="B408" s="64"/>
      <c r="C408" s="64"/>
      <c r="D408" s="64"/>
      <c r="E408" s="64"/>
      <c r="F408" s="64"/>
      <c r="G408" s="64"/>
      <c r="H408" s="64"/>
      <c r="I408" s="64"/>
      <c r="J408" s="64"/>
      <c r="K408" s="64"/>
      <c r="L408" s="64"/>
      <c r="M408" s="64"/>
      <c r="N408" s="64"/>
      <c r="O408" s="64"/>
      <c r="P408" s="64"/>
      <c r="Q408" s="64"/>
      <c r="R408" s="64"/>
      <c r="S408" s="64"/>
      <c r="T408" s="64"/>
      <c r="U408" s="64"/>
      <c r="V408" s="64"/>
      <c r="W408" s="64"/>
      <c r="X408" s="64"/>
      <c r="Y408" s="64"/>
      <c r="Z408" s="64"/>
    </row>
    <row r="409">
      <c r="A409" s="64"/>
      <c r="B409" s="64"/>
      <c r="C409" s="64"/>
      <c r="D409" s="64"/>
      <c r="E409" s="64"/>
      <c r="F409" s="64"/>
      <c r="G409" s="64"/>
      <c r="H409" s="64"/>
      <c r="I409" s="64"/>
      <c r="J409" s="64"/>
      <c r="K409" s="64"/>
      <c r="L409" s="64"/>
      <c r="M409" s="64"/>
      <c r="N409" s="64"/>
      <c r="O409" s="64"/>
      <c r="P409" s="64"/>
      <c r="Q409" s="64"/>
      <c r="R409" s="64"/>
      <c r="S409" s="64"/>
      <c r="T409" s="64"/>
      <c r="U409" s="64"/>
      <c r="V409" s="64"/>
      <c r="W409" s="64"/>
      <c r="X409" s="64"/>
      <c r="Y409" s="64"/>
      <c r="Z409" s="64"/>
    </row>
    <row r="410">
      <c r="A410" s="64"/>
      <c r="B410" s="64"/>
      <c r="C410" s="64"/>
      <c r="D410" s="64"/>
      <c r="E410" s="64"/>
      <c r="F410" s="64"/>
      <c r="G410" s="64"/>
      <c r="H410" s="64"/>
      <c r="I410" s="64"/>
      <c r="J410" s="64"/>
      <c r="K410" s="64"/>
      <c r="L410" s="64"/>
      <c r="M410" s="64"/>
      <c r="N410" s="64"/>
      <c r="O410" s="64"/>
      <c r="P410" s="64"/>
      <c r="Q410" s="64"/>
      <c r="R410" s="64"/>
      <c r="S410" s="64"/>
      <c r="T410" s="64"/>
      <c r="U410" s="64"/>
      <c r="V410" s="64"/>
      <c r="W410" s="64"/>
      <c r="X410" s="64"/>
      <c r="Y410" s="64"/>
      <c r="Z410" s="64"/>
    </row>
    <row r="411">
      <c r="A411" s="64"/>
      <c r="B411" s="64"/>
      <c r="C411" s="64"/>
      <c r="D411" s="64"/>
      <c r="E411" s="64"/>
      <c r="F411" s="64"/>
      <c r="G411" s="64"/>
      <c r="H411" s="64"/>
      <c r="I411" s="64"/>
      <c r="J411" s="64"/>
      <c r="K411" s="64"/>
      <c r="L411" s="64"/>
      <c r="M411" s="64"/>
      <c r="N411" s="64"/>
      <c r="O411" s="64"/>
      <c r="P411" s="64"/>
      <c r="Q411" s="64"/>
      <c r="R411" s="64"/>
      <c r="S411" s="64"/>
      <c r="T411" s="64"/>
      <c r="U411" s="64"/>
      <c r="V411" s="64"/>
      <c r="W411" s="64"/>
      <c r="X411" s="64"/>
      <c r="Y411" s="64"/>
      <c r="Z411" s="64"/>
    </row>
    <row r="412">
      <c r="A412" s="64"/>
      <c r="B412" s="64"/>
      <c r="C412" s="64"/>
      <c r="D412" s="64"/>
      <c r="E412" s="64"/>
      <c r="F412" s="64"/>
      <c r="G412" s="64"/>
      <c r="H412" s="64"/>
      <c r="I412" s="64"/>
      <c r="J412" s="64"/>
      <c r="K412" s="64"/>
      <c r="L412" s="64"/>
      <c r="M412" s="64"/>
      <c r="N412" s="64"/>
      <c r="O412" s="64"/>
      <c r="P412" s="64"/>
      <c r="Q412" s="64"/>
      <c r="R412" s="64"/>
      <c r="S412" s="64"/>
      <c r="T412" s="64"/>
      <c r="U412" s="64"/>
      <c r="V412" s="64"/>
      <c r="W412" s="64"/>
      <c r="X412" s="64"/>
      <c r="Y412" s="64"/>
      <c r="Z412" s="64"/>
    </row>
    <row r="413">
      <c r="A413" s="64"/>
      <c r="B413" s="64"/>
      <c r="C413" s="64"/>
      <c r="D413" s="64"/>
      <c r="E413" s="64"/>
      <c r="F413" s="64"/>
      <c r="G413" s="64"/>
      <c r="H413" s="64"/>
      <c r="I413" s="64"/>
      <c r="J413" s="64"/>
      <c r="K413" s="64"/>
      <c r="L413" s="64"/>
      <c r="M413" s="64"/>
      <c r="N413" s="64"/>
      <c r="O413" s="64"/>
      <c r="P413" s="64"/>
      <c r="Q413" s="64"/>
      <c r="R413" s="64"/>
      <c r="S413" s="64"/>
      <c r="T413" s="64"/>
      <c r="U413" s="64"/>
      <c r="V413" s="64"/>
      <c r="W413" s="64"/>
      <c r="X413" s="64"/>
      <c r="Y413" s="64"/>
      <c r="Z413" s="64"/>
    </row>
    <row r="414">
      <c r="A414" s="64"/>
      <c r="B414" s="64"/>
      <c r="C414" s="64"/>
      <c r="D414" s="64"/>
      <c r="E414" s="64"/>
      <c r="F414" s="64"/>
      <c r="G414" s="64"/>
      <c r="H414" s="64"/>
      <c r="I414" s="64"/>
      <c r="J414" s="64"/>
      <c r="K414" s="64"/>
      <c r="L414" s="64"/>
      <c r="M414" s="64"/>
      <c r="N414" s="64"/>
      <c r="O414" s="64"/>
      <c r="P414" s="64"/>
      <c r="Q414" s="64"/>
      <c r="R414" s="64"/>
      <c r="S414" s="64"/>
      <c r="T414" s="64"/>
      <c r="U414" s="64"/>
      <c r="V414" s="64"/>
      <c r="W414" s="64"/>
      <c r="X414" s="64"/>
      <c r="Y414" s="64"/>
      <c r="Z414" s="64"/>
    </row>
    <row r="415">
      <c r="A415" s="64"/>
      <c r="B415" s="64"/>
      <c r="C415" s="64"/>
      <c r="D415" s="64"/>
      <c r="E415" s="64"/>
      <c r="F415" s="64"/>
      <c r="G415" s="64"/>
      <c r="H415" s="64"/>
      <c r="I415" s="64"/>
      <c r="J415" s="64"/>
      <c r="K415" s="64"/>
      <c r="L415" s="64"/>
      <c r="M415" s="64"/>
      <c r="N415" s="64"/>
      <c r="O415" s="64"/>
      <c r="P415" s="64"/>
      <c r="Q415" s="64"/>
      <c r="R415" s="64"/>
      <c r="S415" s="64"/>
      <c r="T415" s="64"/>
      <c r="U415" s="64"/>
      <c r="V415" s="64"/>
      <c r="W415" s="64"/>
      <c r="X415" s="64"/>
      <c r="Y415" s="64"/>
      <c r="Z415" s="64"/>
    </row>
    <row r="416">
      <c r="A416" s="64"/>
      <c r="B416" s="64"/>
      <c r="C416" s="64"/>
      <c r="D416" s="64"/>
      <c r="E416" s="64"/>
      <c r="F416" s="64"/>
      <c r="G416" s="64"/>
      <c r="H416" s="64"/>
      <c r="I416" s="64"/>
      <c r="J416" s="64"/>
      <c r="K416" s="64"/>
      <c r="L416" s="64"/>
      <c r="M416" s="64"/>
      <c r="N416" s="64"/>
      <c r="O416" s="64"/>
      <c r="P416" s="64"/>
      <c r="Q416" s="64"/>
      <c r="R416" s="64"/>
      <c r="S416" s="64"/>
      <c r="T416" s="64"/>
      <c r="U416" s="64"/>
      <c r="V416" s="64"/>
      <c r="W416" s="64"/>
      <c r="X416" s="64"/>
      <c r="Y416" s="64"/>
      <c r="Z416" s="64"/>
    </row>
    <row r="417">
      <c r="A417" s="64"/>
      <c r="B417" s="64"/>
      <c r="C417" s="64"/>
      <c r="D417" s="64"/>
      <c r="E417" s="64"/>
      <c r="F417" s="64"/>
      <c r="G417" s="64"/>
      <c r="H417" s="64"/>
      <c r="I417" s="64"/>
      <c r="J417" s="64"/>
      <c r="K417" s="64"/>
      <c r="L417" s="64"/>
      <c r="M417" s="64"/>
      <c r="N417" s="64"/>
      <c r="O417" s="64"/>
      <c r="P417" s="64"/>
      <c r="Q417" s="64"/>
      <c r="R417" s="64"/>
      <c r="S417" s="64"/>
      <c r="T417" s="64"/>
      <c r="U417" s="64"/>
      <c r="V417" s="64"/>
      <c r="W417" s="64"/>
      <c r="X417" s="64"/>
      <c r="Y417" s="64"/>
      <c r="Z417" s="64"/>
    </row>
    <row r="418">
      <c r="A418" s="64"/>
      <c r="B418" s="64"/>
      <c r="C418" s="64"/>
      <c r="D418" s="64"/>
      <c r="E418" s="64"/>
      <c r="F418" s="64"/>
      <c r="G418" s="64"/>
      <c r="H418" s="64"/>
      <c r="I418" s="64"/>
      <c r="J418" s="64"/>
      <c r="K418" s="64"/>
      <c r="L418" s="64"/>
      <c r="M418" s="64"/>
      <c r="N418" s="64"/>
      <c r="O418" s="64"/>
      <c r="P418" s="64"/>
      <c r="Q418" s="64"/>
      <c r="R418" s="64"/>
      <c r="S418" s="64"/>
      <c r="T418" s="64"/>
      <c r="U418" s="64"/>
      <c r="V418" s="64"/>
      <c r="W418" s="64"/>
      <c r="X418" s="64"/>
      <c r="Y418" s="64"/>
      <c r="Z418" s="64"/>
    </row>
    <row r="419">
      <c r="A419" s="64"/>
      <c r="B419" s="64"/>
      <c r="C419" s="64"/>
      <c r="D419" s="64"/>
      <c r="E419" s="64"/>
      <c r="F419" s="64"/>
      <c r="G419" s="64"/>
      <c r="H419" s="64"/>
      <c r="I419" s="64"/>
      <c r="J419" s="64"/>
      <c r="K419" s="64"/>
      <c r="L419" s="64"/>
      <c r="M419" s="64"/>
      <c r="N419" s="64"/>
      <c r="O419" s="64"/>
      <c r="P419" s="64"/>
      <c r="Q419" s="64"/>
      <c r="R419" s="64"/>
      <c r="S419" s="64"/>
      <c r="T419" s="64"/>
      <c r="U419" s="64"/>
      <c r="V419" s="64"/>
      <c r="W419" s="64"/>
      <c r="X419" s="64"/>
      <c r="Y419" s="64"/>
      <c r="Z419" s="64"/>
    </row>
    <row r="420">
      <c r="A420" s="64"/>
      <c r="B420" s="64"/>
      <c r="C420" s="64"/>
      <c r="D420" s="64"/>
      <c r="E420" s="64"/>
      <c r="F420" s="64"/>
      <c r="G420" s="64"/>
      <c r="H420" s="64"/>
      <c r="I420" s="64"/>
      <c r="J420" s="64"/>
      <c r="K420" s="64"/>
      <c r="L420" s="64"/>
      <c r="M420" s="64"/>
      <c r="N420" s="64"/>
      <c r="O420" s="64"/>
      <c r="P420" s="64"/>
      <c r="Q420" s="64"/>
      <c r="R420" s="64"/>
      <c r="S420" s="64"/>
      <c r="T420" s="64"/>
      <c r="U420" s="64"/>
      <c r="V420" s="64"/>
      <c r="W420" s="64"/>
      <c r="X420" s="64"/>
      <c r="Y420" s="64"/>
      <c r="Z420" s="64"/>
    </row>
    <row r="421">
      <c r="A421" s="64"/>
      <c r="B421" s="64"/>
      <c r="C421" s="64"/>
      <c r="D421" s="64"/>
      <c r="E421" s="64"/>
      <c r="F421" s="64"/>
      <c r="G421" s="64"/>
      <c r="H421" s="64"/>
      <c r="I421" s="64"/>
      <c r="J421" s="64"/>
      <c r="K421" s="64"/>
      <c r="L421" s="64"/>
      <c r="M421" s="64"/>
      <c r="N421" s="64"/>
      <c r="O421" s="64"/>
      <c r="P421" s="64"/>
      <c r="Q421" s="64"/>
      <c r="R421" s="64"/>
      <c r="S421" s="64"/>
      <c r="T421" s="64"/>
      <c r="U421" s="64"/>
      <c r="V421" s="64"/>
      <c r="W421" s="64"/>
      <c r="X421" s="64"/>
      <c r="Y421" s="64"/>
      <c r="Z421" s="64"/>
    </row>
    <row r="422">
      <c r="A422" s="64"/>
      <c r="B422" s="64"/>
      <c r="C422" s="64"/>
      <c r="D422" s="64"/>
      <c r="E422" s="64"/>
      <c r="F422" s="64"/>
      <c r="G422" s="64"/>
      <c r="H422" s="64"/>
      <c r="I422" s="64"/>
      <c r="J422" s="64"/>
      <c r="K422" s="64"/>
      <c r="L422" s="64"/>
      <c r="M422" s="64"/>
      <c r="N422" s="64"/>
      <c r="O422" s="64"/>
      <c r="P422" s="64"/>
      <c r="Q422" s="64"/>
      <c r="R422" s="64"/>
      <c r="S422" s="64"/>
      <c r="T422" s="64"/>
      <c r="U422" s="64"/>
      <c r="V422" s="64"/>
      <c r="W422" s="64"/>
      <c r="X422" s="64"/>
      <c r="Y422" s="64"/>
      <c r="Z422" s="64"/>
    </row>
    <row r="423">
      <c r="A423" s="64"/>
      <c r="B423" s="64"/>
      <c r="C423" s="64"/>
      <c r="D423" s="64"/>
      <c r="E423" s="64"/>
      <c r="F423" s="64"/>
      <c r="G423" s="64"/>
      <c r="H423" s="64"/>
      <c r="I423" s="64"/>
      <c r="J423" s="64"/>
      <c r="K423" s="64"/>
      <c r="L423" s="64"/>
      <c r="M423" s="64"/>
      <c r="N423" s="64"/>
      <c r="O423" s="64"/>
      <c r="P423" s="64"/>
      <c r="Q423" s="64"/>
      <c r="R423" s="64"/>
      <c r="S423" s="64"/>
      <c r="T423" s="64"/>
      <c r="U423" s="64"/>
      <c r="V423" s="64"/>
      <c r="W423" s="64"/>
      <c r="X423" s="64"/>
      <c r="Y423" s="64"/>
      <c r="Z423" s="64"/>
    </row>
    <row r="424">
      <c r="A424" s="64"/>
      <c r="B424" s="64"/>
      <c r="C424" s="64"/>
      <c r="D424" s="64"/>
      <c r="E424" s="64"/>
      <c r="F424" s="64"/>
      <c r="G424" s="64"/>
      <c r="H424" s="64"/>
      <c r="I424" s="64"/>
      <c r="J424" s="64"/>
      <c r="K424" s="64"/>
      <c r="L424" s="64"/>
      <c r="M424" s="64"/>
      <c r="N424" s="64"/>
      <c r="O424" s="64"/>
      <c r="P424" s="64"/>
      <c r="Q424" s="64"/>
      <c r="R424" s="64"/>
      <c r="S424" s="64"/>
      <c r="T424" s="64"/>
      <c r="U424" s="64"/>
      <c r="V424" s="64"/>
      <c r="W424" s="64"/>
      <c r="X424" s="64"/>
      <c r="Y424" s="64"/>
      <c r="Z424" s="64"/>
    </row>
    <row r="425">
      <c r="A425" s="64"/>
      <c r="B425" s="64"/>
      <c r="C425" s="64"/>
      <c r="D425" s="64"/>
      <c r="E425" s="64"/>
      <c r="F425" s="64"/>
      <c r="G425" s="64"/>
      <c r="H425" s="64"/>
      <c r="I425" s="64"/>
      <c r="J425" s="64"/>
      <c r="K425" s="64"/>
      <c r="L425" s="64"/>
      <c r="M425" s="64"/>
      <c r="N425" s="64"/>
      <c r="O425" s="64"/>
      <c r="P425" s="64"/>
      <c r="Q425" s="64"/>
      <c r="R425" s="64"/>
      <c r="S425" s="64"/>
      <c r="T425" s="64"/>
      <c r="U425" s="64"/>
      <c r="V425" s="64"/>
      <c r="W425" s="64"/>
      <c r="X425" s="64"/>
      <c r="Y425" s="64"/>
      <c r="Z425" s="64"/>
    </row>
    <row r="426">
      <c r="A426" s="64"/>
      <c r="B426" s="64"/>
      <c r="C426" s="64"/>
      <c r="D426" s="64"/>
      <c r="E426" s="64"/>
      <c r="F426" s="64"/>
      <c r="G426" s="64"/>
      <c r="H426" s="64"/>
      <c r="I426" s="64"/>
      <c r="J426" s="64"/>
      <c r="K426" s="64"/>
      <c r="L426" s="64"/>
      <c r="M426" s="64"/>
      <c r="N426" s="64"/>
      <c r="O426" s="64"/>
      <c r="P426" s="64"/>
      <c r="Q426" s="64"/>
      <c r="R426" s="64"/>
      <c r="S426" s="64"/>
      <c r="T426" s="64"/>
      <c r="U426" s="64"/>
      <c r="V426" s="64"/>
      <c r="W426" s="64"/>
      <c r="X426" s="64"/>
      <c r="Y426" s="64"/>
      <c r="Z426" s="64"/>
    </row>
    <row r="427">
      <c r="A427" s="64"/>
      <c r="B427" s="64"/>
      <c r="C427" s="64"/>
      <c r="D427" s="64"/>
      <c r="E427" s="64"/>
      <c r="F427" s="64"/>
      <c r="G427" s="64"/>
      <c r="H427" s="64"/>
      <c r="I427" s="64"/>
      <c r="J427" s="64"/>
      <c r="K427" s="64"/>
      <c r="L427" s="64"/>
      <c r="M427" s="64"/>
      <c r="N427" s="64"/>
      <c r="O427" s="64"/>
      <c r="P427" s="64"/>
      <c r="Q427" s="64"/>
      <c r="R427" s="64"/>
      <c r="S427" s="64"/>
      <c r="T427" s="64"/>
      <c r="U427" s="64"/>
      <c r="V427" s="64"/>
      <c r="W427" s="64"/>
      <c r="X427" s="64"/>
      <c r="Y427" s="64"/>
      <c r="Z427" s="64"/>
    </row>
    <row r="428">
      <c r="A428" s="64"/>
      <c r="B428" s="64"/>
      <c r="C428" s="64"/>
      <c r="D428" s="64"/>
      <c r="E428" s="64"/>
      <c r="F428" s="64"/>
      <c r="G428" s="64"/>
      <c r="H428" s="64"/>
      <c r="I428" s="64"/>
      <c r="J428" s="64"/>
      <c r="K428" s="64"/>
      <c r="L428" s="64"/>
      <c r="M428" s="64"/>
      <c r="N428" s="64"/>
      <c r="O428" s="64"/>
      <c r="P428" s="64"/>
      <c r="Q428" s="64"/>
      <c r="R428" s="64"/>
      <c r="S428" s="64"/>
      <c r="T428" s="64"/>
      <c r="U428" s="64"/>
      <c r="V428" s="64"/>
      <c r="W428" s="64"/>
      <c r="X428" s="64"/>
      <c r="Y428" s="64"/>
      <c r="Z428" s="64"/>
    </row>
    <row r="429">
      <c r="A429" s="64"/>
      <c r="B429" s="64"/>
      <c r="C429" s="64"/>
      <c r="D429" s="64"/>
      <c r="E429" s="64"/>
      <c r="F429" s="64"/>
      <c r="G429" s="64"/>
      <c r="H429" s="64"/>
      <c r="I429" s="64"/>
      <c r="J429" s="64"/>
      <c r="K429" s="64"/>
      <c r="L429" s="64"/>
      <c r="M429" s="64"/>
      <c r="N429" s="64"/>
      <c r="O429" s="64"/>
      <c r="P429" s="64"/>
      <c r="Q429" s="64"/>
      <c r="R429" s="64"/>
      <c r="S429" s="64"/>
      <c r="T429" s="64"/>
      <c r="U429" s="64"/>
      <c r="V429" s="64"/>
      <c r="W429" s="64"/>
      <c r="X429" s="64"/>
      <c r="Y429" s="64"/>
      <c r="Z429" s="64"/>
    </row>
    <row r="430">
      <c r="A430" s="64"/>
      <c r="B430" s="64"/>
      <c r="C430" s="64"/>
      <c r="D430" s="64"/>
      <c r="E430" s="64"/>
      <c r="F430" s="64"/>
      <c r="G430" s="64"/>
      <c r="H430" s="64"/>
      <c r="I430" s="64"/>
      <c r="J430" s="64"/>
      <c r="K430" s="64"/>
      <c r="L430" s="64"/>
      <c r="M430" s="64"/>
      <c r="N430" s="64"/>
      <c r="O430" s="64"/>
      <c r="P430" s="64"/>
      <c r="Q430" s="64"/>
      <c r="R430" s="64"/>
      <c r="S430" s="64"/>
      <c r="T430" s="64"/>
      <c r="U430" s="64"/>
      <c r="V430" s="64"/>
      <c r="W430" s="64"/>
      <c r="X430" s="64"/>
      <c r="Y430" s="64"/>
      <c r="Z430" s="64"/>
    </row>
    <row r="431">
      <c r="A431" s="64"/>
      <c r="B431" s="64"/>
      <c r="C431" s="64"/>
      <c r="D431" s="64"/>
      <c r="E431" s="64"/>
      <c r="F431" s="64"/>
      <c r="G431" s="64"/>
      <c r="H431" s="64"/>
      <c r="I431" s="64"/>
      <c r="J431" s="64"/>
      <c r="K431" s="64"/>
      <c r="L431" s="64"/>
      <c r="M431" s="64"/>
      <c r="N431" s="64"/>
      <c r="O431" s="64"/>
      <c r="P431" s="64"/>
      <c r="Q431" s="64"/>
      <c r="R431" s="64"/>
      <c r="S431" s="64"/>
      <c r="T431" s="64"/>
      <c r="U431" s="64"/>
      <c r="V431" s="64"/>
      <c r="W431" s="64"/>
      <c r="X431" s="64"/>
      <c r="Y431" s="64"/>
      <c r="Z431" s="64"/>
    </row>
    <row r="432">
      <c r="A432" s="64"/>
      <c r="B432" s="64"/>
      <c r="C432" s="64"/>
      <c r="D432" s="64"/>
      <c r="E432" s="64"/>
      <c r="F432" s="64"/>
      <c r="G432" s="64"/>
      <c r="H432" s="64"/>
      <c r="I432" s="64"/>
      <c r="J432" s="64"/>
      <c r="K432" s="64"/>
      <c r="L432" s="64"/>
      <c r="M432" s="64"/>
      <c r="N432" s="64"/>
      <c r="O432" s="64"/>
      <c r="P432" s="64"/>
      <c r="Q432" s="64"/>
      <c r="R432" s="64"/>
      <c r="S432" s="64"/>
      <c r="T432" s="64"/>
      <c r="U432" s="64"/>
      <c r="V432" s="64"/>
      <c r="W432" s="64"/>
      <c r="X432" s="64"/>
      <c r="Y432" s="64"/>
      <c r="Z432" s="64"/>
    </row>
    <row r="433">
      <c r="A433" s="64"/>
      <c r="B433" s="64"/>
      <c r="C433" s="64"/>
      <c r="D433" s="64"/>
      <c r="E433" s="64"/>
      <c r="F433" s="64"/>
      <c r="G433" s="64"/>
      <c r="H433" s="64"/>
      <c r="I433" s="64"/>
      <c r="J433" s="64"/>
      <c r="K433" s="64"/>
      <c r="L433" s="64"/>
      <c r="M433" s="64"/>
      <c r="N433" s="64"/>
      <c r="O433" s="64"/>
      <c r="P433" s="64"/>
      <c r="Q433" s="64"/>
      <c r="R433" s="64"/>
      <c r="S433" s="64"/>
      <c r="T433" s="64"/>
      <c r="U433" s="64"/>
      <c r="V433" s="64"/>
      <c r="W433" s="64"/>
      <c r="X433" s="64"/>
      <c r="Y433" s="64"/>
      <c r="Z433" s="64"/>
    </row>
    <row r="434">
      <c r="A434" s="64"/>
      <c r="B434" s="64"/>
      <c r="C434" s="64"/>
      <c r="D434" s="64"/>
      <c r="E434" s="64"/>
      <c r="F434" s="64"/>
      <c r="G434" s="64"/>
      <c r="H434" s="64"/>
      <c r="I434" s="64"/>
      <c r="J434" s="64"/>
      <c r="K434" s="64"/>
      <c r="L434" s="64"/>
      <c r="M434" s="64"/>
      <c r="N434" s="64"/>
      <c r="O434" s="64"/>
      <c r="P434" s="64"/>
      <c r="Q434" s="64"/>
      <c r="R434" s="64"/>
      <c r="S434" s="64"/>
      <c r="T434" s="64"/>
      <c r="U434" s="64"/>
      <c r="V434" s="64"/>
      <c r="W434" s="64"/>
      <c r="X434" s="64"/>
      <c r="Y434" s="64"/>
      <c r="Z434" s="64"/>
    </row>
    <row r="435">
      <c r="A435" s="64"/>
      <c r="B435" s="64"/>
      <c r="C435" s="64"/>
      <c r="D435" s="64"/>
      <c r="E435" s="64"/>
      <c r="F435" s="64"/>
      <c r="G435" s="64"/>
      <c r="H435" s="64"/>
      <c r="I435" s="64"/>
      <c r="J435" s="64"/>
      <c r="K435" s="64"/>
      <c r="L435" s="64"/>
      <c r="M435" s="64"/>
      <c r="N435" s="64"/>
      <c r="O435" s="64"/>
      <c r="P435" s="64"/>
      <c r="Q435" s="64"/>
      <c r="R435" s="64"/>
      <c r="S435" s="64"/>
      <c r="T435" s="64"/>
      <c r="U435" s="64"/>
      <c r="V435" s="64"/>
      <c r="W435" s="64"/>
      <c r="X435" s="64"/>
      <c r="Y435" s="64"/>
      <c r="Z435" s="64"/>
    </row>
    <row r="436">
      <c r="A436" s="64"/>
      <c r="B436" s="64"/>
      <c r="C436" s="64"/>
      <c r="D436" s="64"/>
      <c r="E436" s="64"/>
      <c r="F436" s="64"/>
      <c r="G436" s="64"/>
      <c r="H436" s="64"/>
      <c r="I436" s="64"/>
      <c r="J436" s="64"/>
      <c r="K436" s="64"/>
      <c r="L436" s="64"/>
      <c r="M436" s="64"/>
      <c r="N436" s="64"/>
      <c r="O436" s="64"/>
      <c r="P436" s="64"/>
      <c r="Q436" s="64"/>
      <c r="R436" s="64"/>
      <c r="S436" s="64"/>
      <c r="T436" s="64"/>
      <c r="U436" s="64"/>
      <c r="V436" s="64"/>
      <c r="W436" s="64"/>
      <c r="X436" s="64"/>
      <c r="Y436" s="64"/>
      <c r="Z436" s="64"/>
    </row>
    <row r="437">
      <c r="A437" s="64"/>
      <c r="B437" s="64"/>
      <c r="C437" s="64"/>
      <c r="D437" s="64"/>
      <c r="E437" s="64"/>
      <c r="F437" s="64"/>
      <c r="G437" s="64"/>
      <c r="H437" s="64"/>
      <c r="I437" s="64"/>
      <c r="J437" s="64"/>
      <c r="K437" s="64"/>
      <c r="L437" s="64"/>
      <c r="M437" s="64"/>
      <c r="N437" s="64"/>
      <c r="O437" s="64"/>
      <c r="P437" s="64"/>
      <c r="Q437" s="64"/>
      <c r="R437" s="64"/>
      <c r="S437" s="64"/>
      <c r="T437" s="64"/>
      <c r="U437" s="64"/>
      <c r="V437" s="64"/>
      <c r="W437" s="64"/>
      <c r="X437" s="64"/>
      <c r="Y437" s="64"/>
      <c r="Z437" s="64"/>
    </row>
    <row r="438">
      <c r="A438" s="64"/>
      <c r="B438" s="64"/>
      <c r="C438" s="64"/>
      <c r="D438" s="64"/>
      <c r="E438" s="64"/>
      <c r="F438" s="64"/>
      <c r="G438" s="64"/>
      <c r="H438" s="64"/>
      <c r="I438" s="64"/>
      <c r="J438" s="64"/>
      <c r="K438" s="64"/>
      <c r="L438" s="64"/>
      <c r="M438" s="64"/>
      <c r="N438" s="64"/>
      <c r="O438" s="64"/>
      <c r="P438" s="64"/>
      <c r="Q438" s="64"/>
      <c r="R438" s="64"/>
      <c r="S438" s="64"/>
      <c r="T438" s="64"/>
      <c r="U438" s="64"/>
      <c r="V438" s="64"/>
      <c r="W438" s="64"/>
      <c r="X438" s="64"/>
      <c r="Y438" s="64"/>
      <c r="Z438" s="64"/>
    </row>
    <row r="439">
      <c r="A439" s="64"/>
      <c r="B439" s="64"/>
      <c r="C439" s="64"/>
      <c r="D439" s="64"/>
      <c r="E439" s="64"/>
      <c r="F439" s="64"/>
      <c r="G439" s="64"/>
      <c r="H439" s="64"/>
      <c r="I439" s="64"/>
      <c r="J439" s="64"/>
      <c r="K439" s="64"/>
      <c r="L439" s="64"/>
      <c r="M439" s="64"/>
      <c r="N439" s="64"/>
      <c r="O439" s="64"/>
      <c r="P439" s="64"/>
      <c r="Q439" s="64"/>
      <c r="R439" s="64"/>
      <c r="S439" s="64"/>
      <c r="T439" s="64"/>
      <c r="U439" s="64"/>
      <c r="V439" s="64"/>
      <c r="W439" s="64"/>
      <c r="X439" s="64"/>
      <c r="Y439" s="64"/>
      <c r="Z439" s="64"/>
    </row>
    <row r="440">
      <c r="A440" s="64"/>
      <c r="B440" s="64"/>
      <c r="C440" s="64"/>
      <c r="D440" s="64"/>
      <c r="E440" s="64"/>
      <c r="F440" s="64"/>
      <c r="G440" s="64"/>
      <c r="H440" s="64"/>
      <c r="I440" s="64"/>
      <c r="J440" s="64"/>
      <c r="K440" s="64"/>
      <c r="L440" s="64"/>
      <c r="M440" s="64"/>
      <c r="N440" s="64"/>
      <c r="O440" s="64"/>
      <c r="P440" s="64"/>
      <c r="Q440" s="64"/>
      <c r="R440" s="64"/>
      <c r="S440" s="64"/>
      <c r="T440" s="64"/>
      <c r="U440" s="64"/>
      <c r="V440" s="64"/>
      <c r="W440" s="64"/>
      <c r="X440" s="64"/>
      <c r="Y440" s="64"/>
      <c r="Z440" s="64"/>
    </row>
    <row r="441">
      <c r="A441" s="64"/>
      <c r="B441" s="64"/>
      <c r="C441" s="64"/>
      <c r="D441" s="64"/>
      <c r="E441" s="64"/>
      <c r="F441" s="64"/>
      <c r="G441" s="64"/>
      <c r="H441" s="64"/>
      <c r="I441" s="64"/>
      <c r="J441" s="64"/>
      <c r="K441" s="64"/>
      <c r="L441" s="64"/>
      <c r="M441" s="64"/>
      <c r="N441" s="64"/>
      <c r="O441" s="64"/>
      <c r="P441" s="64"/>
      <c r="Q441" s="64"/>
      <c r="R441" s="64"/>
      <c r="S441" s="64"/>
      <c r="T441" s="64"/>
      <c r="U441" s="64"/>
      <c r="V441" s="64"/>
      <c r="W441" s="64"/>
      <c r="X441" s="64"/>
      <c r="Y441" s="64"/>
      <c r="Z441" s="64"/>
    </row>
    <row r="442">
      <c r="A442" s="64"/>
      <c r="B442" s="64"/>
      <c r="C442" s="64"/>
      <c r="D442" s="64"/>
      <c r="E442" s="64"/>
      <c r="F442" s="64"/>
      <c r="G442" s="64"/>
      <c r="H442" s="64"/>
      <c r="I442" s="64"/>
      <c r="J442" s="64"/>
      <c r="K442" s="64"/>
      <c r="L442" s="64"/>
      <c r="M442" s="64"/>
      <c r="N442" s="64"/>
      <c r="O442" s="64"/>
      <c r="P442" s="64"/>
      <c r="Q442" s="64"/>
      <c r="R442" s="64"/>
      <c r="S442" s="64"/>
      <c r="T442" s="64"/>
      <c r="U442" s="64"/>
      <c r="V442" s="64"/>
      <c r="W442" s="64"/>
      <c r="X442" s="64"/>
      <c r="Y442" s="64"/>
      <c r="Z442" s="64"/>
    </row>
    <row r="443">
      <c r="A443" s="64"/>
      <c r="B443" s="64"/>
      <c r="C443" s="64"/>
      <c r="D443" s="64"/>
      <c r="E443" s="64"/>
      <c r="F443" s="64"/>
      <c r="G443" s="64"/>
      <c r="H443" s="64"/>
      <c r="I443" s="64"/>
      <c r="J443" s="64"/>
      <c r="K443" s="64"/>
      <c r="L443" s="64"/>
      <c r="M443" s="64"/>
      <c r="N443" s="64"/>
      <c r="O443" s="64"/>
      <c r="P443" s="64"/>
      <c r="Q443" s="64"/>
      <c r="R443" s="64"/>
      <c r="S443" s="64"/>
      <c r="T443" s="64"/>
      <c r="U443" s="64"/>
      <c r="V443" s="64"/>
      <c r="W443" s="64"/>
      <c r="X443" s="64"/>
      <c r="Y443" s="64"/>
      <c r="Z443" s="64"/>
    </row>
    <row r="444">
      <c r="A444" s="64"/>
      <c r="B444" s="64"/>
      <c r="C444" s="64"/>
      <c r="D444" s="64"/>
      <c r="E444" s="64"/>
      <c r="F444" s="64"/>
      <c r="G444" s="64"/>
      <c r="H444" s="64"/>
      <c r="I444" s="64"/>
      <c r="J444" s="64"/>
      <c r="K444" s="64"/>
      <c r="L444" s="64"/>
      <c r="M444" s="64"/>
      <c r="N444" s="64"/>
      <c r="O444" s="64"/>
      <c r="P444" s="64"/>
      <c r="Q444" s="64"/>
      <c r="R444" s="64"/>
      <c r="S444" s="64"/>
      <c r="T444" s="64"/>
      <c r="U444" s="64"/>
      <c r="V444" s="64"/>
      <c r="W444" s="64"/>
      <c r="X444" s="64"/>
      <c r="Y444" s="64"/>
      <c r="Z444" s="64"/>
    </row>
    <row r="445">
      <c r="A445" s="64"/>
      <c r="B445" s="64"/>
      <c r="C445" s="64"/>
      <c r="D445" s="64"/>
      <c r="E445" s="64"/>
      <c r="F445" s="64"/>
      <c r="G445" s="64"/>
      <c r="H445" s="64"/>
      <c r="I445" s="64"/>
      <c r="J445" s="64"/>
      <c r="K445" s="64"/>
      <c r="L445" s="64"/>
      <c r="M445" s="64"/>
      <c r="N445" s="64"/>
      <c r="O445" s="64"/>
      <c r="P445" s="64"/>
      <c r="Q445" s="64"/>
      <c r="R445" s="64"/>
      <c r="S445" s="64"/>
      <c r="T445" s="64"/>
      <c r="U445" s="64"/>
      <c r="V445" s="64"/>
      <c r="W445" s="64"/>
      <c r="X445" s="64"/>
      <c r="Y445" s="64"/>
      <c r="Z445" s="64"/>
    </row>
    <row r="446">
      <c r="A446" s="64"/>
      <c r="B446" s="64"/>
      <c r="C446" s="64"/>
      <c r="D446" s="64"/>
      <c r="E446" s="64"/>
      <c r="F446" s="64"/>
      <c r="G446" s="64"/>
      <c r="H446" s="64"/>
      <c r="I446" s="64"/>
      <c r="J446" s="64"/>
      <c r="K446" s="64"/>
      <c r="L446" s="64"/>
      <c r="M446" s="64"/>
      <c r="N446" s="64"/>
      <c r="O446" s="64"/>
      <c r="P446" s="64"/>
      <c r="Q446" s="64"/>
      <c r="R446" s="64"/>
      <c r="S446" s="64"/>
      <c r="T446" s="64"/>
      <c r="U446" s="64"/>
      <c r="V446" s="64"/>
      <c r="W446" s="64"/>
      <c r="X446" s="64"/>
      <c r="Y446" s="64"/>
      <c r="Z446" s="64"/>
    </row>
    <row r="447">
      <c r="A447" s="64"/>
      <c r="B447" s="64"/>
      <c r="C447" s="64"/>
      <c r="D447" s="64"/>
      <c r="E447" s="64"/>
      <c r="F447" s="64"/>
      <c r="G447" s="64"/>
      <c r="H447" s="64"/>
      <c r="I447" s="64"/>
      <c r="J447" s="64"/>
      <c r="K447" s="64"/>
      <c r="L447" s="64"/>
      <c r="M447" s="64"/>
      <c r="N447" s="64"/>
      <c r="O447" s="64"/>
      <c r="P447" s="64"/>
      <c r="Q447" s="64"/>
      <c r="R447" s="64"/>
      <c r="S447" s="64"/>
      <c r="T447" s="64"/>
      <c r="U447" s="64"/>
      <c r="V447" s="64"/>
      <c r="W447" s="64"/>
      <c r="X447" s="64"/>
      <c r="Y447" s="64"/>
      <c r="Z447" s="64"/>
    </row>
    <row r="448">
      <c r="A448" s="64"/>
      <c r="B448" s="64"/>
      <c r="C448" s="64"/>
      <c r="D448" s="64"/>
      <c r="E448" s="64"/>
      <c r="F448" s="64"/>
      <c r="G448" s="64"/>
      <c r="H448" s="64"/>
      <c r="I448" s="64"/>
      <c r="J448" s="64"/>
      <c r="K448" s="64"/>
      <c r="L448" s="64"/>
      <c r="M448" s="64"/>
      <c r="N448" s="64"/>
      <c r="O448" s="64"/>
      <c r="P448" s="64"/>
      <c r="Q448" s="64"/>
      <c r="R448" s="64"/>
      <c r="S448" s="64"/>
      <c r="T448" s="64"/>
      <c r="U448" s="64"/>
      <c r="V448" s="64"/>
      <c r="W448" s="64"/>
      <c r="X448" s="64"/>
      <c r="Y448" s="64"/>
      <c r="Z448" s="64"/>
    </row>
    <row r="449">
      <c r="A449" s="64"/>
      <c r="B449" s="64"/>
      <c r="C449" s="64"/>
      <c r="D449" s="64"/>
      <c r="E449" s="64"/>
      <c r="F449" s="64"/>
      <c r="G449" s="64"/>
      <c r="H449" s="64"/>
      <c r="I449" s="64"/>
      <c r="J449" s="64"/>
      <c r="K449" s="64"/>
      <c r="L449" s="64"/>
      <c r="M449" s="64"/>
      <c r="N449" s="64"/>
      <c r="O449" s="64"/>
      <c r="P449" s="64"/>
      <c r="Q449" s="64"/>
      <c r="R449" s="64"/>
      <c r="S449" s="64"/>
      <c r="T449" s="64"/>
      <c r="U449" s="64"/>
      <c r="V449" s="64"/>
      <c r="W449" s="64"/>
      <c r="X449" s="64"/>
      <c r="Y449" s="64"/>
      <c r="Z449" s="64"/>
    </row>
    <row r="450">
      <c r="A450" s="64"/>
      <c r="B450" s="64"/>
      <c r="C450" s="64"/>
      <c r="D450" s="64"/>
      <c r="E450" s="64"/>
      <c r="F450" s="64"/>
      <c r="G450" s="64"/>
      <c r="H450" s="64"/>
      <c r="I450" s="64"/>
      <c r="J450" s="64"/>
      <c r="K450" s="64"/>
      <c r="L450" s="64"/>
      <c r="M450" s="64"/>
      <c r="N450" s="64"/>
      <c r="O450" s="64"/>
      <c r="P450" s="64"/>
      <c r="Q450" s="64"/>
      <c r="R450" s="64"/>
      <c r="S450" s="64"/>
      <c r="T450" s="64"/>
      <c r="U450" s="64"/>
      <c r="V450" s="64"/>
      <c r="W450" s="64"/>
      <c r="X450" s="64"/>
      <c r="Y450" s="64"/>
      <c r="Z450" s="64"/>
    </row>
    <row r="451">
      <c r="A451" s="64"/>
      <c r="B451" s="64"/>
      <c r="C451" s="64"/>
      <c r="D451" s="64"/>
      <c r="E451" s="64"/>
      <c r="F451" s="64"/>
      <c r="G451" s="64"/>
      <c r="H451" s="64"/>
      <c r="I451" s="64"/>
      <c r="J451" s="64"/>
      <c r="K451" s="64"/>
      <c r="L451" s="64"/>
      <c r="M451" s="64"/>
      <c r="N451" s="64"/>
      <c r="O451" s="64"/>
      <c r="P451" s="64"/>
      <c r="Q451" s="64"/>
      <c r="R451" s="64"/>
      <c r="S451" s="64"/>
      <c r="T451" s="64"/>
      <c r="U451" s="64"/>
      <c r="V451" s="64"/>
      <c r="W451" s="64"/>
      <c r="X451" s="64"/>
      <c r="Y451" s="64"/>
      <c r="Z451" s="64"/>
    </row>
    <row r="452">
      <c r="A452" s="64"/>
      <c r="B452" s="64"/>
      <c r="C452" s="64"/>
      <c r="D452" s="64"/>
      <c r="E452" s="64"/>
      <c r="F452" s="64"/>
      <c r="G452" s="64"/>
      <c r="H452" s="64"/>
      <c r="I452" s="64"/>
      <c r="J452" s="64"/>
      <c r="K452" s="64"/>
      <c r="L452" s="64"/>
      <c r="M452" s="64"/>
      <c r="N452" s="64"/>
      <c r="O452" s="64"/>
      <c r="P452" s="64"/>
      <c r="Q452" s="64"/>
      <c r="R452" s="64"/>
      <c r="S452" s="64"/>
      <c r="T452" s="64"/>
      <c r="U452" s="64"/>
      <c r="V452" s="64"/>
      <c r="W452" s="64"/>
      <c r="X452" s="64"/>
      <c r="Y452" s="64"/>
      <c r="Z452" s="64"/>
    </row>
    <row r="453">
      <c r="A453" s="64"/>
      <c r="B453" s="64"/>
      <c r="C453" s="64"/>
      <c r="D453" s="64"/>
      <c r="E453" s="64"/>
      <c r="F453" s="64"/>
      <c r="G453" s="64"/>
      <c r="H453" s="64"/>
      <c r="I453" s="64"/>
      <c r="J453" s="64"/>
      <c r="K453" s="64"/>
      <c r="L453" s="64"/>
      <c r="M453" s="64"/>
      <c r="N453" s="64"/>
      <c r="O453" s="64"/>
      <c r="P453" s="64"/>
      <c r="Q453" s="64"/>
      <c r="R453" s="64"/>
      <c r="S453" s="64"/>
      <c r="T453" s="64"/>
      <c r="U453" s="64"/>
      <c r="V453" s="64"/>
      <c r="W453" s="64"/>
      <c r="X453" s="64"/>
      <c r="Y453" s="64"/>
      <c r="Z453" s="64"/>
    </row>
    <row r="454">
      <c r="A454" s="64"/>
      <c r="B454" s="64"/>
      <c r="C454" s="64"/>
      <c r="D454" s="64"/>
      <c r="E454" s="64"/>
      <c r="F454" s="64"/>
      <c r="G454" s="64"/>
      <c r="H454" s="64"/>
      <c r="I454" s="64"/>
      <c r="J454" s="64"/>
      <c r="K454" s="64"/>
      <c r="L454" s="64"/>
      <c r="M454" s="64"/>
      <c r="N454" s="64"/>
      <c r="O454" s="64"/>
      <c r="P454" s="64"/>
      <c r="Q454" s="64"/>
      <c r="R454" s="64"/>
      <c r="S454" s="64"/>
      <c r="T454" s="64"/>
      <c r="U454" s="64"/>
      <c r="V454" s="64"/>
      <c r="W454" s="64"/>
      <c r="X454" s="64"/>
      <c r="Y454" s="64"/>
      <c r="Z454" s="64"/>
    </row>
    <row r="455">
      <c r="A455" s="64"/>
      <c r="B455" s="64"/>
      <c r="C455" s="64"/>
      <c r="D455" s="64"/>
      <c r="E455" s="64"/>
      <c r="F455" s="64"/>
      <c r="G455" s="64"/>
      <c r="H455" s="64"/>
      <c r="I455" s="64"/>
      <c r="J455" s="64"/>
      <c r="K455" s="64"/>
      <c r="L455" s="64"/>
      <c r="M455" s="64"/>
      <c r="N455" s="64"/>
      <c r="O455" s="64"/>
      <c r="P455" s="64"/>
      <c r="Q455" s="64"/>
      <c r="R455" s="64"/>
      <c r="S455" s="64"/>
      <c r="T455" s="64"/>
      <c r="U455" s="64"/>
      <c r="V455" s="64"/>
      <c r="W455" s="64"/>
      <c r="X455" s="64"/>
      <c r="Y455" s="64"/>
      <c r="Z455" s="64"/>
    </row>
    <row r="456">
      <c r="A456" s="64"/>
      <c r="B456" s="64"/>
      <c r="C456" s="64"/>
      <c r="D456" s="64"/>
      <c r="E456" s="64"/>
      <c r="F456" s="64"/>
      <c r="G456" s="64"/>
      <c r="H456" s="64"/>
      <c r="I456" s="64"/>
      <c r="J456" s="64"/>
      <c r="K456" s="64"/>
      <c r="L456" s="64"/>
      <c r="M456" s="64"/>
      <c r="N456" s="64"/>
      <c r="O456" s="64"/>
      <c r="P456" s="64"/>
      <c r="Q456" s="64"/>
      <c r="R456" s="64"/>
      <c r="S456" s="64"/>
      <c r="T456" s="64"/>
      <c r="U456" s="64"/>
      <c r="V456" s="64"/>
      <c r="W456" s="64"/>
      <c r="X456" s="64"/>
      <c r="Y456" s="64"/>
      <c r="Z456" s="64"/>
    </row>
    <row r="457">
      <c r="A457" s="64"/>
      <c r="B457" s="64"/>
      <c r="C457" s="64"/>
      <c r="D457" s="64"/>
      <c r="E457" s="64"/>
      <c r="F457" s="64"/>
      <c r="G457" s="64"/>
      <c r="H457" s="64"/>
      <c r="I457" s="64"/>
      <c r="J457" s="64"/>
      <c r="K457" s="64"/>
      <c r="L457" s="64"/>
      <c r="M457" s="64"/>
      <c r="N457" s="64"/>
      <c r="O457" s="64"/>
      <c r="P457" s="64"/>
      <c r="Q457" s="64"/>
      <c r="R457" s="64"/>
      <c r="S457" s="64"/>
      <c r="T457" s="64"/>
      <c r="U457" s="64"/>
      <c r="V457" s="64"/>
      <c r="W457" s="64"/>
      <c r="X457" s="64"/>
      <c r="Y457" s="64"/>
      <c r="Z457" s="64"/>
    </row>
    <row r="458">
      <c r="A458" s="64"/>
      <c r="B458" s="64"/>
      <c r="C458" s="64"/>
      <c r="D458" s="64"/>
      <c r="E458" s="64"/>
      <c r="F458" s="64"/>
      <c r="G458" s="64"/>
      <c r="H458" s="64"/>
      <c r="I458" s="64"/>
      <c r="J458" s="64"/>
      <c r="K458" s="64"/>
      <c r="L458" s="64"/>
      <c r="M458" s="64"/>
      <c r="N458" s="64"/>
      <c r="O458" s="64"/>
      <c r="P458" s="64"/>
      <c r="Q458" s="64"/>
      <c r="R458" s="64"/>
      <c r="S458" s="64"/>
      <c r="T458" s="64"/>
      <c r="U458" s="64"/>
      <c r="V458" s="64"/>
      <c r="W458" s="64"/>
      <c r="X458" s="64"/>
      <c r="Y458" s="64"/>
      <c r="Z458" s="64"/>
    </row>
    <row r="459">
      <c r="A459" s="64"/>
      <c r="B459" s="64"/>
      <c r="C459" s="64"/>
      <c r="D459" s="64"/>
      <c r="E459" s="64"/>
      <c r="F459" s="64"/>
      <c r="G459" s="64"/>
      <c r="H459" s="64"/>
      <c r="I459" s="64"/>
      <c r="J459" s="64"/>
      <c r="K459" s="64"/>
      <c r="L459" s="64"/>
      <c r="M459" s="64"/>
      <c r="N459" s="64"/>
      <c r="O459" s="64"/>
      <c r="P459" s="64"/>
      <c r="Q459" s="64"/>
      <c r="R459" s="64"/>
      <c r="S459" s="64"/>
      <c r="T459" s="64"/>
      <c r="U459" s="64"/>
      <c r="V459" s="64"/>
      <c r="W459" s="64"/>
      <c r="X459" s="64"/>
      <c r="Y459" s="64"/>
      <c r="Z459" s="64"/>
    </row>
    <row r="460">
      <c r="A460" s="64"/>
      <c r="B460" s="64"/>
      <c r="C460" s="64"/>
      <c r="D460" s="64"/>
      <c r="E460" s="64"/>
      <c r="F460" s="64"/>
      <c r="G460" s="64"/>
      <c r="H460" s="64"/>
      <c r="I460" s="64"/>
      <c r="J460" s="64"/>
      <c r="K460" s="64"/>
      <c r="L460" s="64"/>
      <c r="M460" s="64"/>
      <c r="N460" s="64"/>
      <c r="O460" s="64"/>
      <c r="P460" s="64"/>
      <c r="Q460" s="64"/>
      <c r="R460" s="64"/>
      <c r="S460" s="64"/>
      <c r="T460" s="64"/>
      <c r="U460" s="64"/>
      <c r="V460" s="64"/>
      <c r="W460" s="64"/>
      <c r="X460" s="64"/>
      <c r="Y460" s="64"/>
      <c r="Z460" s="64"/>
    </row>
    <row r="461">
      <c r="A461" s="64"/>
      <c r="B461" s="64"/>
      <c r="C461" s="64"/>
      <c r="D461" s="64"/>
      <c r="E461" s="64"/>
      <c r="F461" s="64"/>
      <c r="G461" s="64"/>
      <c r="H461" s="64"/>
      <c r="I461" s="64"/>
      <c r="J461" s="64"/>
      <c r="K461" s="64"/>
      <c r="L461" s="64"/>
      <c r="M461" s="64"/>
      <c r="N461" s="64"/>
      <c r="O461" s="64"/>
      <c r="P461" s="64"/>
      <c r="Q461" s="64"/>
      <c r="R461" s="64"/>
      <c r="S461" s="64"/>
      <c r="T461" s="64"/>
      <c r="U461" s="64"/>
      <c r="V461" s="64"/>
      <c r="W461" s="64"/>
      <c r="X461" s="64"/>
      <c r="Y461" s="64"/>
      <c r="Z461" s="64"/>
    </row>
    <row r="462">
      <c r="A462" s="64"/>
      <c r="B462" s="64"/>
      <c r="C462" s="64"/>
      <c r="D462" s="64"/>
      <c r="E462" s="64"/>
      <c r="F462" s="64"/>
      <c r="G462" s="64"/>
      <c r="H462" s="64"/>
      <c r="I462" s="64"/>
      <c r="J462" s="64"/>
      <c r="K462" s="64"/>
      <c r="L462" s="64"/>
      <c r="M462" s="64"/>
      <c r="N462" s="64"/>
      <c r="O462" s="64"/>
      <c r="P462" s="64"/>
      <c r="Q462" s="64"/>
      <c r="R462" s="64"/>
      <c r="S462" s="64"/>
      <c r="T462" s="64"/>
      <c r="U462" s="64"/>
      <c r="V462" s="64"/>
      <c r="W462" s="64"/>
      <c r="X462" s="64"/>
      <c r="Y462" s="64"/>
      <c r="Z462" s="64"/>
    </row>
    <row r="463">
      <c r="A463" s="64"/>
      <c r="B463" s="64"/>
      <c r="C463" s="64"/>
      <c r="D463" s="64"/>
      <c r="E463" s="64"/>
      <c r="F463" s="64"/>
      <c r="G463" s="64"/>
      <c r="H463" s="64"/>
      <c r="I463" s="64"/>
      <c r="J463" s="64"/>
      <c r="K463" s="64"/>
      <c r="L463" s="64"/>
      <c r="M463" s="64"/>
      <c r="N463" s="64"/>
      <c r="O463" s="64"/>
      <c r="P463" s="64"/>
      <c r="Q463" s="64"/>
      <c r="R463" s="64"/>
      <c r="S463" s="64"/>
      <c r="T463" s="64"/>
      <c r="U463" s="64"/>
      <c r="V463" s="64"/>
      <c r="W463" s="64"/>
      <c r="X463" s="64"/>
      <c r="Y463" s="64"/>
      <c r="Z463" s="64"/>
    </row>
    <row r="464">
      <c r="A464" s="64"/>
      <c r="B464" s="64"/>
      <c r="C464" s="64"/>
      <c r="D464" s="64"/>
      <c r="E464" s="64"/>
      <c r="F464" s="64"/>
      <c r="G464" s="64"/>
      <c r="H464" s="64"/>
      <c r="I464" s="64"/>
      <c r="J464" s="64"/>
      <c r="K464" s="64"/>
      <c r="L464" s="64"/>
      <c r="M464" s="64"/>
      <c r="N464" s="64"/>
      <c r="O464" s="64"/>
      <c r="P464" s="64"/>
      <c r="Q464" s="64"/>
      <c r="R464" s="64"/>
      <c r="S464" s="64"/>
      <c r="T464" s="64"/>
      <c r="U464" s="64"/>
      <c r="V464" s="64"/>
      <c r="W464" s="64"/>
      <c r="X464" s="64"/>
      <c r="Y464" s="64"/>
      <c r="Z464" s="64"/>
    </row>
    <row r="465">
      <c r="A465" s="64"/>
      <c r="B465" s="64"/>
      <c r="C465" s="64"/>
      <c r="D465" s="64"/>
      <c r="E465" s="64"/>
      <c r="F465" s="64"/>
      <c r="G465" s="64"/>
      <c r="H465" s="64"/>
      <c r="I465" s="64"/>
      <c r="J465" s="64"/>
      <c r="K465" s="64"/>
      <c r="L465" s="64"/>
      <c r="M465" s="64"/>
      <c r="N465" s="64"/>
      <c r="O465" s="64"/>
      <c r="P465" s="64"/>
      <c r="Q465" s="64"/>
      <c r="R465" s="64"/>
      <c r="S465" s="64"/>
      <c r="T465" s="64"/>
      <c r="U465" s="64"/>
      <c r="V465" s="64"/>
      <c r="W465" s="64"/>
      <c r="X465" s="64"/>
      <c r="Y465" s="64"/>
      <c r="Z465" s="64"/>
    </row>
    <row r="466">
      <c r="A466" s="64"/>
      <c r="B466" s="64"/>
      <c r="C466" s="64"/>
      <c r="D466" s="64"/>
      <c r="E466" s="64"/>
      <c r="F466" s="64"/>
      <c r="G466" s="64"/>
      <c r="H466" s="64"/>
      <c r="I466" s="64"/>
      <c r="J466" s="64"/>
      <c r="K466" s="64"/>
      <c r="L466" s="64"/>
      <c r="M466" s="64"/>
      <c r="N466" s="64"/>
      <c r="O466" s="64"/>
      <c r="P466" s="64"/>
      <c r="Q466" s="64"/>
      <c r="R466" s="64"/>
      <c r="S466" s="64"/>
      <c r="T466" s="64"/>
      <c r="U466" s="64"/>
      <c r="V466" s="64"/>
      <c r="W466" s="64"/>
      <c r="X466" s="64"/>
      <c r="Y466" s="64"/>
      <c r="Z466" s="64"/>
    </row>
    <row r="467">
      <c r="A467" s="64"/>
      <c r="B467" s="64"/>
      <c r="C467" s="64"/>
      <c r="D467" s="64"/>
      <c r="E467" s="64"/>
      <c r="F467" s="64"/>
      <c r="G467" s="64"/>
      <c r="H467" s="64"/>
      <c r="I467" s="64"/>
      <c r="J467" s="64"/>
      <c r="K467" s="64"/>
      <c r="L467" s="64"/>
      <c r="M467" s="64"/>
      <c r="N467" s="64"/>
      <c r="O467" s="64"/>
      <c r="P467" s="64"/>
      <c r="Q467" s="64"/>
      <c r="R467" s="64"/>
      <c r="S467" s="64"/>
      <c r="T467" s="64"/>
      <c r="U467" s="64"/>
      <c r="V467" s="64"/>
      <c r="W467" s="64"/>
      <c r="X467" s="64"/>
      <c r="Y467" s="64"/>
      <c r="Z467" s="64"/>
    </row>
    <row r="468">
      <c r="A468" s="64"/>
      <c r="B468" s="64"/>
      <c r="C468" s="64"/>
      <c r="D468" s="64"/>
      <c r="E468" s="64"/>
      <c r="F468" s="64"/>
      <c r="G468" s="64"/>
      <c r="H468" s="64"/>
      <c r="I468" s="64"/>
      <c r="J468" s="64"/>
      <c r="K468" s="64"/>
      <c r="L468" s="64"/>
      <c r="M468" s="64"/>
      <c r="N468" s="64"/>
      <c r="O468" s="64"/>
      <c r="P468" s="64"/>
      <c r="Q468" s="64"/>
      <c r="R468" s="64"/>
      <c r="S468" s="64"/>
      <c r="T468" s="64"/>
      <c r="U468" s="64"/>
      <c r="V468" s="64"/>
      <c r="W468" s="64"/>
      <c r="X468" s="64"/>
      <c r="Y468" s="64"/>
      <c r="Z468" s="64"/>
    </row>
    <row r="469">
      <c r="A469" s="64"/>
      <c r="B469" s="64"/>
      <c r="C469" s="64"/>
      <c r="D469" s="64"/>
      <c r="E469" s="64"/>
      <c r="F469" s="64"/>
      <c r="G469" s="64"/>
      <c r="H469" s="64"/>
      <c r="I469" s="64"/>
      <c r="J469" s="64"/>
      <c r="K469" s="64"/>
      <c r="L469" s="64"/>
      <c r="M469" s="64"/>
      <c r="N469" s="64"/>
      <c r="O469" s="64"/>
      <c r="P469" s="64"/>
      <c r="Q469" s="64"/>
      <c r="R469" s="64"/>
      <c r="S469" s="64"/>
      <c r="T469" s="64"/>
      <c r="U469" s="64"/>
      <c r="V469" s="64"/>
      <c r="W469" s="64"/>
      <c r="X469" s="64"/>
      <c r="Y469" s="64"/>
      <c r="Z469" s="64"/>
    </row>
    <row r="470">
      <c r="A470" s="64"/>
      <c r="B470" s="64"/>
      <c r="C470" s="64"/>
      <c r="D470" s="64"/>
      <c r="E470" s="64"/>
      <c r="F470" s="64"/>
      <c r="G470" s="64"/>
      <c r="H470" s="64"/>
      <c r="I470" s="64"/>
      <c r="J470" s="64"/>
      <c r="K470" s="64"/>
      <c r="L470" s="64"/>
      <c r="M470" s="64"/>
      <c r="N470" s="64"/>
      <c r="O470" s="64"/>
      <c r="P470" s="64"/>
      <c r="Q470" s="64"/>
      <c r="R470" s="64"/>
      <c r="S470" s="64"/>
      <c r="T470" s="64"/>
      <c r="U470" s="64"/>
      <c r="V470" s="64"/>
      <c r="W470" s="64"/>
      <c r="X470" s="64"/>
      <c r="Y470" s="64"/>
      <c r="Z470" s="64"/>
    </row>
    <row r="471">
      <c r="A471" s="64"/>
      <c r="B471" s="64"/>
      <c r="C471" s="64"/>
      <c r="D471" s="64"/>
      <c r="E471" s="64"/>
      <c r="F471" s="64"/>
      <c r="G471" s="64"/>
      <c r="H471" s="64"/>
      <c r="I471" s="64"/>
      <c r="J471" s="64"/>
      <c r="K471" s="64"/>
      <c r="L471" s="64"/>
      <c r="M471" s="64"/>
      <c r="N471" s="64"/>
      <c r="O471" s="64"/>
      <c r="P471" s="64"/>
      <c r="Q471" s="64"/>
      <c r="R471" s="64"/>
      <c r="S471" s="64"/>
      <c r="T471" s="64"/>
      <c r="U471" s="64"/>
      <c r="V471" s="64"/>
      <c r="W471" s="64"/>
      <c r="X471" s="64"/>
      <c r="Y471" s="64"/>
      <c r="Z471" s="64"/>
    </row>
    <row r="472">
      <c r="A472" s="64"/>
      <c r="B472" s="64"/>
      <c r="C472" s="64"/>
      <c r="D472" s="64"/>
      <c r="E472" s="64"/>
      <c r="F472" s="64"/>
      <c r="G472" s="64"/>
      <c r="H472" s="64"/>
      <c r="I472" s="64"/>
      <c r="J472" s="64"/>
      <c r="K472" s="64"/>
      <c r="L472" s="64"/>
      <c r="M472" s="64"/>
      <c r="N472" s="64"/>
      <c r="O472" s="64"/>
      <c r="P472" s="64"/>
      <c r="Q472" s="64"/>
      <c r="R472" s="64"/>
      <c r="S472" s="64"/>
      <c r="T472" s="64"/>
      <c r="U472" s="64"/>
      <c r="V472" s="64"/>
      <c r="W472" s="64"/>
      <c r="X472" s="64"/>
      <c r="Y472" s="64"/>
      <c r="Z472" s="64"/>
    </row>
    <row r="473">
      <c r="A473" s="64"/>
      <c r="B473" s="64"/>
      <c r="C473" s="64"/>
      <c r="D473" s="64"/>
      <c r="E473" s="64"/>
      <c r="F473" s="64"/>
      <c r="G473" s="64"/>
      <c r="H473" s="64"/>
      <c r="I473" s="64"/>
      <c r="J473" s="64"/>
      <c r="K473" s="64"/>
      <c r="L473" s="64"/>
      <c r="M473" s="64"/>
      <c r="N473" s="64"/>
      <c r="O473" s="64"/>
      <c r="P473" s="64"/>
      <c r="Q473" s="64"/>
      <c r="R473" s="64"/>
      <c r="S473" s="64"/>
      <c r="T473" s="64"/>
      <c r="U473" s="64"/>
      <c r="V473" s="64"/>
      <c r="W473" s="64"/>
      <c r="X473" s="64"/>
      <c r="Y473" s="64"/>
      <c r="Z473" s="64"/>
    </row>
    <row r="474">
      <c r="A474" s="64"/>
      <c r="B474" s="64"/>
      <c r="C474" s="64"/>
      <c r="D474" s="64"/>
      <c r="E474" s="64"/>
      <c r="F474" s="64"/>
      <c r="G474" s="64"/>
      <c r="H474" s="64"/>
      <c r="I474" s="64"/>
      <c r="J474" s="64"/>
      <c r="K474" s="64"/>
      <c r="L474" s="64"/>
      <c r="M474" s="64"/>
      <c r="N474" s="64"/>
      <c r="O474" s="64"/>
      <c r="P474" s="64"/>
      <c r="Q474" s="64"/>
      <c r="R474" s="64"/>
      <c r="S474" s="64"/>
      <c r="T474" s="64"/>
      <c r="U474" s="64"/>
      <c r="V474" s="64"/>
      <c r="W474" s="64"/>
      <c r="X474" s="64"/>
      <c r="Y474" s="64"/>
      <c r="Z474" s="64"/>
    </row>
    <row r="475">
      <c r="A475" s="64"/>
      <c r="B475" s="64"/>
      <c r="C475" s="64"/>
      <c r="D475" s="64"/>
      <c r="E475" s="64"/>
      <c r="F475" s="64"/>
      <c r="G475" s="64"/>
      <c r="H475" s="64"/>
      <c r="I475" s="64"/>
      <c r="J475" s="64"/>
      <c r="K475" s="64"/>
      <c r="L475" s="64"/>
      <c r="M475" s="64"/>
      <c r="N475" s="64"/>
      <c r="O475" s="64"/>
      <c r="P475" s="64"/>
      <c r="Q475" s="64"/>
      <c r="R475" s="64"/>
      <c r="S475" s="64"/>
      <c r="T475" s="64"/>
      <c r="U475" s="64"/>
      <c r="V475" s="64"/>
      <c r="W475" s="64"/>
      <c r="X475" s="64"/>
      <c r="Y475" s="64"/>
      <c r="Z475" s="64"/>
    </row>
    <row r="476">
      <c r="A476" s="64"/>
      <c r="B476" s="64"/>
      <c r="C476" s="64"/>
      <c r="D476" s="64"/>
      <c r="E476" s="64"/>
      <c r="F476" s="64"/>
      <c r="G476" s="64"/>
      <c r="H476" s="64"/>
      <c r="I476" s="64"/>
      <c r="J476" s="64"/>
      <c r="K476" s="64"/>
      <c r="L476" s="64"/>
      <c r="M476" s="64"/>
      <c r="N476" s="64"/>
      <c r="O476" s="64"/>
      <c r="P476" s="64"/>
      <c r="Q476" s="64"/>
      <c r="R476" s="64"/>
      <c r="S476" s="64"/>
      <c r="T476" s="64"/>
      <c r="U476" s="64"/>
      <c r="V476" s="64"/>
      <c r="W476" s="64"/>
      <c r="X476" s="64"/>
      <c r="Y476" s="64"/>
      <c r="Z476" s="64"/>
    </row>
    <row r="477">
      <c r="A477" s="64"/>
      <c r="B477" s="64"/>
      <c r="C477" s="64"/>
      <c r="D477" s="64"/>
      <c r="E477" s="64"/>
      <c r="F477" s="64"/>
      <c r="G477" s="64"/>
      <c r="H477" s="64"/>
      <c r="I477" s="64"/>
      <c r="J477" s="64"/>
      <c r="K477" s="64"/>
      <c r="L477" s="64"/>
      <c r="M477" s="64"/>
      <c r="N477" s="64"/>
      <c r="O477" s="64"/>
      <c r="P477" s="64"/>
      <c r="Q477" s="64"/>
      <c r="R477" s="64"/>
      <c r="S477" s="64"/>
      <c r="T477" s="64"/>
      <c r="U477" s="64"/>
      <c r="V477" s="64"/>
      <c r="W477" s="64"/>
      <c r="X477" s="64"/>
      <c r="Y477" s="64"/>
      <c r="Z477" s="64"/>
    </row>
    <row r="478">
      <c r="A478" s="64"/>
      <c r="B478" s="64"/>
      <c r="C478" s="64"/>
      <c r="D478" s="64"/>
      <c r="E478" s="64"/>
      <c r="F478" s="64"/>
      <c r="G478" s="64"/>
      <c r="H478" s="64"/>
      <c r="I478" s="64"/>
      <c r="J478" s="64"/>
      <c r="K478" s="64"/>
      <c r="L478" s="64"/>
      <c r="M478" s="64"/>
      <c r="N478" s="64"/>
      <c r="O478" s="64"/>
      <c r="P478" s="64"/>
      <c r="Q478" s="64"/>
      <c r="R478" s="64"/>
      <c r="S478" s="64"/>
      <c r="T478" s="64"/>
      <c r="U478" s="64"/>
      <c r="V478" s="64"/>
      <c r="W478" s="64"/>
      <c r="X478" s="64"/>
      <c r="Y478" s="64"/>
      <c r="Z478" s="64"/>
    </row>
    <row r="479">
      <c r="A479" s="64"/>
      <c r="B479" s="64"/>
      <c r="C479" s="64"/>
      <c r="D479" s="64"/>
      <c r="E479" s="64"/>
      <c r="F479" s="64"/>
      <c r="G479" s="64"/>
      <c r="H479" s="64"/>
      <c r="I479" s="64"/>
      <c r="J479" s="64"/>
      <c r="K479" s="64"/>
      <c r="L479" s="64"/>
      <c r="M479" s="64"/>
      <c r="N479" s="64"/>
      <c r="O479" s="64"/>
      <c r="P479" s="64"/>
      <c r="Q479" s="64"/>
      <c r="R479" s="64"/>
      <c r="S479" s="64"/>
      <c r="T479" s="64"/>
      <c r="U479" s="64"/>
      <c r="V479" s="64"/>
      <c r="W479" s="64"/>
      <c r="X479" s="64"/>
      <c r="Y479" s="64"/>
      <c r="Z479" s="64"/>
    </row>
    <row r="480">
      <c r="A480" s="64"/>
      <c r="B480" s="64"/>
      <c r="C480" s="64"/>
      <c r="D480" s="64"/>
      <c r="E480" s="64"/>
      <c r="F480" s="64"/>
      <c r="G480" s="64"/>
      <c r="H480" s="64"/>
      <c r="I480" s="64"/>
      <c r="J480" s="64"/>
      <c r="K480" s="64"/>
      <c r="L480" s="64"/>
      <c r="M480" s="64"/>
      <c r="N480" s="64"/>
      <c r="O480" s="64"/>
      <c r="P480" s="64"/>
      <c r="Q480" s="64"/>
      <c r="R480" s="64"/>
      <c r="S480" s="64"/>
      <c r="T480" s="64"/>
      <c r="U480" s="64"/>
      <c r="V480" s="64"/>
      <c r="W480" s="64"/>
      <c r="X480" s="64"/>
      <c r="Y480" s="64"/>
      <c r="Z480" s="64"/>
    </row>
    <row r="481">
      <c r="A481" s="64"/>
      <c r="B481" s="64"/>
      <c r="C481" s="64"/>
      <c r="D481" s="64"/>
      <c r="E481" s="64"/>
      <c r="F481" s="64"/>
      <c r="G481" s="64"/>
      <c r="H481" s="64"/>
      <c r="I481" s="64"/>
      <c r="J481" s="64"/>
      <c r="K481" s="64"/>
      <c r="L481" s="64"/>
      <c r="M481" s="64"/>
      <c r="N481" s="64"/>
      <c r="O481" s="64"/>
      <c r="P481" s="64"/>
      <c r="Q481" s="64"/>
      <c r="R481" s="64"/>
      <c r="S481" s="64"/>
      <c r="T481" s="64"/>
      <c r="U481" s="64"/>
      <c r="V481" s="64"/>
      <c r="W481" s="64"/>
      <c r="X481" s="64"/>
      <c r="Y481" s="64"/>
      <c r="Z481" s="64"/>
    </row>
    <row r="482">
      <c r="A482" s="64"/>
      <c r="B482" s="64"/>
      <c r="C482" s="64"/>
      <c r="D482" s="64"/>
      <c r="E482" s="64"/>
      <c r="F482" s="64"/>
      <c r="G482" s="64"/>
      <c r="H482" s="64"/>
      <c r="I482" s="64"/>
      <c r="J482" s="64"/>
      <c r="K482" s="64"/>
      <c r="L482" s="64"/>
      <c r="M482" s="64"/>
      <c r="N482" s="64"/>
      <c r="O482" s="64"/>
      <c r="P482" s="64"/>
      <c r="Q482" s="64"/>
      <c r="R482" s="64"/>
      <c r="S482" s="64"/>
      <c r="T482" s="64"/>
      <c r="U482" s="64"/>
      <c r="V482" s="64"/>
      <c r="W482" s="64"/>
      <c r="X482" s="64"/>
      <c r="Y482" s="64"/>
      <c r="Z482" s="64"/>
    </row>
    <row r="483">
      <c r="A483" s="64"/>
      <c r="B483" s="64"/>
      <c r="C483" s="64"/>
      <c r="D483" s="64"/>
      <c r="E483" s="64"/>
      <c r="F483" s="64"/>
      <c r="G483" s="64"/>
      <c r="H483" s="64"/>
      <c r="I483" s="64"/>
      <c r="J483" s="64"/>
      <c r="K483" s="64"/>
      <c r="L483" s="64"/>
      <c r="M483" s="64"/>
      <c r="N483" s="64"/>
      <c r="O483" s="64"/>
      <c r="P483" s="64"/>
      <c r="Q483" s="64"/>
      <c r="R483" s="64"/>
      <c r="S483" s="64"/>
      <c r="T483" s="64"/>
      <c r="U483" s="64"/>
      <c r="V483" s="64"/>
      <c r="W483" s="64"/>
      <c r="X483" s="64"/>
      <c r="Y483" s="64"/>
      <c r="Z483" s="64"/>
    </row>
    <row r="484">
      <c r="A484" s="64"/>
      <c r="B484" s="64"/>
      <c r="C484" s="64"/>
      <c r="D484" s="64"/>
      <c r="E484" s="64"/>
      <c r="F484" s="64"/>
      <c r="G484" s="64"/>
      <c r="H484" s="64"/>
      <c r="I484" s="64"/>
      <c r="J484" s="64"/>
      <c r="K484" s="64"/>
      <c r="L484" s="64"/>
      <c r="M484" s="64"/>
      <c r="N484" s="64"/>
      <c r="O484" s="64"/>
      <c r="P484" s="64"/>
      <c r="Q484" s="64"/>
      <c r="R484" s="64"/>
      <c r="S484" s="64"/>
      <c r="T484" s="64"/>
      <c r="U484" s="64"/>
      <c r="V484" s="64"/>
      <c r="W484" s="64"/>
      <c r="X484" s="64"/>
      <c r="Y484" s="64"/>
      <c r="Z484" s="64"/>
    </row>
    <row r="485">
      <c r="A485" s="64"/>
      <c r="B485" s="64"/>
      <c r="C485" s="64"/>
      <c r="D485" s="64"/>
      <c r="E485" s="64"/>
      <c r="F485" s="64"/>
      <c r="G485" s="64"/>
      <c r="H485" s="64"/>
      <c r="I485" s="64"/>
      <c r="J485" s="64"/>
      <c r="K485" s="64"/>
      <c r="L485" s="64"/>
      <c r="M485" s="64"/>
      <c r="N485" s="64"/>
      <c r="O485" s="64"/>
      <c r="P485" s="64"/>
      <c r="Q485" s="64"/>
      <c r="R485" s="64"/>
      <c r="S485" s="64"/>
      <c r="T485" s="64"/>
      <c r="U485" s="64"/>
      <c r="V485" s="64"/>
      <c r="W485" s="64"/>
      <c r="X485" s="64"/>
      <c r="Y485" s="64"/>
      <c r="Z485" s="64"/>
    </row>
    <row r="486">
      <c r="A486" s="64"/>
      <c r="B486" s="64"/>
      <c r="C486" s="64"/>
      <c r="D486" s="64"/>
      <c r="E486" s="64"/>
      <c r="F486" s="64"/>
      <c r="G486" s="64"/>
      <c r="H486" s="64"/>
      <c r="I486" s="64"/>
      <c r="J486" s="64"/>
      <c r="K486" s="64"/>
      <c r="L486" s="64"/>
      <c r="M486" s="64"/>
      <c r="N486" s="64"/>
      <c r="O486" s="64"/>
      <c r="P486" s="64"/>
      <c r="Q486" s="64"/>
      <c r="R486" s="64"/>
      <c r="S486" s="64"/>
      <c r="T486" s="64"/>
      <c r="U486" s="64"/>
      <c r="V486" s="64"/>
      <c r="W486" s="64"/>
      <c r="X486" s="64"/>
      <c r="Y486" s="64"/>
      <c r="Z486" s="64"/>
    </row>
    <row r="487">
      <c r="A487" s="64"/>
      <c r="B487" s="64"/>
      <c r="C487" s="64"/>
      <c r="D487" s="64"/>
      <c r="E487" s="64"/>
      <c r="F487" s="64"/>
      <c r="G487" s="64"/>
      <c r="H487" s="64"/>
      <c r="I487" s="64"/>
      <c r="J487" s="64"/>
      <c r="K487" s="64"/>
      <c r="L487" s="64"/>
      <c r="M487" s="64"/>
      <c r="N487" s="64"/>
      <c r="O487" s="64"/>
      <c r="P487" s="64"/>
      <c r="Q487" s="64"/>
      <c r="R487" s="64"/>
      <c r="S487" s="64"/>
      <c r="T487" s="64"/>
      <c r="U487" s="64"/>
      <c r="V487" s="64"/>
      <c r="W487" s="64"/>
      <c r="X487" s="64"/>
      <c r="Y487" s="64"/>
      <c r="Z487" s="64"/>
    </row>
    <row r="488">
      <c r="A488" s="64"/>
      <c r="B488" s="64"/>
      <c r="C488" s="64"/>
      <c r="D488" s="64"/>
      <c r="E488" s="64"/>
      <c r="F488" s="64"/>
      <c r="G488" s="64"/>
      <c r="H488" s="64"/>
      <c r="I488" s="64"/>
      <c r="J488" s="64"/>
      <c r="K488" s="64"/>
      <c r="L488" s="64"/>
      <c r="M488" s="64"/>
      <c r="N488" s="64"/>
      <c r="O488" s="64"/>
      <c r="P488" s="64"/>
      <c r="Q488" s="64"/>
      <c r="R488" s="64"/>
      <c r="S488" s="64"/>
      <c r="T488" s="64"/>
      <c r="U488" s="64"/>
      <c r="V488" s="64"/>
      <c r="W488" s="64"/>
      <c r="X488" s="64"/>
      <c r="Y488" s="64"/>
      <c r="Z488" s="64"/>
    </row>
    <row r="489">
      <c r="A489" s="64"/>
      <c r="B489" s="64"/>
      <c r="C489" s="64"/>
      <c r="D489" s="64"/>
      <c r="E489" s="64"/>
      <c r="F489" s="64"/>
      <c r="G489" s="64"/>
      <c r="H489" s="64"/>
      <c r="I489" s="64"/>
      <c r="J489" s="64"/>
      <c r="K489" s="64"/>
      <c r="L489" s="64"/>
      <c r="M489" s="64"/>
      <c r="N489" s="64"/>
      <c r="O489" s="64"/>
      <c r="P489" s="64"/>
      <c r="Q489" s="64"/>
      <c r="R489" s="64"/>
      <c r="S489" s="64"/>
      <c r="T489" s="64"/>
      <c r="U489" s="64"/>
      <c r="V489" s="64"/>
      <c r="W489" s="64"/>
      <c r="X489" s="64"/>
      <c r="Y489" s="64"/>
      <c r="Z489" s="64"/>
    </row>
    <row r="490">
      <c r="A490" s="64"/>
      <c r="B490" s="64"/>
      <c r="C490" s="64"/>
      <c r="D490" s="64"/>
      <c r="E490" s="64"/>
      <c r="F490" s="64"/>
      <c r="G490" s="64"/>
      <c r="H490" s="64"/>
      <c r="I490" s="64"/>
      <c r="J490" s="64"/>
      <c r="K490" s="64"/>
      <c r="L490" s="64"/>
      <c r="M490" s="64"/>
      <c r="N490" s="64"/>
      <c r="O490" s="64"/>
      <c r="P490" s="64"/>
      <c r="Q490" s="64"/>
      <c r="R490" s="64"/>
      <c r="S490" s="64"/>
      <c r="T490" s="64"/>
      <c r="U490" s="64"/>
      <c r="V490" s="64"/>
      <c r="W490" s="64"/>
      <c r="X490" s="64"/>
      <c r="Y490" s="64"/>
      <c r="Z490" s="64"/>
    </row>
    <row r="491">
      <c r="A491" s="64"/>
      <c r="B491" s="64"/>
      <c r="C491" s="64"/>
      <c r="D491" s="64"/>
      <c r="E491" s="64"/>
      <c r="F491" s="64"/>
      <c r="G491" s="64"/>
      <c r="H491" s="64"/>
      <c r="I491" s="64"/>
      <c r="J491" s="64"/>
      <c r="K491" s="64"/>
      <c r="L491" s="64"/>
      <c r="M491" s="64"/>
      <c r="N491" s="64"/>
      <c r="O491" s="64"/>
      <c r="P491" s="64"/>
      <c r="Q491" s="64"/>
      <c r="R491" s="64"/>
      <c r="S491" s="64"/>
      <c r="T491" s="64"/>
      <c r="U491" s="64"/>
      <c r="V491" s="64"/>
      <c r="W491" s="64"/>
      <c r="X491" s="64"/>
      <c r="Y491" s="64"/>
      <c r="Z491" s="64"/>
    </row>
    <row r="492">
      <c r="A492" s="64"/>
      <c r="B492" s="64"/>
      <c r="C492" s="64"/>
      <c r="D492" s="64"/>
      <c r="E492" s="64"/>
      <c r="F492" s="64"/>
      <c r="G492" s="64"/>
      <c r="H492" s="64"/>
      <c r="I492" s="64"/>
      <c r="J492" s="64"/>
      <c r="K492" s="64"/>
      <c r="L492" s="64"/>
      <c r="M492" s="64"/>
      <c r="N492" s="64"/>
      <c r="O492" s="64"/>
      <c r="P492" s="64"/>
      <c r="Q492" s="64"/>
      <c r="R492" s="64"/>
      <c r="S492" s="64"/>
      <c r="T492" s="64"/>
      <c r="U492" s="64"/>
      <c r="V492" s="64"/>
      <c r="W492" s="64"/>
      <c r="X492" s="64"/>
      <c r="Y492" s="64"/>
      <c r="Z492" s="64"/>
    </row>
    <row r="493">
      <c r="A493" s="64"/>
      <c r="B493" s="64"/>
      <c r="C493" s="64"/>
      <c r="D493" s="64"/>
      <c r="E493" s="64"/>
      <c r="F493" s="64"/>
      <c r="G493" s="64"/>
      <c r="H493" s="64"/>
      <c r="I493" s="64"/>
      <c r="J493" s="64"/>
      <c r="K493" s="64"/>
      <c r="L493" s="64"/>
      <c r="M493" s="64"/>
      <c r="N493" s="64"/>
      <c r="O493" s="64"/>
      <c r="P493" s="64"/>
      <c r="Q493" s="64"/>
      <c r="R493" s="64"/>
      <c r="S493" s="64"/>
      <c r="T493" s="64"/>
      <c r="U493" s="64"/>
      <c r="V493" s="64"/>
      <c r="W493" s="64"/>
      <c r="X493" s="64"/>
      <c r="Y493" s="64"/>
      <c r="Z493" s="64"/>
    </row>
    <row r="494">
      <c r="A494" s="64"/>
      <c r="B494" s="64"/>
      <c r="C494" s="64"/>
      <c r="D494" s="64"/>
      <c r="E494" s="64"/>
      <c r="F494" s="64"/>
      <c r="G494" s="64"/>
      <c r="H494" s="64"/>
      <c r="I494" s="64"/>
      <c r="J494" s="64"/>
      <c r="K494" s="64"/>
      <c r="L494" s="64"/>
      <c r="M494" s="64"/>
      <c r="N494" s="64"/>
      <c r="O494" s="64"/>
      <c r="P494" s="64"/>
      <c r="Q494" s="64"/>
      <c r="R494" s="64"/>
      <c r="S494" s="64"/>
      <c r="T494" s="64"/>
      <c r="U494" s="64"/>
      <c r="V494" s="64"/>
      <c r="W494" s="64"/>
      <c r="X494" s="64"/>
      <c r="Y494" s="64"/>
      <c r="Z494" s="64"/>
    </row>
    <row r="495">
      <c r="A495" s="64"/>
      <c r="B495" s="64"/>
      <c r="C495" s="64"/>
      <c r="D495" s="64"/>
      <c r="E495" s="64"/>
      <c r="F495" s="64"/>
      <c r="G495" s="64"/>
      <c r="H495" s="64"/>
      <c r="I495" s="64"/>
      <c r="J495" s="64"/>
      <c r="K495" s="64"/>
      <c r="L495" s="64"/>
      <c r="M495" s="64"/>
      <c r="N495" s="64"/>
      <c r="O495" s="64"/>
      <c r="P495" s="64"/>
      <c r="Q495" s="64"/>
      <c r="R495" s="64"/>
      <c r="S495" s="64"/>
      <c r="T495" s="64"/>
      <c r="U495" s="64"/>
      <c r="V495" s="64"/>
      <c r="W495" s="64"/>
      <c r="X495" s="64"/>
      <c r="Y495" s="64"/>
      <c r="Z495" s="64"/>
    </row>
    <row r="496">
      <c r="A496" s="64"/>
      <c r="B496" s="64"/>
      <c r="C496" s="64"/>
      <c r="D496" s="64"/>
      <c r="E496" s="64"/>
      <c r="F496" s="64"/>
      <c r="G496" s="64"/>
      <c r="H496" s="64"/>
      <c r="I496" s="64"/>
      <c r="J496" s="64"/>
      <c r="K496" s="64"/>
      <c r="L496" s="64"/>
      <c r="M496" s="64"/>
      <c r="N496" s="64"/>
      <c r="O496" s="64"/>
      <c r="P496" s="64"/>
      <c r="Q496" s="64"/>
      <c r="R496" s="64"/>
      <c r="S496" s="64"/>
      <c r="T496" s="64"/>
      <c r="U496" s="64"/>
      <c r="V496" s="64"/>
      <c r="W496" s="64"/>
      <c r="X496" s="64"/>
      <c r="Y496" s="64"/>
      <c r="Z496" s="64"/>
    </row>
    <row r="497">
      <c r="A497" s="64"/>
      <c r="B497" s="64"/>
      <c r="C497" s="64"/>
      <c r="D497" s="64"/>
      <c r="E497" s="64"/>
      <c r="F497" s="64"/>
      <c r="G497" s="64"/>
      <c r="H497" s="64"/>
      <c r="I497" s="64"/>
      <c r="J497" s="64"/>
      <c r="K497" s="64"/>
      <c r="L497" s="64"/>
      <c r="M497" s="64"/>
      <c r="N497" s="64"/>
      <c r="O497" s="64"/>
      <c r="P497" s="64"/>
      <c r="Q497" s="64"/>
      <c r="R497" s="64"/>
      <c r="S497" s="64"/>
      <c r="T497" s="64"/>
      <c r="U497" s="64"/>
      <c r="V497" s="64"/>
      <c r="W497" s="64"/>
      <c r="X497" s="64"/>
      <c r="Y497" s="64"/>
      <c r="Z497" s="64"/>
    </row>
    <row r="498">
      <c r="A498" s="64"/>
      <c r="B498" s="64"/>
      <c r="C498" s="64"/>
      <c r="D498" s="64"/>
      <c r="E498" s="64"/>
      <c r="F498" s="64"/>
      <c r="G498" s="64"/>
      <c r="H498" s="64"/>
      <c r="I498" s="64"/>
      <c r="J498" s="64"/>
      <c r="K498" s="64"/>
      <c r="L498" s="64"/>
      <c r="M498" s="64"/>
      <c r="N498" s="64"/>
      <c r="O498" s="64"/>
      <c r="P498" s="64"/>
      <c r="Q498" s="64"/>
      <c r="R498" s="64"/>
      <c r="S498" s="64"/>
      <c r="T498" s="64"/>
      <c r="U498" s="64"/>
      <c r="V498" s="64"/>
      <c r="W498" s="64"/>
      <c r="X498" s="64"/>
      <c r="Y498" s="64"/>
      <c r="Z498" s="64"/>
    </row>
    <row r="499">
      <c r="A499" s="64"/>
      <c r="B499" s="64"/>
      <c r="C499" s="64"/>
      <c r="D499" s="64"/>
      <c r="E499" s="64"/>
      <c r="F499" s="64"/>
      <c r="G499" s="64"/>
      <c r="H499" s="64"/>
      <c r="I499" s="64"/>
      <c r="J499" s="64"/>
      <c r="K499" s="64"/>
      <c r="L499" s="64"/>
      <c r="M499" s="64"/>
      <c r="N499" s="64"/>
      <c r="O499" s="64"/>
      <c r="P499" s="64"/>
      <c r="Q499" s="64"/>
      <c r="R499" s="64"/>
      <c r="S499" s="64"/>
      <c r="T499" s="64"/>
      <c r="U499" s="64"/>
      <c r="V499" s="64"/>
      <c r="W499" s="64"/>
      <c r="X499" s="64"/>
      <c r="Y499" s="64"/>
      <c r="Z499" s="64"/>
    </row>
    <row r="500">
      <c r="A500" s="64"/>
      <c r="B500" s="64"/>
      <c r="C500" s="64"/>
      <c r="D500" s="64"/>
      <c r="E500" s="64"/>
      <c r="F500" s="64"/>
      <c r="G500" s="64"/>
      <c r="H500" s="64"/>
      <c r="I500" s="64"/>
      <c r="J500" s="64"/>
      <c r="K500" s="64"/>
      <c r="L500" s="64"/>
      <c r="M500" s="64"/>
      <c r="N500" s="64"/>
      <c r="O500" s="64"/>
      <c r="P500" s="64"/>
      <c r="Q500" s="64"/>
      <c r="R500" s="64"/>
      <c r="S500" s="64"/>
      <c r="T500" s="64"/>
      <c r="U500" s="64"/>
      <c r="V500" s="64"/>
      <c r="W500" s="64"/>
      <c r="X500" s="64"/>
      <c r="Y500" s="64"/>
      <c r="Z500" s="64"/>
    </row>
    <row r="501">
      <c r="A501" s="64"/>
      <c r="B501" s="64"/>
      <c r="C501" s="64"/>
      <c r="D501" s="64"/>
      <c r="E501" s="64"/>
      <c r="F501" s="64"/>
      <c r="G501" s="64"/>
      <c r="H501" s="64"/>
      <c r="I501" s="64"/>
      <c r="J501" s="64"/>
      <c r="K501" s="64"/>
      <c r="L501" s="64"/>
      <c r="M501" s="64"/>
      <c r="N501" s="64"/>
      <c r="O501" s="64"/>
      <c r="P501" s="64"/>
      <c r="Q501" s="64"/>
      <c r="R501" s="64"/>
      <c r="S501" s="64"/>
      <c r="T501" s="64"/>
      <c r="U501" s="64"/>
      <c r="V501" s="64"/>
      <c r="W501" s="64"/>
      <c r="X501" s="64"/>
      <c r="Y501" s="64"/>
      <c r="Z501" s="64"/>
    </row>
    <row r="502">
      <c r="A502" s="64"/>
      <c r="B502" s="64"/>
      <c r="C502" s="64"/>
      <c r="D502" s="64"/>
      <c r="E502" s="64"/>
      <c r="F502" s="64"/>
      <c r="G502" s="64"/>
      <c r="H502" s="64"/>
      <c r="I502" s="64"/>
      <c r="J502" s="64"/>
      <c r="K502" s="64"/>
      <c r="L502" s="64"/>
      <c r="M502" s="64"/>
      <c r="N502" s="64"/>
      <c r="O502" s="64"/>
      <c r="P502" s="64"/>
      <c r="Q502" s="64"/>
      <c r="R502" s="64"/>
      <c r="S502" s="64"/>
      <c r="T502" s="64"/>
      <c r="U502" s="64"/>
      <c r="V502" s="64"/>
      <c r="W502" s="64"/>
      <c r="X502" s="64"/>
      <c r="Y502" s="64"/>
      <c r="Z502" s="64"/>
    </row>
    <row r="503">
      <c r="A503" s="64"/>
      <c r="B503" s="64"/>
      <c r="C503" s="64"/>
      <c r="D503" s="64"/>
      <c r="E503" s="64"/>
      <c r="F503" s="64"/>
      <c r="G503" s="64"/>
      <c r="H503" s="64"/>
      <c r="I503" s="64"/>
      <c r="J503" s="64"/>
      <c r="K503" s="64"/>
      <c r="L503" s="64"/>
      <c r="M503" s="64"/>
      <c r="N503" s="64"/>
      <c r="O503" s="64"/>
      <c r="P503" s="64"/>
      <c r="Q503" s="64"/>
      <c r="R503" s="64"/>
      <c r="S503" s="64"/>
      <c r="T503" s="64"/>
      <c r="U503" s="64"/>
      <c r="V503" s="64"/>
      <c r="W503" s="64"/>
      <c r="X503" s="64"/>
      <c r="Y503" s="64"/>
      <c r="Z503" s="64"/>
    </row>
    <row r="504">
      <c r="A504" s="64"/>
      <c r="B504" s="64"/>
      <c r="C504" s="64"/>
      <c r="D504" s="64"/>
      <c r="E504" s="64"/>
      <c r="F504" s="64"/>
      <c r="G504" s="64"/>
      <c r="H504" s="64"/>
      <c r="I504" s="64"/>
      <c r="J504" s="64"/>
      <c r="K504" s="64"/>
      <c r="L504" s="64"/>
      <c r="M504" s="64"/>
      <c r="N504" s="64"/>
      <c r="O504" s="64"/>
      <c r="P504" s="64"/>
      <c r="Q504" s="64"/>
      <c r="R504" s="64"/>
      <c r="S504" s="64"/>
      <c r="T504" s="64"/>
      <c r="U504" s="64"/>
      <c r="V504" s="64"/>
      <c r="W504" s="64"/>
      <c r="X504" s="64"/>
      <c r="Y504" s="64"/>
      <c r="Z504" s="64"/>
    </row>
    <row r="505">
      <c r="A505" s="64"/>
      <c r="B505" s="64"/>
      <c r="C505" s="64"/>
      <c r="D505" s="64"/>
      <c r="E505" s="64"/>
      <c r="F505" s="64"/>
      <c r="G505" s="64"/>
      <c r="H505" s="64"/>
      <c r="I505" s="64"/>
      <c r="J505" s="64"/>
      <c r="K505" s="64"/>
      <c r="L505" s="64"/>
      <c r="M505" s="64"/>
      <c r="N505" s="64"/>
      <c r="O505" s="64"/>
      <c r="P505" s="64"/>
      <c r="Q505" s="64"/>
      <c r="R505" s="64"/>
      <c r="S505" s="64"/>
      <c r="T505" s="64"/>
      <c r="U505" s="64"/>
      <c r="V505" s="64"/>
      <c r="W505" s="64"/>
      <c r="X505" s="64"/>
      <c r="Y505" s="64"/>
      <c r="Z505" s="64"/>
    </row>
    <row r="506">
      <c r="A506" s="64"/>
      <c r="B506" s="64"/>
      <c r="C506" s="64"/>
      <c r="D506" s="64"/>
      <c r="E506" s="64"/>
      <c r="F506" s="64"/>
      <c r="G506" s="64"/>
      <c r="H506" s="64"/>
      <c r="I506" s="64"/>
      <c r="J506" s="64"/>
      <c r="K506" s="64"/>
      <c r="L506" s="64"/>
      <c r="M506" s="64"/>
      <c r="N506" s="64"/>
      <c r="O506" s="64"/>
      <c r="P506" s="64"/>
      <c r="Q506" s="64"/>
      <c r="R506" s="64"/>
      <c r="S506" s="64"/>
      <c r="T506" s="64"/>
      <c r="U506" s="64"/>
      <c r="V506" s="64"/>
      <c r="W506" s="64"/>
      <c r="X506" s="64"/>
      <c r="Y506" s="64"/>
      <c r="Z506" s="64"/>
    </row>
    <row r="507">
      <c r="A507" s="64"/>
      <c r="B507" s="64"/>
      <c r="C507" s="64"/>
      <c r="D507" s="64"/>
      <c r="E507" s="64"/>
      <c r="F507" s="64"/>
      <c r="G507" s="64"/>
      <c r="H507" s="64"/>
      <c r="I507" s="64"/>
      <c r="J507" s="64"/>
      <c r="K507" s="64"/>
      <c r="L507" s="64"/>
      <c r="M507" s="64"/>
      <c r="N507" s="64"/>
      <c r="O507" s="64"/>
      <c r="P507" s="64"/>
      <c r="Q507" s="64"/>
      <c r="R507" s="64"/>
      <c r="S507" s="64"/>
      <c r="T507" s="64"/>
      <c r="U507" s="64"/>
      <c r="V507" s="64"/>
      <c r="W507" s="64"/>
      <c r="X507" s="64"/>
      <c r="Y507" s="64"/>
      <c r="Z507" s="64"/>
    </row>
    <row r="508">
      <c r="A508" s="64"/>
      <c r="B508" s="64"/>
      <c r="C508" s="64"/>
      <c r="D508" s="64"/>
      <c r="E508" s="64"/>
      <c r="F508" s="64"/>
      <c r="G508" s="64"/>
      <c r="H508" s="64"/>
      <c r="I508" s="64"/>
      <c r="J508" s="64"/>
      <c r="K508" s="64"/>
      <c r="L508" s="64"/>
      <c r="M508" s="64"/>
      <c r="N508" s="64"/>
      <c r="O508" s="64"/>
      <c r="P508" s="64"/>
      <c r="Q508" s="64"/>
      <c r="R508" s="64"/>
      <c r="S508" s="64"/>
      <c r="T508" s="64"/>
      <c r="U508" s="64"/>
      <c r="V508" s="64"/>
      <c r="W508" s="64"/>
      <c r="X508" s="64"/>
      <c r="Y508" s="64"/>
      <c r="Z508" s="64"/>
    </row>
    <row r="509">
      <c r="A509" s="64"/>
      <c r="B509" s="64"/>
      <c r="C509" s="64"/>
      <c r="D509" s="64"/>
      <c r="E509" s="64"/>
      <c r="F509" s="64"/>
      <c r="G509" s="64"/>
      <c r="H509" s="64"/>
      <c r="I509" s="64"/>
      <c r="J509" s="64"/>
      <c r="K509" s="64"/>
      <c r="L509" s="64"/>
      <c r="M509" s="64"/>
      <c r="N509" s="64"/>
      <c r="O509" s="64"/>
      <c r="P509" s="64"/>
      <c r="Q509" s="64"/>
      <c r="R509" s="64"/>
      <c r="S509" s="64"/>
      <c r="T509" s="64"/>
      <c r="U509" s="64"/>
      <c r="V509" s="64"/>
      <c r="W509" s="64"/>
      <c r="X509" s="64"/>
      <c r="Y509" s="64"/>
      <c r="Z509" s="64"/>
    </row>
    <row r="510">
      <c r="A510" s="64"/>
      <c r="B510" s="64"/>
      <c r="C510" s="64"/>
      <c r="D510" s="64"/>
      <c r="E510" s="64"/>
      <c r="F510" s="64"/>
      <c r="G510" s="64"/>
      <c r="H510" s="64"/>
      <c r="I510" s="64"/>
      <c r="J510" s="64"/>
      <c r="K510" s="64"/>
      <c r="L510" s="64"/>
      <c r="M510" s="64"/>
      <c r="N510" s="64"/>
      <c r="O510" s="64"/>
      <c r="P510" s="64"/>
      <c r="Q510" s="64"/>
      <c r="R510" s="64"/>
      <c r="S510" s="64"/>
      <c r="T510" s="64"/>
      <c r="U510" s="64"/>
      <c r="V510" s="64"/>
      <c r="W510" s="64"/>
      <c r="X510" s="64"/>
      <c r="Y510" s="64"/>
      <c r="Z510" s="64"/>
    </row>
    <row r="511">
      <c r="A511" s="64"/>
      <c r="B511" s="64"/>
      <c r="C511" s="64"/>
      <c r="D511" s="64"/>
      <c r="E511" s="64"/>
      <c r="F511" s="64"/>
      <c r="G511" s="64"/>
      <c r="H511" s="64"/>
      <c r="I511" s="64"/>
      <c r="J511" s="64"/>
      <c r="K511" s="64"/>
      <c r="L511" s="64"/>
      <c r="M511" s="64"/>
      <c r="N511" s="64"/>
      <c r="O511" s="64"/>
      <c r="P511" s="64"/>
      <c r="Q511" s="64"/>
      <c r="R511" s="64"/>
      <c r="S511" s="64"/>
      <c r="T511" s="64"/>
      <c r="U511" s="64"/>
      <c r="V511" s="64"/>
      <c r="W511" s="64"/>
      <c r="X511" s="64"/>
      <c r="Y511" s="64"/>
      <c r="Z511" s="64"/>
    </row>
    <row r="512">
      <c r="A512" s="64"/>
      <c r="B512" s="64"/>
      <c r="C512" s="64"/>
      <c r="D512" s="64"/>
      <c r="E512" s="64"/>
      <c r="F512" s="64"/>
      <c r="G512" s="64"/>
      <c r="H512" s="64"/>
      <c r="I512" s="64"/>
      <c r="J512" s="64"/>
      <c r="K512" s="64"/>
      <c r="L512" s="64"/>
      <c r="M512" s="64"/>
      <c r="N512" s="64"/>
      <c r="O512" s="64"/>
      <c r="P512" s="64"/>
      <c r="Q512" s="64"/>
      <c r="R512" s="64"/>
      <c r="S512" s="64"/>
      <c r="T512" s="64"/>
      <c r="U512" s="64"/>
      <c r="V512" s="64"/>
      <c r="W512" s="64"/>
      <c r="X512" s="64"/>
      <c r="Y512" s="64"/>
      <c r="Z512" s="64"/>
    </row>
    <row r="513">
      <c r="A513" s="64"/>
      <c r="B513" s="64"/>
      <c r="C513" s="64"/>
      <c r="D513" s="64"/>
      <c r="E513" s="64"/>
      <c r="F513" s="64"/>
      <c r="G513" s="64"/>
      <c r="H513" s="64"/>
      <c r="I513" s="64"/>
      <c r="J513" s="64"/>
      <c r="K513" s="64"/>
      <c r="L513" s="64"/>
      <c r="M513" s="64"/>
      <c r="N513" s="64"/>
      <c r="O513" s="64"/>
      <c r="P513" s="64"/>
      <c r="Q513" s="64"/>
      <c r="R513" s="64"/>
      <c r="S513" s="64"/>
      <c r="T513" s="64"/>
      <c r="U513" s="64"/>
      <c r="V513" s="64"/>
      <c r="W513" s="64"/>
      <c r="X513" s="64"/>
      <c r="Y513" s="64"/>
      <c r="Z513" s="64"/>
    </row>
    <row r="514">
      <c r="A514" s="64"/>
      <c r="B514" s="64"/>
      <c r="C514" s="64"/>
      <c r="D514" s="64"/>
      <c r="E514" s="64"/>
      <c r="F514" s="64"/>
      <c r="G514" s="64"/>
      <c r="H514" s="64"/>
      <c r="I514" s="64"/>
      <c r="J514" s="64"/>
      <c r="K514" s="64"/>
      <c r="L514" s="64"/>
      <c r="M514" s="64"/>
      <c r="N514" s="64"/>
      <c r="O514" s="64"/>
      <c r="P514" s="64"/>
      <c r="Q514" s="64"/>
      <c r="R514" s="64"/>
      <c r="S514" s="64"/>
      <c r="T514" s="64"/>
      <c r="U514" s="64"/>
      <c r="V514" s="64"/>
      <c r="W514" s="64"/>
      <c r="X514" s="64"/>
      <c r="Y514" s="64"/>
      <c r="Z514" s="64"/>
    </row>
    <row r="515">
      <c r="A515" s="64"/>
      <c r="B515" s="64"/>
      <c r="C515" s="64"/>
      <c r="D515" s="64"/>
      <c r="E515" s="64"/>
      <c r="F515" s="64"/>
      <c r="G515" s="64"/>
      <c r="H515" s="64"/>
      <c r="I515" s="64"/>
      <c r="J515" s="64"/>
      <c r="K515" s="64"/>
      <c r="L515" s="64"/>
      <c r="M515" s="64"/>
      <c r="N515" s="64"/>
      <c r="O515" s="64"/>
      <c r="P515" s="64"/>
      <c r="Q515" s="64"/>
      <c r="R515" s="64"/>
      <c r="S515" s="64"/>
      <c r="T515" s="64"/>
      <c r="U515" s="64"/>
      <c r="V515" s="64"/>
      <c r="W515" s="64"/>
      <c r="X515" s="64"/>
      <c r="Y515" s="64"/>
      <c r="Z515" s="64"/>
    </row>
    <row r="516">
      <c r="A516" s="64"/>
      <c r="B516" s="64"/>
      <c r="C516" s="64"/>
      <c r="D516" s="64"/>
      <c r="E516" s="64"/>
      <c r="F516" s="64"/>
      <c r="G516" s="64"/>
      <c r="H516" s="64"/>
      <c r="I516" s="64"/>
      <c r="J516" s="64"/>
      <c r="K516" s="64"/>
      <c r="L516" s="64"/>
      <c r="M516" s="64"/>
      <c r="N516" s="64"/>
      <c r="O516" s="64"/>
      <c r="P516" s="64"/>
      <c r="Q516" s="64"/>
      <c r="R516" s="64"/>
      <c r="S516" s="64"/>
      <c r="T516" s="64"/>
      <c r="U516" s="64"/>
      <c r="V516" s="64"/>
      <c r="W516" s="64"/>
      <c r="X516" s="64"/>
      <c r="Y516" s="64"/>
      <c r="Z516" s="64"/>
    </row>
    <row r="517">
      <c r="A517" s="64"/>
      <c r="B517" s="64"/>
      <c r="C517" s="64"/>
      <c r="D517" s="64"/>
      <c r="E517" s="64"/>
      <c r="F517" s="64"/>
      <c r="G517" s="64"/>
      <c r="H517" s="64"/>
      <c r="I517" s="64"/>
      <c r="J517" s="64"/>
      <c r="K517" s="64"/>
      <c r="L517" s="64"/>
      <c r="M517" s="64"/>
      <c r="N517" s="64"/>
      <c r="O517" s="64"/>
      <c r="P517" s="64"/>
      <c r="Q517" s="64"/>
      <c r="R517" s="64"/>
      <c r="S517" s="64"/>
      <c r="T517" s="64"/>
      <c r="U517" s="64"/>
      <c r="V517" s="64"/>
      <c r="W517" s="64"/>
      <c r="X517" s="64"/>
      <c r="Y517" s="64"/>
      <c r="Z517" s="64"/>
    </row>
    <row r="518">
      <c r="A518" s="64"/>
      <c r="B518" s="64"/>
      <c r="C518" s="64"/>
      <c r="D518" s="64"/>
      <c r="E518" s="64"/>
      <c r="F518" s="64"/>
      <c r="G518" s="64"/>
      <c r="H518" s="64"/>
      <c r="I518" s="64"/>
      <c r="J518" s="64"/>
      <c r="K518" s="64"/>
      <c r="L518" s="64"/>
      <c r="M518" s="64"/>
      <c r="N518" s="64"/>
      <c r="O518" s="64"/>
      <c r="P518" s="64"/>
      <c r="Q518" s="64"/>
      <c r="R518" s="64"/>
      <c r="S518" s="64"/>
      <c r="T518" s="64"/>
      <c r="U518" s="64"/>
      <c r="V518" s="64"/>
      <c r="W518" s="64"/>
      <c r="X518" s="64"/>
      <c r="Y518" s="64"/>
      <c r="Z518" s="64"/>
    </row>
    <row r="519">
      <c r="A519" s="64"/>
      <c r="B519" s="64"/>
      <c r="C519" s="64"/>
      <c r="D519" s="64"/>
      <c r="E519" s="64"/>
      <c r="F519" s="64"/>
      <c r="G519" s="64"/>
      <c r="H519" s="64"/>
      <c r="I519" s="64"/>
      <c r="J519" s="64"/>
      <c r="K519" s="64"/>
      <c r="L519" s="64"/>
      <c r="M519" s="64"/>
      <c r="N519" s="64"/>
      <c r="O519" s="64"/>
      <c r="P519" s="64"/>
      <c r="Q519" s="64"/>
      <c r="R519" s="64"/>
      <c r="S519" s="64"/>
      <c r="T519" s="64"/>
      <c r="U519" s="64"/>
      <c r="V519" s="64"/>
      <c r="W519" s="64"/>
      <c r="X519" s="64"/>
      <c r="Y519" s="64"/>
      <c r="Z519" s="64"/>
    </row>
    <row r="520">
      <c r="A520" s="64"/>
      <c r="B520" s="64"/>
      <c r="C520" s="64"/>
      <c r="D520" s="64"/>
      <c r="E520" s="64"/>
      <c r="F520" s="64"/>
      <c r="G520" s="64"/>
      <c r="H520" s="64"/>
      <c r="I520" s="64"/>
      <c r="J520" s="64"/>
      <c r="K520" s="64"/>
      <c r="L520" s="64"/>
      <c r="M520" s="64"/>
      <c r="N520" s="64"/>
      <c r="O520" s="64"/>
      <c r="P520" s="64"/>
      <c r="Q520" s="64"/>
      <c r="R520" s="64"/>
      <c r="S520" s="64"/>
      <c r="T520" s="64"/>
      <c r="U520" s="64"/>
      <c r="V520" s="64"/>
      <c r="W520" s="64"/>
      <c r="X520" s="64"/>
      <c r="Y520" s="64"/>
      <c r="Z520" s="64"/>
    </row>
    <row r="521">
      <c r="A521" s="64"/>
      <c r="B521" s="64"/>
      <c r="C521" s="64"/>
      <c r="D521" s="64"/>
      <c r="E521" s="64"/>
      <c r="F521" s="64"/>
      <c r="G521" s="64"/>
      <c r="H521" s="64"/>
      <c r="I521" s="64"/>
      <c r="J521" s="64"/>
      <c r="K521" s="64"/>
      <c r="L521" s="64"/>
      <c r="M521" s="64"/>
      <c r="N521" s="64"/>
      <c r="O521" s="64"/>
      <c r="P521" s="64"/>
      <c r="Q521" s="64"/>
      <c r="R521" s="64"/>
      <c r="S521" s="64"/>
      <c r="T521" s="64"/>
      <c r="U521" s="64"/>
      <c r="V521" s="64"/>
      <c r="W521" s="64"/>
      <c r="X521" s="64"/>
      <c r="Y521" s="64"/>
      <c r="Z521" s="64"/>
    </row>
    <row r="522">
      <c r="A522" s="64"/>
      <c r="B522" s="64"/>
      <c r="C522" s="64"/>
      <c r="D522" s="64"/>
      <c r="E522" s="64"/>
      <c r="F522" s="64"/>
      <c r="G522" s="64"/>
      <c r="H522" s="64"/>
      <c r="I522" s="64"/>
      <c r="J522" s="64"/>
      <c r="K522" s="64"/>
      <c r="L522" s="64"/>
      <c r="M522" s="64"/>
      <c r="N522" s="64"/>
      <c r="O522" s="64"/>
      <c r="P522" s="64"/>
      <c r="Q522" s="64"/>
      <c r="R522" s="64"/>
      <c r="S522" s="64"/>
      <c r="T522" s="64"/>
      <c r="U522" s="64"/>
      <c r="V522" s="64"/>
      <c r="W522" s="64"/>
      <c r="X522" s="64"/>
      <c r="Y522" s="64"/>
      <c r="Z522" s="64"/>
    </row>
    <row r="523">
      <c r="A523" s="64"/>
      <c r="B523" s="64"/>
      <c r="C523" s="64"/>
      <c r="D523" s="64"/>
      <c r="E523" s="64"/>
      <c r="F523" s="64"/>
      <c r="G523" s="64"/>
      <c r="H523" s="64"/>
      <c r="I523" s="64"/>
      <c r="J523" s="64"/>
      <c r="K523" s="64"/>
      <c r="L523" s="64"/>
      <c r="M523" s="64"/>
      <c r="N523" s="64"/>
      <c r="O523" s="64"/>
      <c r="P523" s="64"/>
      <c r="Q523" s="64"/>
      <c r="R523" s="64"/>
      <c r="S523" s="64"/>
      <c r="T523" s="64"/>
      <c r="U523" s="64"/>
      <c r="V523" s="64"/>
      <c r="W523" s="64"/>
      <c r="X523" s="64"/>
      <c r="Y523" s="64"/>
      <c r="Z523" s="64"/>
    </row>
    <row r="524">
      <c r="A524" s="64"/>
      <c r="B524" s="64"/>
      <c r="C524" s="64"/>
      <c r="D524" s="64"/>
      <c r="E524" s="64"/>
      <c r="F524" s="64"/>
      <c r="G524" s="64"/>
      <c r="H524" s="64"/>
      <c r="I524" s="64"/>
      <c r="J524" s="64"/>
      <c r="K524" s="64"/>
      <c r="L524" s="64"/>
      <c r="M524" s="64"/>
      <c r="N524" s="64"/>
      <c r="O524" s="64"/>
      <c r="P524" s="64"/>
      <c r="Q524" s="64"/>
      <c r="R524" s="64"/>
      <c r="S524" s="64"/>
      <c r="T524" s="64"/>
      <c r="U524" s="64"/>
      <c r="V524" s="64"/>
      <c r="W524" s="64"/>
      <c r="X524" s="64"/>
      <c r="Y524" s="64"/>
      <c r="Z524" s="64"/>
    </row>
    <row r="525">
      <c r="A525" s="64"/>
      <c r="B525" s="64"/>
      <c r="C525" s="64"/>
      <c r="D525" s="64"/>
      <c r="E525" s="64"/>
      <c r="F525" s="64"/>
      <c r="G525" s="64"/>
      <c r="H525" s="64"/>
      <c r="I525" s="64"/>
      <c r="J525" s="64"/>
      <c r="K525" s="64"/>
      <c r="L525" s="64"/>
      <c r="M525" s="64"/>
      <c r="N525" s="64"/>
      <c r="O525" s="64"/>
      <c r="P525" s="64"/>
      <c r="Q525" s="64"/>
      <c r="R525" s="64"/>
      <c r="S525" s="64"/>
      <c r="T525" s="64"/>
      <c r="U525" s="64"/>
      <c r="V525" s="64"/>
      <c r="W525" s="64"/>
      <c r="X525" s="64"/>
      <c r="Y525" s="64"/>
      <c r="Z525" s="64"/>
    </row>
    <row r="526">
      <c r="A526" s="64"/>
      <c r="B526" s="64"/>
      <c r="C526" s="64"/>
      <c r="D526" s="64"/>
      <c r="E526" s="64"/>
      <c r="F526" s="64"/>
      <c r="G526" s="64"/>
      <c r="H526" s="64"/>
      <c r="I526" s="64"/>
      <c r="J526" s="64"/>
      <c r="K526" s="64"/>
      <c r="L526" s="64"/>
      <c r="M526" s="64"/>
      <c r="N526" s="64"/>
      <c r="O526" s="64"/>
      <c r="P526" s="64"/>
      <c r="Q526" s="64"/>
      <c r="R526" s="64"/>
      <c r="S526" s="64"/>
      <c r="T526" s="64"/>
      <c r="U526" s="64"/>
      <c r="V526" s="64"/>
      <c r="W526" s="64"/>
      <c r="X526" s="64"/>
      <c r="Y526" s="64"/>
      <c r="Z526" s="64"/>
    </row>
    <row r="527">
      <c r="A527" s="64"/>
      <c r="B527" s="64"/>
      <c r="C527" s="64"/>
      <c r="D527" s="64"/>
      <c r="E527" s="64"/>
      <c r="F527" s="64"/>
      <c r="G527" s="64"/>
      <c r="H527" s="64"/>
      <c r="I527" s="64"/>
      <c r="J527" s="64"/>
      <c r="K527" s="64"/>
      <c r="L527" s="64"/>
      <c r="M527" s="64"/>
      <c r="N527" s="64"/>
      <c r="O527" s="64"/>
      <c r="P527" s="64"/>
      <c r="Q527" s="64"/>
      <c r="R527" s="64"/>
      <c r="S527" s="64"/>
      <c r="T527" s="64"/>
      <c r="U527" s="64"/>
      <c r="V527" s="64"/>
      <c r="W527" s="64"/>
      <c r="X527" s="64"/>
      <c r="Y527" s="64"/>
      <c r="Z527" s="64"/>
    </row>
    <row r="528">
      <c r="A528" s="64"/>
      <c r="B528" s="64"/>
      <c r="C528" s="64"/>
      <c r="D528" s="64"/>
      <c r="E528" s="64"/>
      <c r="F528" s="64"/>
      <c r="G528" s="64"/>
      <c r="H528" s="64"/>
      <c r="I528" s="64"/>
      <c r="J528" s="64"/>
      <c r="K528" s="64"/>
      <c r="L528" s="64"/>
      <c r="M528" s="64"/>
      <c r="N528" s="64"/>
      <c r="O528" s="64"/>
      <c r="P528" s="64"/>
      <c r="Q528" s="64"/>
      <c r="R528" s="64"/>
      <c r="S528" s="64"/>
      <c r="T528" s="64"/>
      <c r="U528" s="64"/>
      <c r="V528" s="64"/>
      <c r="W528" s="64"/>
      <c r="X528" s="64"/>
      <c r="Y528" s="64"/>
      <c r="Z528" s="64"/>
    </row>
    <row r="529">
      <c r="A529" s="64"/>
      <c r="B529" s="64"/>
      <c r="C529" s="64"/>
      <c r="D529" s="64"/>
      <c r="E529" s="64"/>
      <c r="F529" s="64"/>
      <c r="G529" s="64"/>
      <c r="H529" s="64"/>
      <c r="I529" s="64"/>
      <c r="J529" s="64"/>
      <c r="K529" s="64"/>
      <c r="L529" s="64"/>
      <c r="M529" s="64"/>
      <c r="N529" s="64"/>
      <c r="O529" s="64"/>
      <c r="P529" s="64"/>
      <c r="Q529" s="64"/>
      <c r="R529" s="64"/>
      <c r="S529" s="64"/>
      <c r="T529" s="64"/>
      <c r="U529" s="64"/>
      <c r="V529" s="64"/>
      <c r="W529" s="64"/>
      <c r="X529" s="64"/>
      <c r="Y529" s="64"/>
      <c r="Z529" s="64"/>
    </row>
    <row r="530">
      <c r="A530" s="64"/>
      <c r="B530" s="64"/>
      <c r="C530" s="64"/>
      <c r="D530" s="64"/>
      <c r="E530" s="64"/>
      <c r="F530" s="64"/>
      <c r="G530" s="64"/>
      <c r="H530" s="64"/>
      <c r="I530" s="64"/>
      <c r="J530" s="64"/>
      <c r="K530" s="64"/>
      <c r="L530" s="64"/>
      <c r="M530" s="64"/>
      <c r="N530" s="64"/>
      <c r="O530" s="64"/>
      <c r="P530" s="64"/>
      <c r="Q530" s="64"/>
      <c r="R530" s="64"/>
      <c r="S530" s="64"/>
      <c r="T530" s="64"/>
      <c r="U530" s="64"/>
      <c r="V530" s="64"/>
      <c r="W530" s="64"/>
      <c r="X530" s="64"/>
      <c r="Y530" s="64"/>
      <c r="Z530" s="64"/>
    </row>
    <row r="531">
      <c r="A531" s="64"/>
      <c r="B531" s="64"/>
      <c r="C531" s="64"/>
      <c r="D531" s="64"/>
      <c r="E531" s="64"/>
      <c r="F531" s="64"/>
      <c r="G531" s="64"/>
      <c r="H531" s="64"/>
      <c r="I531" s="64"/>
      <c r="J531" s="64"/>
      <c r="K531" s="64"/>
      <c r="L531" s="64"/>
      <c r="M531" s="64"/>
      <c r="N531" s="64"/>
      <c r="O531" s="64"/>
      <c r="P531" s="64"/>
      <c r="Q531" s="64"/>
      <c r="R531" s="64"/>
      <c r="S531" s="64"/>
      <c r="T531" s="64"/>
      <c r="U531" s="64"/>
      <c r="V531" s="64"/>
      <c r="W531" s="64"/>
      <c r="X531" s="64"/>
      <c r="Y531" s="64"/>
      <c r="Z531" s="64"/>
    </row>
    <row r="532">
      <c r="A532" s="64"/>
      <c r="B532" s="64"/>
      <c r="C532" s="64"/>
      <c r="D532" s="64"/>
      <c r="E532" s="64"/>
      <c r="F532" s="64"/>
      <c r="G532" s="64"/>
      <c r="H532" s="64"/>
      <c r="I532" s="64"/>
      <c r="J532" s="64"/>
      <c r="K532" s="64"/>
      <c r="L532" s="64"/>
      <c r="M532" s="64"/>
      <c r="N532" s="64"/>
      <c r="O532" s="64"/>
      <c r="P532" s="64"/>
      <c r="Q532" s="64"/>
      <c r="R532" s="64"/>
      <c r="S532" s="64"/>
      <c r="T532" s="64"/>
      <c r="U532" s="64"/>
      <c r="V532" s="64"/>
      <c r="W532" s="64"/>
      <c r="X532" s="64"/>
      <c r="Y532" s="64"/>
      <c r="Z532" s="64"/>
    </row>
    <row r="533">
      <c r="A533" s="64"/>
      <c r="B533" s="64"/>
      <c r="C533" s="64"/>
      <c r="D533" s="64"/>
      <c r="E533" s="64"/>
      <c r="F533" s="64"/>
      <c r="G533" s="64"/>
      <c r="H533" s="64"/>
      <c r="I533" s="64"/>
      <c r="J533" s="64"/>
      <c r="K533" s="64"/>
      <c r="L533" s="64"/>
      <c r="M533" s="64"/>
      <c r="N533" s="64"/>
      <c r="O533" s="64"/>
      <c r="P533" s="64"/>
      <c r="Q533" s="64"/>
      <c r="R533" s="64"/>
      <c r="S533" s="64"/>
      <c r="T533" s="64"/>
      <c r="U533" s="64"/>
      <c r="V533" s="64"/>
      <c r="W533" s="64"/>
      <c r="X533" s="64"/>
      <c r="Y533" s="64"/>
      <c r="Z533" s="64"/>
    </row>
    <row r="534">
      <c r="A534" s="64"/>
      <c r="B534" s="64"/>
      <c r="C534" s="64"/>
      <c r="D534" s="64"/>
      <c r="E534" s="64"/>
      <c r="F534" s="64"/>
      <c r="G534" s="64"/>
      <c r="H534" s="64"/>
      <c r="I534" s="64"/>
      <c r="J534" s="64"/>
      <c r="K534" s="64"/>
      <c r="L534" s="64"/>
      <c r="M534" s="64"/>
      <c r="N534" s="64"/>
      <c r="O534" s="64"/>
      <c r="P534" s="64"/>
      <c r="Q534" s="64"/>
      <c r="R534" s="64"/>
      <c r="S534" s="64"/>
      <c r="T534" s="64"/>
      <c r="U534" s="64"/>
      <c r="V534" s="64"/>
      <c r="W534" s="64"/>
      <c r="X534" s="64"/>
      <c r="Y534" s="64"/>
      <c r="Z534" s="64"/>
    </row>
    <row r="535">
      <c r="A535" s="64"/>
      <c r="B535" s="64"/>
      <c r="C535" s="64"/>
      <c r="D535" s="64"/>
      <c r="E535" s="64"/>
      <c r="F535" s="64"/>
      <c r="G535" s="64"/>
      <c r="H535" s="64"/>
      <c r="I535" s="64"/>
      <c r="J535" s="64"/>
      <c r="K535" s="64"/>
      <c r="L535" s="64"/>
      <c r="M535" s="64"/>
      <c r="N535" s="64"/>
      <c r="O535" s="64"/>
      <c r="P535" s="64"/>
      <c r="Q535" s="64"/>
      <c r="R535" s="64"/>
      <c r="S535" s="64"/>
      <c r="T535" s="64"/>
      <c r="U535" s="64"/>
      <c r="V535" s="64"/>
      <c r="W535" s="64"/>
      <c r="X535" s="64"/>
      <c r="Y535" s="64"/>
      <c r="Z535" s="64"/>
    </row>
    <row r="536">
      <c r="A536" s="64"/>
      <c r="B536" s="64"/>
      <c r="C536" s="64"/>
      <c r="D536" s="64"/>
      <c r="E536" s="64"/>
      <c r="F536" s="64"/>
      <c r="G536" s="64"/>
      <c r="H536" s="64"/>
      <c r="I536" s="64"/>
      <c r="J536" s="64"/>
      <c r="K536" s="64"/>
      <c r="L536" s="64"/>
      <c r="M536" s="64"/>
      <c r="N536" s="64"/>
      <c r="O536" s="64"/>
      <c r="P536" s="64"/>
      <c r="Q536" s="64"/>
      <c r="R536" s="64"/>
      <c r="S536" s="64"/>
      <c r="T536" s="64"/>
      <c r="U536" s="64"/>
      <c r="V536" s="64"/>
      <c r="W536" s="64"/>
      <c r="X536" s="64"/>
      <c r="Y536" s="64"/>
      <c r="Z536" s="64"/>
    </row>
    <row r="537">
      <c r="A537" s="64"/>
      <c r="B537" s="64"/>
      <c r="C537" s="64"/>
      <c r="D537" s="64"/>
      <c r="E537" s="64"/>
      <c r="F537" s="64"/>
      <c r="G537" s="64"/>
      <c r="H537" s="64"/>
      <c r="I537" s="64"/>
      <c r="J537" s="64"/>
      <c r="K537" s="64"/>
      <c r="L537" s="64"/>
      <c r="M537" s="64"/>
      <c r="N537" s="64"/>
      <c r="O537" s="64"/>
      <c r="P537" s="64"/>
      <c r="Q537" s="64"/>
      <c r="R537" s="64"/>
      <c r="S537" s="64"/>
      <c r="T537" s="64"/>
      <c r="U537" s="64"/>
      <c r="V537" s="64"/>
      <c r="W537" s="64"/>
      <c r="X537" s="64"/>
      <c r="Y537" s="64"/>
      <c r="Z537" s="64"/>
    </row>
    <row r="538">
      <c r="A538" s="64"/>
      <c r="B538" s="64"/>
      <c r="C538" s="64"/>
      <c r="D538" s="64"/>
      <c r="E538" s="64"/>
      <c r="F538" s="64"/>
      <c r="G538" s="64"/>
      <c r="H538" s="64"/>
      <c r="I538" s="64"/>
      <c r="J538" s="64"/>
      <c r="K538" s="64"/>
      <c r="L538" s="64"/>
      <c r="M538" s="64"/>
      <c r="N538" s="64"/>
      <c r="O538" s="64"/>
      <c r="P538" s="64"/>
      <c r="Q538" s="64"/>
      <c r="R538" s="64"/>
      <c r="S538" s="64"/>
      <c r="T538" s="64"/>
      <c r="U538" s="64"/>
      <c r="V538" s="64"/>
      <c r="W538" s="64"/>
      <c r="X538" s="64"/>
      <c r="Y538" s="64"/>
      <c r="Z538" s="64"/>
    </row>
    <row r="539">
      <c r="A539" s="64"/>
      <c r="B539" s="64"/>
      <c r="C539" s="64"/>
      <c r="D539" s="64"/>
      <c r="E539" s="64"/>
      <c r="F539" s="64"/>
      <c r="G539" s="64"/>
      <c r="H539" s="64"/>
      <c r="I539" s="64"/>
      <c r="J539" s="64"/>
      <c r="K539" s="64"/>
      <c r="L539" s="64"/>
      <c r="M539" s="64"/>
      <c r="N539" s="64"/>
      <c r="O539" s="64"/>
      <c r="P539" s="64"/>
      <c r="Q539" s="64"/>
      <c r="R539" s="64"/>
      <c r="S539" s="64"/>
      <c r="T539" s="64"/>
      <c r="U539" s="64"/>
      <c r="V539" s="64"/>
      <c r="W539" s="64"/>
      <c r="X539" s="64"/>
      <c r="Y539" s="64"/>
      <c r="Z539" s="64"/>
    </row>
    <row r="540">
      <c r="A540" s="64"/>
      <c r="B540" s="64"/>
      <c r="C540" s="64"/>
      <c r="D540" s="64"/>
      <c r="E540" s="64"/>
      <c r="F540" s="64"/>
      <c r="G540" s="64"/>
      <c r="H540" s="64"/>
      <c r="I540" s="64"/>
      <c r="J540" s="64"/>
      <c r="K540" s="64"/>
      <c r="L540" s="64"/>
      <c r="M540" s="64"/>
      <c r="N540" s="64"/>
      <c r="O540" s="64"/>
      <c r="P540" s="64"/>
      <c r="Q540" s="64"/>
      <c r="R540" s="64"/>
      <c r="S540" s="64"/>
      <c r="T540" s="64"/>
      <c r="U540" s="64"/>
      <c r="V540" s="64"/>
      <c r="W540" s="64"/>
      <c r="X540" s="64"/>
      <c r="Y540" s="64"/>
      <c r="Z540" s="64"/>
    </row>
    <row r="541">
      <c r="A541" s="64"/>
      <c r="B541" s="64"/>
      <c r="C541" s="64"/>
      <c r="D541" s="64"/>
      <c r="E541" s="64"/>
      <c r="F541" s="64"/>
      <c r="G541" s="64"/>
      <c r="H541" s="64"/>
      <c r="I541" s="64"/>
      <c r="J541" s="64"/>
      <c r="K541" s="64"/>
      <c r="L541" s="64"/>
      <c r="M541" s="64"/>
      <c r="N541" s="64"/>
      <c r="O541" s="64"/>
      <c r="P541" s="64"/>
      <c r="Q541" s="64"/>
      <c r="R541" s="64"/>
      <c r="S541" s="64"/>
      <c r="T541" s="64"/>
      <c r="U541" s="64"/>
      <c r="V541" s="64"/>
      <c r="W541" s="64"/>
      <c r="X541" s="64"/>
      <c r="Y541" s="64"/>
      <c r="Z541" s="64"/>
    </row>
    <row r="542">
      <c r="A542" s="64"/>
      <c r="B542" s="64"/>
      <c r="C542" s="64"/>
      <c r="D542" s="64"/>
      <c r="E542" s="64"/>
      <c r="F542" s="64"/>
      <c r="G542" s="64"/>
      <c r="H542" s="64"/>
      <c r="I542" s="64"/>
      <c r="J542" s="64"/>
      <c r="K542" s="64"/>
      <c r="L542" s="64"/>
      <c r="M542" s="64"/>
      <c r="N542" s="64"/>
      <c r="O542" s="64"/>
      <c r="P542" s="64"/>
      <c r="Q542" s="64"/>
      <c r="R542" s="64"/>
      <c r="S542" s="64"/>
      <c r="T542" s="64"/>
      <c r="U542" s="64"/>
      <c r="V542" s="64"/>
      <c r="W542" s="64"/>
      <c r="X542" s="64"/>
      <c r="Y542" s="64"/>
      <c r="Z542" s="64"/>
    </row>
    <row r="543">
      <c r="A543" s="64"/>
      <c r="B543" s="64"/>
      <c r="C543" s="64"/>
      <c r="D543" s="64"/>
      <c r="E543" s="64"/>
      <c r="F543" s="64"/>
      <c r="G543" s="64"/>
      <c r="H543" s="64"/>
      <c r="I543" s="64"/>
      <c r="J543" s="64"/>
      <c r="K543" s="64"/>
      <c r="L543" s="64"/>
      <c r="M543" s="64"/>
      <c r="N543" s="64"/>
      <c r="O543" s="64"/>
      <c r="P543" s="64"/>
      <c r="Q543" s="64"/>
      <c r="R543" s="64"/>
      <c r="S543" s="64"/>
      <c r="T543" s="64"/>
      <c r="U543" s="64"/>
      <c r="V543" s="64"/>
      <c r="W543" s="64"/>
      <c r="X543" s="64"/>
      <c r="Y543" s="64"/>
      <c r="Z543" s="64"/>
    </row>
    <row r="544">
      <c r="A544" s="64"/>
      <c r="B544" s="64"/>
      <c r="C544" s="64"/>
      <c r="D544" s="64"/>
      <c r="E544" s="64"/>
      <c r="F544" s="64"/>
      <c r="G544" s="64"/>
      <c r="H544" s="64"/>
      <c r="I544" s="64"/>
      <c r="J544" s="64"/>
      <c r="K544" s="64"/>
      <c r="L544" s="64"/>
      <c r="M544" s="64"/>
      <c r="N544" s="64"/>
      <c r="O544" s="64"/>
      <c r="P544" s="64"/>
      <c r="Q544" s="64"/>
      <c r="R544" s="64"/>
      <c r="S544" s="64"/>
      <c r="T544" s="64"/>
      <c r="U544" s="64"/>
      <c r="V544" s="64"/>
      <c r="W544" s="64"/>
      <c r="X544" s="64"/>
      <c r="Y544" s="64"/>
      <c r="Z544" s="64"/>
    </row>
    <row r="545">
      <c r="A545" s="64"/>
      <c r="B545" s="64"/>
      <c r="C545" s="64"/>
      <c r="D545" s="64"/>
      <c r="E545" s="64"/>
      <c r="F545" s="64"/>
      <c r="G545" s="64"/>
      <c r="H545" s="64"/>
      <c r="I545" s="64"/>
      <c r="J545" s="64"/>
      <c r="K545" s="64"/>
      <c r="L545" s="64"/>
      <c r="M545" s="64"/>
      <c r="N545" s="64"/>
      <c r="O545" s="64"/>
      <c r="P545" s="64"/>
      <c r="Q545" s="64"/>
      <c r="R545" s="64"/>
      <c r="S545" s="64"/>
      <c r="T545" s="64"/>
      <c r="U545" s="64"/>
      <c r="V545" s="64"/>
      <c r="W545" s="64"/>
      <c r="X545" s="64"/>
      <c r="Y545" s="64"/>
      <c r="Z545" s="64"/>
    </row>
    <row r="546">
      <c r="A546" s="64"/>
      <c r="B546" s="64"/>
      <c r="C546" s="64"/>
      <c r="D546" s="64"/>
      <c r="E546" s="64"/>
      <c r="F546" s="64"/>
      <c r="G546" s="64"/>
      <c r="H546" s="64"/>
      <c r="I546" s="64"/>
      <c r="J546" s="64"/>
      <c r="K546" s="64"/>
      <c r="L546" s="64"/>
      <c r="M546" s="64"/>
      <c r="N546" s="64"/>
      <c r="O546" s="64"/>
      <c r="P546" s="64"/>
      <c r="Q546" s="64"/>
      <c r="R546" s="64"/>
      <c r="S546" s="64"/>
      <c r="T546" s="64"/>
      <c r="U546" s="64"/>
      <c r="V546" s="64"/>
      <c r="W546" s="64"/>
      <c r="X546" s="64"/>
      <c r="Y546" s="64"/>
      <c r="Z546" s="64"/>
    </row>
    <row r="547">
      <c r="A547" s="64"/>
      <c r="B547" s="64"/>
      <c r="C547" s="64"/>
      <c r="D547" s="64"/>
      <c r="E547" s="64"/>
      <c r="F547" s="64"/>
      <c r="G547" s="64"/>
      <c r="H547" s="64"/>
      <c r="I547" s="64"/>
      <c r="J547" s="64"/>
      <c r="K547" s="64"/>
      <c r="L547" s="64"/>
      <c r="M547" s="64"/>
      <c r="N547" s="64"/>
      <c r="O547" s="64"/>
      <c r="P547" s="64"/>
      <c r="Q547" s="64"/>
      <c r="R547" s="64"/>
      <c r="S547" s="64"/>
      <c r="T547" s="64"/>
      <c r="U547" s="64"/>
      <c r="V547" s="64"/>
      <c r="W547" s="64"/>
      <c r="X547" s="64"/>
      <c r="Y547" s="64"/>
      <c r="Z547" s="64"/>
    </row>
    <row r="548">
      <c r="A548" s="64"/>
      <c r="B548" s="64"/>
      <c r="C548" s="64"/>
      <c r="D548" s="64"/>
      <c r="E548" s="64"/>
      <c r="F548" s="64"/>
      <c r="G548" s="64"/>
      <c r="H548" s="64"/>
      <c r="I548" s="64"/>
      <c r="J548" s="64"/>
      <c r="K548" s="64"/>
      <c r="L548" s="64"/>
      <c r="M548" s="64"/>
      <c r="N548" s="64"/>
      <c r="O548" s="64"/>
      <c r="P548" s="64"/>
      <c r="Q548" s="64"/>
      <c r="R548" s="64"/>
      <c r="S548" s="64"/>
      <c r="T548" s="64"/>
      <c r="U548" s="64"/>
      <c r="V548" s="64"/>
      <c r="W548" s="64"/>
      <c r="X548" s="64"/>
      <c r="Y548" s="64"/>
      <c r="Z548" s="64"/>
    </row>
    <row r="549">
      <c r="A549" s="64"/>
      <c r="B549" s="64"/>
      <c r="C549" s="64"/>
      <c r="D549" s="64"/>
      <c r="E549" s="64"/>
      <c r="F549" s="64"/>
      <c r="G549" s="64"/>
      <c r="H549" s="64"/>
      <c r="I549" s="64"/>
      <c r="J549" s="64"/>
      <c r="K549" s="64"/>
      <c r="L549" s="64"/>
      <c r="M549" s="64"/>
      <c r="N549" s="64"/>
      <c r="O549" s="64"/>
      <c r="P549" s="64"/>
      <c r="Q549" s="64"/>
      <c r="R549" s="64"/>
      <c r="S549" s="64"/>
      <c r="T549" s="64"/>
      <c r="U549" s="64"/>
      <c r="V549" s="64"/>
      <c r="W549" s="64"/>
      <c r="X549" s="64"/>
      <c r="Y549" s="64"/>
      <c r="Z549" s="64"/>
    </row>
    <row r="550">
      <c r="A550" s="64"/>
      <c r="B550" s="64"/>
      <c r="C550" s="64"/>
      <c r="D550" s="64"/>
      <c r="E550" s="64"/>
      <c r="F550" s="64"/>
      <c r="G550" s="64"/>
      <c r="H550" s="64"/>
      <c r="I550" s="64"/>
      <c r="J550" s="64"/>
      <c r="K550" s="64"/>
      <c r="L550" s="64"/>
      <c r="M550" s="64"/>
      <c r="N550" s="64"/>
      <c r="O550" s="64"/>
      <c r="P550" s="64"/>
      <c r="Q550" s="64"/>
      <c r="R550" s="64"/>
      <c r="S550" s="64"/>
      <c r="T550" s="64"/>
      <c r="U550" s="64"/>
      <c r="V550" s="64"/>
      <c r="W550" s="64"/>
      <c r="X550" s="64"/>
      <c r="Y550" s="64"/>
      <c r="Z550" s="64"/>
    </row>
    <row r="551">
      <c r="A551" s="64"/>
      <c r="B551" s="64"/>
      <c r="C551" s="64"/>
      <c r="D551" s="64"/>
      <c r="E551" s="64"/>
      <c r="F551" s="64"/>
      <c r="G551" s="64"/>
      <c r="H551" s="64"/>
      <c r="I551" s="64"/>
      <c r="J551" s="64"/>
      <c r="K551" s="64"/>
      <c r="L551" s="64"/>
      <c r="M551" s="64"/>
      <c r="N551" s="64"/>
      <c r="O551" s="64"/>
      <c r="P551" s="64"/>
      <c r="Q551" s="64"/>
      <c r="R551" s="64"/>
      <c r="S551" s="64"/>
      <c r="T551" s="64"/>
      <c r="U551" s="64"/>
      <c r="V551" s="64"/>
      <c r="W551" s="64"/>
      <c r="X551" s="64"/>
      <c r="Y551" s="64"/>
      <c r="Z551" s="64"/>
    </row>
    <row r="552">
      <c r="A552" s="64"/>
      <c r="B552" s="64"/>
      <c r="C552" s="64"/>
      <c r="D552" s="64"/>
      <c r="E552" s="64"/>
      <c r="F552" s="64"/>
      <c r="G552" s="64"/>
      <c r="H552" s="64"/>
      <c r="I552" s="64"/>
      <c r="J552" s="64"/>
      <c r="K552" s="64"/>
      <c r="L552" s="64"/>
      <c r="M552" s="64"/>
      <c r="N552" s="64"/>
      <c r="O552" s="64"/>
      <c r="P552" s="64"/>
      <c r="Q552" s="64"/>
      <c r="R552" s="64"/>
      <c r="S552" s="64"/>
      <c r="T552" s="64"/>
      <c r="U552" s="64"/>
      <c r="V552" s="64"/>
      <c r="W552" s="64"/>
      <c r="X552" s="64"/>
      <c r="Y552" s="64"/>
      <c r="Z552" s="64"/>
    </row>
    <row r="553">
      <c r="A553" s="64"/>
      <c r="B553" s="64"/>
      <c r="C553" s="64"/>
      <c r="D553" s="64"/>
      <c r="E553" s="64"/>
      <c r="F553" s="64"/>
      <c r="G553" s="64"/>
      <c r="H553" s="64"/>
      <c r="I553" s="64"/>
      <c r="J553" s="64"/>
      <c r="K553" s="64"/>
      <c r="L553" s="64"/>
      <c r="M553" s="64"/>
      <c r="N553" s="64"/>
      <c r="O553" s="64"/>
      <c r="P553" s="64"/>
      <c r="Q553" s="64"/>
      <c r="R553" s="64"/>
      <c r="S553" s="64"/>
      <c r="T553" s="64"/>
      <c r="U553" s="64"/>
      <c r="V553" s="64"/>
      <c r="W553" s="64"/>
      <c r="X553" s="64"/>
      <c r="Y553" s="64"/>
      <c r="Z553" s="64"/>
    </row>
    <row r="554">
      <c r="A554" s="64"/>
      <c r="B554" s="64"/>
      <c r="C554" s="64"/>
      <c r="D554" s="64"/>
      <c r="E554" s="64"/>
      <c r="F554" s="64"/>
      <c r="G554" s="64"/>
      <c r="H554" s="64"/>
      <c r="I554" s="64"/>
      <c r="J554" s="64"/>
      <c r="K554" s="64"/>
      <c r="L554" s="64"/>
      <c r="M554" s="64"/>
      <c r="N554" s="64"/>
      <c r="O554" s="64"/>
      <c r="P554" s="64"/>
      <c r="Q554" s="64"/>
      <c r="R554" s="64"/>
      <c r="S554" s="64"/>
      <c r="T554" s="64"/>
      <c r="U554" s="64"/>
      <c r="V554" s="64"/>
      <c r="W554" s="64"/>
      <c r="X554" s="64"/>
      <c r="Y554" s="64"/>
      <c r="Z554" s="64"/>
    </row>
    <row r="555">
      <c r="A555" s="64"/>
      <c r="B555" s="64"/>
      <c r="C555" s="64"/>
      <c r="D555" s="64"/>
      <c r="E555" s="64"/>
      <c r="F555" s="64"/>
      <c r="G555" s="64"/>
      <c r="H555" s="64"/>
      <c r="I555" s="64"/>
      <c r="J555" s="64"/>
      <c r="K555" s="64"/>
      <c r="L555" s="64"/>
      <c r="M555" s="64"/>
      <c r="N555" s="64"/>
      <c r="O555" s="64"/>
      <c r="P555" s="64"/>
      <c r="Q555" s="64"/>
      <c r="R555" s="64"/>
      <c r="S555" s="64"/>
      <c r="T555" s="64"/>
      <c r="U555" s="64"/>
      <c r="V555" s="64"/>
      <c r="W555" s="64"/>
      <c r="X555" s="64"/>
      <c r="Y555" s="64"/>
      <c r="Z555" s="64"/>
    </row>
    <row r="556">
      <c r="A556" s="64"/>
      <c r="B556" s="64"/>
      <c r="C556" s="64"/>
      <c r="D556" s="64"/>
      <c r="E556" s="64"/>
      <c r="F556" s="64"/>
      <c r="G556" s="64"/>
      <c r="H556" s="64"/>
      <c r="I556" s="64"/>
      <c r="J556" s="64"/>
      <c r="K556" s="64"/>
      <c r="L556" s="64"/>
      <c r="M556" s="64"/>
      <c r="N556" s="64"/>
      <c r="O556" s="64"/>
      <c r="P556" s="64"/>
      <c r="Q556" s="64"/>
      <c r="R556" s="64"/>
      <c r="S556" s="64"/>
      <c r="T556" s="64"/>
      <c r="U556" s="64"/>
      <c r="V556" s="64"/>
      <c r="W556" s="64"/>
      <c r="X556" s="64"/>
      <c r="Y556" s="64"/>
      <c r="Z556" s="64"/>
    </row>
    <row r="557">
      <c r="A557" s="64"/>
      <c r="B557" s="64"/>
      <c r="C557" s="64"/>
      <c r="D557" s="64"/>
      <c r="E557" s="64"/>
      <c r="F557" s="64"/>
      <c r="G557" s="64"/>
      <c r="H557" s="64"/>
      <c r="I557" s="64"/>
      <c r="J557" s="64"/>
      <c r="K557" s="64"/>
      <c r="L557" s="64"/>
      <c r="M557" s="64"/>
      <c r="N557" s="64"/>
      <c r="O557" s="64"/>
      <c r="P557" s="64"/>
      <c r="Q557" s="64"/>
      <c r="R557" s="64"/>
      <c r="S557" s="64"/>
      <c r="T557" s="64"/>
      <c r="U557" s="64"/>
      <c r="V557" s="64"/>
      <c r="W557" s="64"/>
      <c r="X557" s="64"/>
      <c r="Y557" s="64"/>
      <c r="Z557" s="64"/>
    </row>
    <row r="558">
      <c r="A558" s="64"/>
      <c r="B558" s="64"/>
      <c r="C558" s="64"/>
      <c r="D558" s="64"/>
      <c r="E558" s="64"/>
      <c r="F558" s="64"/>
      <c r="G558" s="64"/>
      <c r="H558" s="64"/>
      <c r="I558" s="64"/>
      <c r="J558" s="64"/>
      <c r="K558" s="64"/>
      <c r="L558" s="64"/>
      <c r="M558" s="64"/>
      <c r="N558" s="64"/>
      <c r="O558" s="64"/>
      <c r="P558" s="64"/>
      <c r="Q558" s="64"/>
      <c r="R558" s="64"/>
      <c r="S558" s="64"/>
      <c r="T558" s="64"/>
      <c r="U558" s="64"/>
      <c r="V558" s="64"/>
      <c r="W558" s="64"/>
      <c r="X558" s="64"/>
      <c r="Y558" s="64"/>
      <c r="Z558" s="64"/>
    </row>
    <row r="559">
      <c r="A559" s="64"/>
      <c r="B559" s="64"/>
      <c r="C559" s="64"/>
      <c r="D559" s="64"/>
      <c r="E559" s="64"/>
      <c r="F559" s="64"/>
      <c r="G559" s="64"/>
      <c r="H559" s="64"/>
      <c r="I559" s="64"/>
      <c r="J559" s="64"/>
      <c r="K559" s="64"/>
      <c r="L559" s="64"/>
      <c r="M559" s="64"/>
      <c r="N559" s="64"/>
      <c r="O559" s="64"/>
      <c r="P559" s="64"/>
      <c r="Q559" s="64"/>
      <c r="R559" s="64"/>
      <c r="S559" s="64"/>
      <c r="T559" s="64"/>
      <c r="U559" s="64"/>
      <c r="V559" s="64"/>
      <c r="W559" s="64"/>
      <c r="X559" s="64"/>
      <c r="Y559" s="64"/>
      <c r="Z559" s="64"/>
    </row>
    <row r="560">
      <c r="A560" s="64"/>
      <c r="B560" s="64"/>
      <c r="C560" s="64"/>
      <c r="D560" s="64"/>
      <c r="E560" s="64"/>
      <c r="F560" s="64"/>
      <c r="G560" s="64"/>
      <c r="H560" s="64"/>
      <c r="I560" s="64"/>
      <c r="J560" s="64"/>
      <c r="K560" s="64"/>
      <c r="L560" s="64"/>
      <c r="M560" s="64"/>
      <c r="N560" s="64"/>
      <c r="O560" s="64"/>
      <c r="P560" s="64"/>
      <c r="Q560" s="64"/>
      <c r="R560" s="64"/>
      <c r="S560" s="64"/>
      <c r="T560" s="64"/>
      <c r="U560" s="64"/>
      <c r="V560" s="64"/>
      <c r="W560" s="64"/>
      <c r="X560" s="64"/>
      <c r="Y560" s="64"/>
      <c r="Z560" s="64"/>
    </row>
    <row r="561">
      <c r="A561" s="64"/>
      <c r="B561" s="64"/>
      <c r="C561" s="64"/>
      <c r="D561" s="64"/>
      <c r="E561" s="64"/>
      <c r="F561" s="64"/>
      <c r="G561" s="64"/>
      <c r="H561" s="64"/>
      <c r="I561" s="64"/>
      <c r="J561" s="64"/>
      <c r="K561" s="64"/>
      <c r="L561" s="64"/>
      <c r="M561" s="64"/>
      <c r="N561" s="64"/>
      <c r="O561" s="64"/>
      <c r="P561" s="64"/>
      <c r="Q561" s="64"/>
      <c r="R561" s="64"/>
      <c r="S561" s="64"/>
      <c r="T561" s="64"/>
      <c r="U561" s="64"/>
      <c r="V561" s="64"/>
      <c r="W561" s="64"/>
      <c r="X561" s="64"/>
      <c r="Y561" s="64"/>
      <c r="Z561" s="64"/>
    </row>
    <row r="562">
      <c r="A562" s="64"/>
      <c r="B562" s="64"/>
      <c r="C562" s="64"/>
      <c r="D562" s="64"/>
      <c r="E562" s="64"/>
      <c r="F562" s="64"/>
      <c r="G562" s="64"/>
      <c r="H562" s="64"/>
      <c r="I562" s="64"/>
      <c r="J562" s="64"/>
      <c r="K562" s="64"/>
      <c r="L562" s="64"/>
      <c r="M562" s="64"/>
      <c r="N562" s="64"/>
      <c r="O562" s="64"/>
      <c r="P562" s="64"/>
      <c r="Q562" s="64"/>
      <c r="R562" s="64"/>
      <c r="S562" s="64"/>
      <c r="T562" s="64"/>
      <c r="U562" s="64"/>
      <c r="V562" s="64"/>
      <c r="W562" s="64"/>
      <c r="X562" s="64"/>
      <c r="Y562" s="64"/>
      <c r="Z562" s="64"/>
    </row>
    <row r="563">
      <c r="A563" s="64"/>
      <c r="B563" s="64"/>
      <c r="C563" s="64"/>
      <c r="D563" s="64"/>
      <c r="E563" s="64"/>
      <c r="F563" s="64"/>
      <c r="G563" s="64"/>
      <c r="H563" s="64"/>
      <c r="I563" s="64"/>
      <c r="J563" s="64"/>
      <c r="K563" s="64"/>
      <c r="L563" s="64"/>
      <c r="M563" s="64"/>
      <c r="N563" s="64"/>
      <c r="O563" s="64"/>
      <c r="P563" s="64"/>
      <c r="Q563" s="64"/>
      <c r="R563" s="64"/>
      <c r="S563" s="64"/>
      <c r="T563" s="64"/>
      <c r="U563" s="64"/>
      <c r="V563" s="64"/>
      <c r="W563" s="64"/>
      <c r="X563" s="64"/>
      <c r="Y563" s="64"/>
      <c r="Z563" s="64"/>
    </row>
    <row r="564">
      <c r="A564" s="64"/>
      <c r="B564" s="64"/>
      <c r="C564" s="64"/>
      <c r="D564" s="64"/>
      <c r="E564" s="64"/>
      <c r="F564" s="64"/>
      <c r="G564" s="64"/>
      <c r="H564" s="64"/>
      <c r="I564" s="64"/>
      <c r="J564" s="64"/>
      <c r="K564" s="64"/>
      <c r="L564" s="64"/>
      <c r="M564" s="64"/>
      <c r="N564" s="64"/>
      <c r="O564" s="64"/>
      <c r="P564" s="64"/>
      <c r="Q564" s="64"/>
      <c r="R564" s="64"/>
      <c r="S564" s="64"/>
      <c r="T564" s="64"/>
      <c r="U564" s="64"/>
      <c r="V564" s="64"/>
      <c r="W564" s="64"/>
      <c r="X564" s="64"/>
      <c r="Y564" s="64"/>
      <c r="Z564" s="64"/>
    </row>
    <row r="565">
      <c r="A565" s="64"/>
      <c r="B565" s="64"/>
      <c r="C565" s="64"/>
      <c r="D565" s="64"/>
      <c r="E565" s="64"/>
      <c r="F565" s="64"/>
      <c r="G565" s="64"/>
      <c r="H565" s="64"/>
      <c r="I565" s="64"/>
      <c r="J565" s="64"/>
      <c r="K565" s="64"/>
      <c r="L565" s="64"/>
      <c r="M565" s="64"/>
      <c r="N565" s="64"/>
      <c r="O565" s="64"/>
      <c r="P565" s="64"/>
      <c r="Q565" s="64"/>
      <c r="R565" s="64"/>
      <c r="S565" s="64"/>
      <c r="T565" s="64"/>
      <c r="U565" s="64"/>
      <c r="V565" s="64"/>
      <c r="W565" s="64"/>
      <c r="X565" s="64"/>
      <c r="Y565" s="64"/>
      <c r="Z565" s="64"/>
    </row>
    <row r="566">
      <c r="A566" s="64"/>
      <c r="B566" s="64"/>
      <c r="C566" s="64"/>
      <c r="D566" s="64"/>
      <c r="E566" s="64"/>
      <c r="F566" s="64"/>
      <c r="G566" s="64"/>
      <c r="H566" s="64"/>
      <c r="I566" s="64"/>
      <c r="J566" s="64"/>
      <c r="K566" s="64"/>
      <c r="L566" s="64"/>
      <c r="M566" s="64"/>
      <c r="N566" s="64"/>
      <c r="O566" s="64"/>
      <c r="P566" s="64"/>
      <c r="Q566" s="64"/>
      <c r="R566" s="64"/>
      <c r="S566" s="64"/>
      <c r="T566" s="64"/>
      <c r="U566" s="64"/>
      <c r="V566" s="64"/>
      <c r="W566" s="64"/>
      <c r="X566" s="64"/>
      <c r="Y566" s="64"/>
      <c r="Z566" s="64"/>
    </row>
    <row r="567">
      <c r="A567" s="64"/>
      <c r="B567" s="64"/>
      <c r="C567" s="64"/>
      <c r="D567" s="64"/>
      <c r="E567" s="64"/>
      <c r="F567" s="64"/>
      <c r="G567" s="64"/>
      <c r="H567" s="64"/>
      <c r="I567" s="64"/>
      <c r="J567" s="64"/>
      <c r="K567" s="64"/>
      <c r="L567" s="64"/>
      <c r="M567" s="64"/>
      <c r="N567" s="64"/>
      <c r="O567" s="64"/>
      <c r="P567" s="64"/>
      <c r="Q567" s="64"/>
      <c r="R567" s="64"/>
      <c r="S567" s="64"/>
      <c r="T567" s="64"/>
      <c r="U567" s="64"/>
      <c r="V567" s="64"/>
      <c r="W567" s="64"/>
      <c r="X567" s="64"/>
      <c r="Y567" s="64"/>
      <c r="Z567" s="64"/>
    </row>
    <row r="568">
      <c r="A568" s="64"/>
      <c r="B568" s="64"/>
      <c r="C568" s="64"/>
      <c r="D568" s="64"/>
      <c r="E568" s="64"/>
      <c r="F568" s="64"/>
      <c r="G568" s="64"/>
      <c r="H568" s="64"/>
      <c r="I568" s="64"/>
      <c r="J568" s="64"/>
      <c r="K568" s="64"/>
      <c r="L568" s="64"/>
      <c r="M568" s="64"/>
      <c r="N568" s="64"/>
      <c r="O568" s="64"/>
      <c r="P568" s="64"/>
      <c r="Q568" s="64"/>
      <c r="R568" s="64"/>
      <c r="S568" s="64"/>
      <c r="T568" s="64"/>
      <c r="U568" s="64"/>
      <c r="V568" s="64"/>
      <c r="W568" s="64"/>
      <c r="X568" s="64"/>
      <c r="Y568" s="64"/>
      <c r="Z568" s="64"/>
    </row>
    <row r="569">
      <c r="A569" s="64"/>
      <c r="B569" s="64"/>
      <c r="C569" s="64"/>
      <c r="D569" s="64"/>
      <c r="E569" s="64"/>
      <c r="F569" s="64"/>
      <c r="G569" s="64"/>
      <c r="H569" s="64"/>
      <c r="I569" s="64"/>
      <c r="J569" s="64"/>
      <c r="K569" s="64"/>
      <c r="L569" s="64"/>
      <c r="M569" s="64"/>
      <c r="N569" s="64"/>
      <c r="O569" s="64"/>
      <c r="P569" s="64"/>
      <c r="Q569" s="64"/>
      <c r="R569" s="64"/>
      <c r="S569" s="64"/>
      <c r="T569" s="64"/>
      <c r="U569" s="64"/>
      <c r="V569" s="64"/>
      <c r="W569" s="64"/>
      <c r="X569" s="64"/>
      <c r="Y569" s="64"/>
      <c r="Z569" s="64"/>
    </row>
    <row r="570">
      <c r="A570" s="64"/>
      <c r="B570" s="64"/>
      <c r="C570" s="64"/>
      <c r="D570" s="64"/>
      <c r="E570" s="64"/>
      <c r="F570" s="64"/>
      <c r="G570" s="64"/>
      <c r="H570" s="64"/>
      <c r="I570" s="64"/>
      <c r="J570" s="64"/>
      <c r="K570" s="64"/>
      <c r="L570" s="64"/>
      <c r="M570" s="64"/>
      <c r="N570" s="64"/>
      <c r="O570" s="64"/>
      <c r="P570" s="64"/>
      <c r="Q570" s="64"/>
      <c r="R570" s="64"/>
      <c r="S570" s="64"/>
      <c r="T570" s="64"/>
      <c r="U570" s="64"/>
      <c r="V570" s="64"/>
      <c r="W570" s="64"/>
      <c r="X570" s="64"/>
      <c r="Y570" s="64"/>
      <c r="Z570" s="64"/>
    </row>
    <row r="571">
      <c r="A571" s="64"/>
      <c r="B571" s="64"/>
      <c r="C571" s="64"/>
      <c r="D571" s="64"/>
      <c r="E571" s="64"/>
      <c r="F571" s="64"/>
      <c r="G571" s="64"/>
      <c r="H571" s="64"/>
      <c r="I571" s="64"/>
      <c r="J571" s="64"/>
      <c r="K571" s="64"/>
      <c r="L571" s="64"/>
      <c r="M571" s="64"/>
      <c r="N571" s="64"/>
      <c r="O571" s="64"/>
      <c r="P571" s="64"/>
      <c r="Q571" s="64"/>
      <c r="R571" s="64"/>
      <c r="S571" s="64"/>
      <c r="T571" s="64"/>
      <c r="U571" s="64"/>
      <c r="V571" s="64"/>
      <c r="W571" s="64"/>
      <c r="X571" s="64"/>
      <c r="Y571" s="64"/>
      <c r="Z571" s="64"/>
    </row>
    <row r="572">
      <c r="A572" s="64"/>
      <c r="B572" s="64"/>
      <c r="C572" s="64"/>
      <c r="D572" s="64"/>
      <c r="E572" s="64"/>
      <c r="F572" s="64"/>
      <c r="G572" s="64"/>
      <c r="H572" s="64"/>
      <c r="I572" s="64"/>
      <c r="J572" s="64"/>
      <c r="K572" s="64"/>
      <c r="L572" s="64"/>
      <c r="M572" s="64"/>
      <c r="N572" s="64"/>
      <c r="O572" s="64"/>
      <c r="P572" s="64"/>
      <c r="Q572" s="64"/>
      <c r="R572" s="64"/>
      <c r="S572" s="64"/>
      <c r="T572" s="64"/>
      <c r="U572" s="64"/>
      <c r="V572" s="64"/>
      <c r="W572" s="64"/>
      <c r="X572" s="64"/>
      <c r="Y572" s="64"/>
      <c r="Z572" s="64"/>
    </row>
    <row r="573">
      <c r="A573" s="64"/>
      <c r="B573" s="64"/>
      <c r="C573" s="64"/>
      <c r="D573" s="64"/>
      <c r="E573" s="64"/>
      <c r="F573" s="64"/>
      <c r="G573" s="64"/>
      <c r="H573" s="64"/>
      <c r="I573" s="64"/>
      <c r="J573" s="64"/>
      <c r="K573" s="64"/>
      <c r="L573" s="64"/>
      <c r="M573" s="64"/>
      <c r="N573" s="64"/>
      <c r="O573" s="64"/>
      <c r="P573" s="64"/>
      <c r="Q573" s="64"/>
      <c r="R573" s="64"/>
      <c r="S573" s="64"/>
      <c r="T573" s="64"/>
      <c r="U573" s="64"/>
      <c r="V573" s="64"/>
      <c r="W573" s="64"/>
      <c r="X573" s="64"/>
      <c r="Y573" s="64"/>
      <c r="Z573" s="64"/>
    </row>
    <row r="574">
      <c r="A574" s="64"/>
      <c r="B574" s="64"/>
      <c r="C574" s="64"/>
      <c r="D574" s="64"/>
      <c r="E574" s="64"/>
      <c r="F574" s="64"/>
      <c r="G574" s="64"/>
      <c r="H574" s="64"/>
      <c r="I574" s="64"/>
      <c r="J574" s="64"/>
      <c r="K574" s="64"/>
      <c r="L574" s="64"/>
      <c r="M574" s="64"/>
      <c r="N574" s="64"/>
      <c r="O574" s="64"/>
      <c r="P574" s="64"/>
      <c r="Q574" s="64"/>
      <c r="R574" s="64"/>
      <c r="S574" s="64"/>
      <c r="T574" s="64"/>
      <c r="U574" s="64"/>
      <c r="V574" s="64"/>
      <c r="W574" s="64"/>
      <c r="X574" s="64"/>
      <c r="Y574" s="64"/>
      <c r="Z574" s="64"/>
    </row>
    <row r="575">
      <c r="A575" s="64"/>
      <c r="B575" s="64"/>
      <c r="C575" s="64"/>
      <c r="D575" s="64"/>
      <c r="E575" s="64"/>
      <c r="F575" s="64"/>
      <c r="G575" s="64"/>
      <c r="H575" s="64"/>
      <c r="I575" s="64"/>
      <c r="J575" s="64"/>
      <c r="K575" s="64"/>
      <c r="L575" s="64"/>
      <c r="M575" s="64"/>
      <c r="N575" s="64"/>
      <c r="O575" s="64"/>
      <c r="P575" s="64"/>
      <c r="Q575" s="64"/>
      <c r="R575" s="64"/>
      <c r="S575" s="64"/>
      <c r="T575" s="64"/>
      <c r="U575" s="64"/>
      <c r="V575" s="64"/>
      <c r="W575" s="64"/>
      <c r="X575" s="64"/>
      <c r="Y575" s="64"/>
      <c r="Z575" s="64"/>
    </row>
    <row r="576">
      <c r="A576" s="64"/>
      <c r="B576" s="64"/>
      <c r="C576" s="64"/>
      <c r="D576" s="64"/>
      <c r="E576" s="64"/>
      <c r="F576" s="64"/>
      <c r="G576" s="64"/>
      <c r="H576" s="64"/>
      <c r="I576" s="64"/>
      <c r="J576" s="64"/>
      <c r="K576" s="64"/>
      <c r="L576" s="64"/>
      <c r="M576" s="64"/>
      <c r="N576" s="64"/>
      <c r="O576" s="64"/>
      <c r="P576" s="64"/>
      <c r="Q576" s="64"/>
      <c r="R576" s="64"/>
      <c r="S576" s="64"/>
      <c r="T576" s="64"/>
      <c r="U576" s="64"/>
      <c r="V576" s="64"/>
      <c r="W576" s="64"/>
      <c r="X576" s="64"/>
      <c r="Y576" s="64"/>
      <c r="Z576" s="64"/>
    </row>
    <row r="577">
      <c r="A577" s="64"/>
      <c r="B577" s="64"/>
      <c r="C577" s="64"/>
      <c r="D577" s="64"/>
      <c r="E577" s="64"/>
      <c r="F577" s="64"/>
      <c r="G577" s="64"/>
      <c r="H577" s="64"/>
      <c r="I577" s="64"/>
      <c r="J577" s="64"/>
      <c r="K577" s="64"/>
      <c r="L577" s="64"/>
      <c r="M577" s="64"/>
      <c r="N577" s="64"/>
      <c r="O577" s="64"/>
      <c r="P577" s="64"/>
      <c r="Q577" s="64"/>
      <c r="R577" s="64"/>
      <c r="S577" s="64"/>
      <c r="T577" s="64"/>
      <c r="U577" s="64"/>
      <c r="V577" s="64"/>
      <c r="W577" s="64"/>
      <c r="X577" s="64"/>
      <c r="Y577" s="64"/>
      <c r="Z577" s="64"/>
    </row>
    <row r="578">
      <c r="A578" s="64"/>
      <c r="B578" s="64"/>
      <c r="C578" s="64"/>
      <c r="D578" s="64"/>
      <c r="E578" s="64"/>
      <c r="F578" s="64"/>
      <c r="G578" s="64"/>
      <c r="H578" s="64"/>
      <c r="I578" s="64"/>
      <c r="J578" s="64"/>
      <c r="K578" s="64"/>
      <c r="L578" s="64"/>
      <c r="M578" s="64"/>
      <c r="N578" s="64"/>
      <c r="O578" s="64"/>
      <c r="P578" s="64"/>
      <c r="Q578" s="64"/>
      <c r="R578" s="64"/>
      <c r="S578" s="64"/>
      <c r="T578" s="64"/>
      <c r="U578" s="64"/>
      <c r="V578" s="64"/>
      <c r="W578" s="64"/>
      <c r="X578" s="64"/>
      <c r="Y578" s="64"/>
      <c r="Z578" s="64"/>
    </row>
    <row r="579">
      <c r="A579" s="64"/>
      <c r="B579" s="64"/>
      <c r="C579" s="64"/>
      <c r="D579" s="64"/>
      <c r="E579" s="64"/>
      <c r="F579" s="64"/>
      <c r="G579" s="64"/>
      <c r="H579" s="64"/>
      <c r="I579" s="64"/>
      <c r="J579" s="64"/>
      <c r="K579" s="64"/>
      <c r="L579" s="64"/>
      <c r="M579" s="64"/>
      <c r="N579" s="64"/>
      <c r="O579" s="64"/>
      <c r="P579" s="64"/>
      <c r="Q579" s="64"/>
      <c r="R579" s="64"/>
      <c r="S579" s="64"/>
      <c r="T579" s="64"/>
      <c r="U579" s="64"/>
      <c r="V579" s="64"/>
      <c r="W579" s="64"/>
      <c r="X579" s="64"/>
      <c r="Y579" s="64"/>
      <c r="Z579" s="64"/>
    </row>
    <row r="580">
      <c r="A580" s="64"/>
      <c r="B580" s="64"/>
      <c r="C580" s="64"/>
      <c r="D580" s="64"/>
      <c r="E580" s="64"/>
      <c r="F580" s="64"/>
      <c r="G580" s="64"/>
      <c r="H580" s="64"/>
      <c r="I580" s="64"/>
      <c r="J580" s="64"/>
      <c r="K580" s="64"/>
      <c r="L580" s="64"/>
      <c r="M580" s="64"/>
      <c r="N580" s="64"/>
      <c r="O580" s="64"/>
      <c r="P580" s="64"/>
      <c r="Q580" s="64"/>
      <c r="R580" s="64"/>
      <c r="S580" s="64"/>
      <c r="T580" s="64"/>
      <c r="U580" s="64"/>
      <c r="V580" s="64"/>
      <c r="W580" s="64"/>
      <c r="X580" s="64"/>
      <c r="Y580" s="64"/>
      <c r="Z580" s="64"/>
    </row>
    <row r="581">
      <c r="A581" s="64"/>
      <c r="B581" s="64"/>
      <c r="C581" s="64"/>
      <c r="D581" s="64"/>
      <c r="E581" s="64"/>
      <c r="F581" s="64"/>
      <c r="G581" s="64"/>
      <c r="H581" s="64"/>
      <c r="I581" s="64"/>
      <c r="J581" s="64"/>
      <c r="K581" s="64"/>
      <c r="L581" s="64"/>
      <c r="M581" s="64"/>
      <c r="N581" s="64"/>
      <c r="O581" s="64"/>
      <c r="P581" s="64"/>
      <c r="Q581" s="64"/>
      <c r="R581" s="64"/>
      <c r="S581" s="64"/>
      <c r="T581" s="64"/>
      <c r="U581" s="64"/>
      <c r="V581" s="64"/>
      <c r="W581" s="64"/>
      <c r="X581" s="64"/>
      <c r="Y581" s="64"/>
      <c r="Z581" s="64"/>
    </row>
    <row r="582">
      <c r="A582" s="64"/>
      <c r="B582" s="64"/>
      <c r="C582" s="64"/>
      <c r="D582" s="64"/>
      <c r="E582" s="64"/>
      <c r="F582" s="64"/>
      <c r="G582" s="64"/>
      <c r="H582" s="64"/>
      <c r="I582" s="64"/>
      <c r="J582" s="64"/>
      <c r="K582" s="64"/>
      <c r="L582" s="64"/>
      <c r="M582" s="64"/>
      <c r="N582" s="64"/>
      <c r="O582" s="64"/>
      <c r="P582" s="64"/>
      <c r="Q582" s="64"/>
      <c r="R582" s="64"/>
      <c r="S582" s="64"/>
      <c r="T582" s="64"/>
      <c r="U582" s="64"/>
      <c r="V582" s="64"/>
      <c r="W582" s="64"/>
      <c r="X582" s="64"/>
      <c r="Y582" s="64"/>
      <c r="Z582" s="64"/>
    </row>
    <row r="583">
      <c r="A583" s="64"/>
      <c r="B583" s="64"/>
      <c r="C583" s="64"/>
      <c r="D583" s="64"/>
      <c r="E583" s="64"/>
      <c r="F583" s="64"/>
      <c r="G583" s="64"/>
      <c r="H583" s="64"/>
      <c r="I583" s="64"/>
      <c r="J583" s="64"/>
      <c r="K583" s="64"/>
      <c r="L583" s="64"/>
      <c r="M583" s="64"/>
      <c r="N583" s="64"/>
      <c r="O583" s="64"/>
      <c r="P583" s="64"/>
      <c r="Q583" s="64"/>
      <c r="R583" s="64"/>
      <c r="S583" s="64"/>
      <c r="T583" s="64"/>
      <c r="U583" s="64"/>
      <c r="V583" s="64"/>
      <c r="W583" s="64"/>
      <c r="X583" s="64"/>
      <c r="Y583" s="64"/>
      <c r="Z583" s="64"/>
    </row>
    <row r="584">
      <c r="A584" s="64"/>
      <c r="B584" s="64"/>
      <c r="C584" s="64"/>
      <c r="D584" s="64"/>
      <c r="E584" s="64"/>
      <c r="F584" s="64"/>
      <c r="G584" s="64"/>
      <c r="H584" s="64"/>
      <c r="I584" s="64"/>
      <c r="J584" s="64"/>
      <c r="K584" s="64"/>
      <c r="L584" s="64"/>
      <c r="M584" s="64"/>
      <c r="N584" s="64"/>
      <c r="O584" s="64"/>
      <c r="P584" s="64"/>
      <c r="Q584" s="64"/>
      <c r="R584" s="64"/>
      <c r="S584" s="64"/>
      <c r="T584" s="64"/>
      <c r="U584" s="64"/>
      <c r="V584" s="64"/>
      <c r="W584" s="64"/>
      <c r="X584" s="64"/>
      <c r="Y584" s="64"/>
      <c r="Z584" s="64"/>
    </row>
    <row r="585">
      <c r="A585" s="64"/>
      <c r="B585" s="64"/>
      <c r="C585" s="64"/>
      <c r="D585" s="64"/>
      <c r="E585" s="64"/>
      <c r="F585" s="64"/>
      <c r="G585" s="64"/>
      <c r="H585" s="64"/>
      <c r="I585" s="64"/>
      <c r="J585" s="64"/>
      <c r="K585" s="64"/>
      <c r="L585" s="64"/>
      <c r="M585" s="64"/>
      <c r="N585" s="64"/>
      <c r="O585" s="64"/>
      <c r="P585" s="64"/>
      <c r="Q585" s="64"/>
      <c r="R585" s="64"/>
      <c r="S585" s="64"/>
      <c r="T585" s="64"/>
      <c r="U585" s="64"/>
      <c r="V585" s="64"/>
      <c r="W585" s="64"/>
      <c r="X585" s="64"/>
      <c r="Y585" s="64"/>
      <c r="Z585" s="64"/>
    </row>
    <row r="586">
      <c r="A586" s="64"/>
      <c r="B586" s="64"/>
      <c r="C586" s="64"/>
      <c r="D586" s="64"/>
      <c r="E586" s="64"/>
      <c r="F586" s="64"/>
      <c r="G586" s="64"/>
      <c r="H586" s="64"/>
      <c r="I586" s="64"/>
      <c r="J586" s="64"/>
      <c r="K586" s="64"/>
      <c r="L586" s="64"/>
      <c r="M586" s="64"/>
      <c r="N586" s="64"/>
      <c r="O586" s="64"/>
      <c r="P586" s="64"/>
      <c r="Q586" s="64"/>
      <c r="R586" s="64"/>
      <c r="S586" s="64"/>
      <c r="T586" s="64"/>
      <c r="U586" s="64"/>
      <c r="V586" s="64"/>
      <c r="W586" s="64"/>
      <c r="X586" s="64"/>
      <c r="Y586" s="64"/>
      <c r="Z586" s="64"/>
    </row>
    <row r="587">
      <c r="A587" s="64"/>
      <c r="B587" s="64"/>
      <c r="C587" s="64"/>
      <c r="D587" s="64"/>
      <c r="E587" s="64"/>
      <c r="F587" s="64"/>
      <c r="G587" s="64"/>
      <c r="H587" s="64"/>
      <c r="I587" s="64"/>
      <c r="J587" s="64"/>
      <c r="K587" s="64"/>
      <c r="L587" s="64"/>
      <c r="M587" s="64"/>
      <c r="N587" s="64"/>
      <c r="O587" s="64"/>
      <c r="P587" s="64"/>
      <c r="Q587" s="64"/>
      <c r="R587" s="64"/>
      <c r="S587" s="64"/>
      <c r="T587" s="64"/>
      <c r="U587" s="64"/>
      <c r="V587" s="64"/>
      <c r="W587" s="64"/>
      <c r="X587" s="64"/>
      <c r="Y587" s="64"/>
      <c r="Z587" s="64"/>
    </row>
    <row r="588">
      <c r="A588" s="64"/>
      <c r="B588" s="64"/>
      <c r="C588" s="64"/>
      <c r="D588" s="64"/>
      <c r="E588" s="64"/>
      <c r="F588" s="64"/>
      <c r="G588" s="64"/>
      <c r="H588" s="64"/>
      <c r="I588" s="64"/>
      <c r="J588" s="64"/>
      <c r="K588" s="64"/>
      <c r="L588" s="64"/>
      <c r="M588" s="64"/>
      <c r="N588" s="64"/>
      <c r="O588" s="64"/>
      <c r="P588" s="64"/>
      <c r="Q588" s="64"/>
      <c r="R588" s="64"/>
      <c r="S588" s="64"/>
      <c r="T588" s="64"/>
      <c r="U588" s="64"/>
      <c r="V588" s="64"/>
      <c r="W588" s="64"/>
      <c r="X588" s="64"/>
      <c r="Y588" s="64"/>
      <c r="Z588" s="64"/>
    </row>
    <row r="589">
      <c r="A589" s="64"/>
      <c r="B589" s="64"/>
      <c r="C589" s="64"/>
      <c r="D589" s="64"/>
      <c r="E589" s="64"/>
      <c r="F589" s="64"/>
      <c r="G589" s="64"/>
      <c r="H589" s="64"/>
      <c r="I589" s="64"/>
      <c r="J589" s="64"/>
      <c r="K589" s="64"/>
      <c r="L589" s="64"/>
      <c r="M589" s="64"/>
      <c r="N589" s="64"/>
      <c r="O589" s="64"/>
      <c r="P589" s="64"/>
      <c r="Q589" s="64"/>
      <c r="R589" s="64"/>
      <c r="S589" s="64"/>
      <c r="T589" s="64"/>
      <c r="U589" s="64"/>
      <c r="V589" s="64"/>
      <c r="W589" s="64"/>
      <c r="X589" s="64"/>
      <c r="Y589" s="64"/>
      <c r="Z589" s="64"/>
    </row>
    <row r="590">
      <c r="A590" s="64"/>
      <c r="B590" s="64"/>
      <c r="C590" s="64"/>
      <c r="D590" s="64"/>
      <c r="E590" s="64"/>
      <c r="F590" s="64"/>
      <c r="G590" s="64"/>
      <c r="H590" s="64"/>
      <c r="I590" s="64"/>
      <c r="J590" s="64"/>
      <c r="K590" s="64"/>
      <c r="L590" s="64"/>
      <c r="M590" s="64"/>
      <c r="N590" s="64"/>
      <c r="O590" s="64"/>
      <c r="P590" s="64"/>
      <c r="Q590" s="64"/>
      <c r="R590" s="64"/>
      <c r="S590" s="64"/>
      <c r="T590" s="64"/>
      <c r="U590" s="64"/>
      <c r="V590" s="64"/>
      <c r="W590" s="64"/>
      <c r="X590" s="64"/>
      <c r="Y590" s="64"/>
      <c r="Z590" s="64"/>
    </row>
    <row r="591">
      <c r="A591" s="64"/>
      <c r="B591" s="64"/>
      <c r="C591" s="64"/>
      <c r="D591" s="64"/>
      <c r="E591" s="64"/>
      <c r="F591" s="64"/>
      <c r="G591" s="64"/>
      <c r="H591" s="64"/>
      <c r="I591" s="64"/>
      <c r="J591" s="64"/>
      <c r="K591" s="64"/>
      <c r="L591" s="64"/>
      <c r="M591" s="64"/>
      <c r="N591" s="64"/>
      <c r="O591" s="64"/>
      <c r="P591" s="64"/>
      <c r="Q591" s="64"/>
      <c r="R591" s="64"/>
      <c r="S591" s="64"/>
      <c r="T591" s="64"/>
      <c r="U591" s="64"/>
      <c r="V591" s="64"/>
      <c r="W591" s="64"/>
      <c r="X591" s="64"/>
      <c r="Y591" s="64"/>
      <c r="Z591" s="64"/>
    </row>
    <row r="592">
      <c r="A592" s="64"/>
      <c r="B592" s="64"/>
      <c r="C592" s="64"/>
      <c r="D592" s="64"/>
      <c r="E592" s="64"/>
      <c r="F592" s="64"/>
      <c r="G592" s="64"/>
      <c r="H592" s="64"/>
      <c r="I592" s="64"/>
      <c r="J592" s="64"/>
      <c r="K592" s="64"/>
      <c r="L592" s="64"/>
      <c r="M592" s="64"/>
      <c r="N592" s="64"/>
      <c r="O592" s="64"/>
      <c r="P592" s="64"/>
      <c r="Q592" s="64"/>
      <c r="R592" s="64"/>
      <c r="S592" s="64"/>
      <c r="T592" s="64"/>
      <c r="U592" s="64"/>
      <c r="V592" s="64"/>
      <c r="W592" s="64"/>
      <c r="X592" s="64"/>
      <c r="Y592" s="64"/>
      <c r="Z592" s="64"/>
    </row>
    <row r="593">
      <c r="A593" s="64"/>
      <c r="B593" s="64"/>
      <c r="C593" s="64"/>
      <c r="D593" s="64"/>
      <c r="E593" s="64"/>
      <c r="F593" s="64"/>
      <c r="G593" s="64"/>
      <c r="H593" s="64"/>
      <c r="I593" s="64"/>
      <c r="J593" s="64"/>
      <c r="K593" s="64"/>
      <c r="L593" s="64"/>
      <c r="M593" s="64"/>
      <c r="N593" s="64"/>
      <c r="O593" s="64"/>
      <c r="P593" s="64"/>
      <c r="Q593" s="64"/>
      <c r="R593" s="64"/>
      <c r="S593" s="64"/>
      <c r="T593" s="64"/>
      <c r="U593" s="64"/>
      <c r="V593" s="64"/>
      <c r="W593" s="64"/>
      <c r="X593" s="64"/>
      <c r="Y593" s="64"/>
      <c r="Z593" s="64"/>
    </row>
    <row r="594">
      <c r="A594" s="64"/>
      <c r="B594" s="64"/>
      <c r="C594" s="64"/>
      <c r="D594" s="64"/>
      <c r="E594" s="64"/>
      <c r="F594" s="64"/>
      <c r="G594" s="64"/>
      <c r="H594" s="64"/>
      <c r="I594" s="64"/>
      <c r="J594" s="64"/>
      <c r="K594" s="64"/>
      <c r="L594" s="64"/>
      <c r="M594" s="64"/>
      <c r="N594" s="64"/>
      <c r="O594" s="64"/>
      <c r="P594" s="64"/>
      <c r="Q594" s="64"/>
      <c r="R594" s="64"/>
      <c r="S594" s="64"/>
      <c r="T594" s="64"/>
      <c r="U594" s="64"/>
      <c r="V594" s="64"/>
      <c r="W594" s="64"/>
      <c r="X594" s="64"/>
      <c r="Y594" s="64"/>
      <c r="Z594" s="64"/>
    </row>
    <row r="595">
      <c r="A595" s="64"/>
      <c r="B595" s="64"/>
      <c r="C595" s="64"/>
      <c r="D595" s="64"/>
      <c r="E595" s="64"/>
      <c r="F595" s="64"/>
      <c r="G595" s="64"/>
      <c r="H595" s="64"/>
      <c r="I595" s="64"/>
      <c r="J595" s="64"/>
      <c r="K595" s="64"/>
      <c r="L595" s="64"/>
      <c r="M595" s="64"/>
      <c r="N595" s="64"/>
      <c r="O595" s="64"/>
      <c r="P595" s="64"/>
      <c r="Q595" s="64"/>
      <c r="R595" s="64"/>
      <c r="S595" s="64"/>
      <c r="T595" s="64"/>
      <c r="U595" s="64"/>
      <c r="V595" s="64"/>
      <c r="W595" s="64"/>
      <c r="X595" s="64"/>
      <c r="Y595" s="64"/>
      <c r="Z595" s="64"/>
    </row>
    <row r="596">
      <c r="A596" s="64"/>
      <c r="B596" s="64"/>
      <c r="C596" s="64"/>
      <c r="D596" s="64"/>
      <c r="E596" s="64"/>
      <c r="F596" s="64"/>
      <c r="G596" s="64"/>
      <c r="H596" s="64"/>
      <c r="I596" s="64"/>
      <c r="J596" s="64"/>
      <c r="K596" s="64"/>
      <c r="L596" s="64"/>
      <c r="M596" s="64"/>
      <c r="N596" s="64"/>
      <c r="O596" s="64"/>
      <c r="P596" s="64"/>
      <c r="Q596" s="64"/>
      <c r="R596" s="64"/>
      <c r="S596" s="64"/>
      <c r="T596" s="64"/>
      <c r="U596" s="64"/>
      <c r="V596" s="64"/>
      <c r="W596" s="64"/>
      <c r="X596" s="64"/>
      <c r="Y596" s="64"/>
      <c r="Z596" s="64"/>
    </row>
    <row r="597">
      <c r="A597" s="64"/>
      <c r="B597" s="64"/>
      <c r="C597" s="64"/>
      <c r="D597" s="64"/>
      <c r="E597" s="64"/>
      <c r="F597" s="64"/>
      <c r="G597" s="64"/>
      <c r="H597" s="64"/>
      <c r="I597" s="64"/>
      <c r="J597" s="64"/>
      <c r="K597" s="64"/>
      <c r="L597" s="64"/>
      <c r="M597" s="64"/>
      <c r="N597" s="64"/>
      <c r="O597" s="64"/>
      <c r="P597" s="64"/>
      <c r="Q597" s="64"/>
      <c r="R597" s="64"/>
      <c r="S597" s="64"/>
      <c r="T597" s="64"/>
      <c r="U597" s="64"/>
      <c r="V597" s="64"/>
      <c r="W597" s="64"/>
      <c r="X597" s="64"/>
      <c r="Y597" s="64"/>
      <c r="Z597" s="64"/>
    </row>
    <row r="598">
      <c r="A598" s="64"/>
      <c r="B598" s="64"/>
      <c r="C598" s="64"/>
      <c r="D598" s="64"/>
      <c r="E598" s="64"/>
      <c r="F598" s="64"/>
      <c r="G598" s="64"/>
      <c r="H598" s="64"/>
      <c r="I598" s="64"/>
      <c r="J598" s="64"/>
      <c r="K598" s="64"/>
      <c r="L598" s="64"/>
      <c r="M598" s="64"/>
      <c r="N598" s="64"/>
      <c r="O598" s="64"/>
      <c r="P598" s="64"/>
      <c r="Q598" s="64"/>
      <c r="R598" s="64"/>
      <c r="S598" s="64"/>
      <c r="T598" s="64"/>
      <c r="U598" s="64"/>
      <c r="V598" s="64"/>
      <c r="W598" s="64"/>
      <c r="X598" s="64"/>
      <c r="Y598" s="64"/>
      <c r="Z598" s="64"/>
    </row>
    <row r="599">
      <c r="A599" s="64"/>
      <c r="B599" s="64"/>
      <c r="C599" s="64"/>
      <c r="D599" s="64"/>
      <c r="E599" s="64"/>
      <c r="F599" s="64"/>
      <c r="G599" s="64"/>
      <c r="H599" s="64"/>
      <c r="I599" s="64"/>
      <c r="J599" s="64"/>
      <c r="K599" s="64"/>
      <c r="L599" s="64"/>
      <c r="M599" s="64"/>
      <c r="N599" s="64"/>
      <c r="O599" s="64"/>
      <c r="P599" s="64"/>
      <c r="Q599" s="64"/>
      <c r="R599" s="64"/>
      <c r="S599" s="64"/>
      <c r="T599" s="64"/>
      <c r="U599" s="64"/>
      <c r="V599" s="64"/>
      <c r="W599" s="64"/>
      <c r="X599" s="64"/>
      <c r="Y599" s="64"/>
      <c r="Z599" s="64"/>
    </row>
    <row r="600">
      <c r="A600" s="64"/>
      <c r="B600" s="64"/>
      <c r="C600" s="64"/>
      <c r="D600" s="64"/>
      <c r="E600" s="64"/>
      <c r="F600" s="64"/>
      <c r="G600" s="64"/>
      <c r="H600" s="64"/>
      <c r="I600" s="64"/>
      <c r="J600" s="64"/>
      <c r="K600" s="64"/>
      <c r="L600" s="64"/>
      <c r="M600" s="64"/>
      <c r="N600" s="64"/>
      <c r="O600" s="64"/>
      <c r="P600" s="64"/>
      <c r="Q600" s="64"/>
      <c r="R600" s="64"/>
      <c r="S600" s="64"/>
      <c r="T600" s="64"/>
      <c r="U600" s="64"/>
      <c r="V600" s="64"/>
      <c r="W600" s="64"/>
      <c r="X600" s="64"/>
      <c r="Y600" s="64"/>
      <c r="Z600" s="64"/>
    </row>
    <row r="601">
      <c r="A601" s="64"/>
      <c r="B601" s="64"/>
      <c r="C601" s="64"/>
      <c r="D601" s="64"/>
      <c r="E601" s="64"/>
      <c r="F601" s="64"/>
      <c r="G601" s="64"/>
      <c r="H601" s="64"/>
      <c r="I601" s="64"/>
      <c r="J601" s="64"/>
      <c r="K601" s="64"/>
      <c r="L601" s="64"/>
      <c r="M601" s="64"/>
      <c r="N601" s="64"/>
      <c r="O601" s="64"/>
      <c r="P601" s="64"/>
      <c r="Q601" s="64"/>
      <c r="R601" s="64"/>
      <c r="S601" s="64"/>
      <c r="T601" s="64"/>
      <c r="U601" s="64"/>
      <c r="V601" s="64"/>
      <c r="W601" s="64"/>
      <c r="X601" s="64"/>
      <c r="Y601" s="64"/>
      <c r="Z601" s="64"/>
    </row>
    <row r="602">
      <c r="A602" s="64"/>
      <c r="B602" s="64"/>
      <c r="C602" s="64"/>
      <c r="D602" s="64"/>
      <c r="E602" s="64"/>
      <c r="F602" s="64"/>
      <c r="G602" s="64"/>
      <c r="H602" s="64"/>
      <c r="I602" s="64"/>
      <c r="J602" s="64"/>
      <c r="K602" s="64"/>
      <c r="L602" s="64"/>
      <c r="M602" s="64"/>
      <c r="N602" s="64"/>
      <c r="O602" s="64"/>
      <c r="P602" s="64"/>
      <c r="Q602" s="64"/>
      <c r="R602" s="64"/>
      <c r="S602" s="64"/>
      <c r="T602" s="64"/>
      <c r="U602" s="64"/>
      <c r="V602" s="64"/>
      <c r="W602" s="64"/>
      <c r="X602" s="64"/>
      <c r="Y602" s="64"/>
      <c r="Z602" s="64"/>
    </row>
    <row r="603">
      <c r="A603" s="64"/>
      <c r="B603" s="64"/>
      <c r="C603" s="64"/>
      <c r="D603" s="64"/>
      <c r="E603" s="64"/>
      <c r="F603" s="64"/>
      <c r="G603" s="64"/>
      <c r="H603" s="64"/>
      <c r="I603" s="64"/>
      <c r="J603" s="64"/>
      <c r="K603" s="64"/>
      <c r="L603" s="64"/>
      <c r="M603" s="64"/>
      <c r="N603" s="64"/>
      <c r="O603" s="64"/>
      <c r="P603" s="64"/>
      <c r="Q603" s="64"/>
      <c r="R603" s="64"/>
      <c r="S603" s="64"/>
      <c r="T603" s="64"/>
      <c r="U603" s="64"/>
      <c r="V603" s="64"/>
      <c r="W603" s="64"/>
      <c r="X603" s="64"/>
      <c r="Y603" s="64"/>
      <c r="Z603" s="64"/>
    </row>
    <row r="604">
      <c r="A604" s="64"/>
      <c r="B604" s="64"/>
      <c r="C604" s="64"/>
      <c r="D604" s="64"/>
      <c r="E604" s="64"/>
      <c r="F604" s="64"/>
      <c r="G604" s="64"/>
      <c r="H604" s="64"/>
      <c r="I604" s="64"/>
      <c r="J604" s="64"/>
      <c r="K604" s="64"/>
      <c r="L604" s="64"/>
      <c r="M604" s="64"/>
      <c r="N604" s="64"/>
      <c r="O604" s="64"/>
      <c r="P604" s="64"/>
      <c r="Q604" s="64"/>
      <c r="R604" s="64"/>
      <c r="S604" s="64"/>
      <c r="T604" s="64"/>
      <c r="U604" s="64"/>
      <c r="V604" s="64"/>
      <c r="W604" s="64"/>
      <c r="X604" s="64"/>
      <c r="Y604" s="64"/>
      <c r="Z604" s="64"/>
    </row>
    <row r="605">
      <c r="A605" s="64"/>
      <c r="B605" s="64"/>
      <c r="C605" s="64"/>
      <c r="D605" s="64"/>
      <c r="E605" s="64"/>
      <c r="F605" s="64"/>
      <c r="G605" s="64"/>
      <c r="H605" s="64"/>
      <c r="I605" s="64"/>
      <c r="J605" s="64"/>
      <c r="K605" s="64"/>
      <c r="L605" s="64"/>
      <c r="M605" s="64"/>
      <c r="N605" s="64"/>
      <c r="O605" s="64"/>
      <c r="P605" s="64"/>
      <c r="Q605" s="64"/>
      <c r="R605" s="64"/>
      <c r="S605" s="64"/>
      <c r="T605" s="64"/>
      <c r="U605" s="64"/>
      <c r="V605" s="64"/>
      <c r="W605" s="64"/>
      <c r="X605" s="64"/>
      <c r="Y605" s="64"/>
      <c r="Z605" s="64"/>
    </row>
    <row r="606">
      <c r="A606" s="64"/>
      <c r="B606" s="64"/>
      <c r="C606" s="64"/>
      <c r="D606" s="64"/>
      <c r="E606" s="64"/>
      <c r="F606" s="64"/>
      <c r="G606" s="64"/>
      <c r="H606" s="64"/>
      <c r="I606" s="64"/>
      <c r="J606" s="64"/>
      <c r="K606" s="64"/>
      <c r="L606" s="64"/>
      <c r="M606" s="64"/>
      <c r="N606" s="64"/>
      <c r="O606" s="64"/>
      <c r="P606" s="64"/>
      <c r="Q606" s="64"/>
      <c r="R606" s="64"/>
      <c r="S606" s="64"/>
      <c r="T606" s="64"/>
      <c r="U606" s="64"/>
      <c r="V606" s="64"/>
      <c r="W606" s="64"/>
      <c r="X606" s="64"/>
      <c r="Y606" s="64"/>
      <c r="Z606" s="64"/>
    </row>
    <row r="607">
      <c r="A607" s="64"/>
      <c r="B607" s="64"/>
      <c r="C607" s="64"/>
      <c r="D607" s="64"/>
      <c r="E607" s="64"/>
      <c r="F607" s="64"/>
      <c r="G607" s="64"/>
      <c r="H607" s="64"/>
      <c r="I607" s="64"/>
      <c r="J607" s="64"/>
      <c r="K607" s="64"/>
      <c r="L607" s="64"/>
      <c r="M607" s="64"/>
      <c r="N607" s="64"/>
      <c r="O607" s="64"/>
      <c r="P607" s="64"/>
      <c r="Q607" s="64"/>
      <c r="R607" s="64"/>
      <c r="S607" s="64"/>
      <c r="T607" s="64"/>
      <c r="U607" s="64"/>
      <c r="V607" s="64"/>
      <c r="W607" s="64"/>
      <c r="X607" s="64"/>
      <c r="Y607" s="64"/>
      <c r="Z607" s="64"/>
    </row>
    <row r="608">
      <c r="A608" s="64"/>
      <c r="B608" s="64"/>
      <c r="C608" s="64"/>
      <c r="D608" s="64"/>
      <c r="E608" s="64"/>
      <c r="F608" s="64"/>
      <c r="G608" s="64"/>
      <c r="H608" s="64"/>
      <c r="I608" s="64"/>
      <c r="J608" s="64"/>
      <c r="K608" s="64"/>
      <c r="L608" s="64"/>
      <c r="M608" s="64"/>
      <c r="N608" s="64"/>
      <c r="O608" s="64"/>
      <c r="P608" s="64"/>
      <c r="Q608" s="64"/>
      <c r="R608" s="64"/>
      <c r="S608" s="64"/>
      <c r="T608" s="64"/>
      <c r="U608" s="64"/>
      <c r="V608" s="64"/>
      <c r="W608" s="64"/>
      <c r="X608" s="64"/>
      <c r="Y608" s="64"/>
      <c r="Z608" s="64"/>
    </row>
    <row r="609">
      <c r="A609" s="64"/>
      <c r="B609" s="64"/>
      <c r="C609" s="64"/>
      <c r="D609" s="64"/>
      <c r="E609" s="64"/>
      <c r="F609" s="64"/>
      <c r="G609" s="64"/>
      <c r="H609" s="64"/>
      <c r="I609" s="64"/>
      <c r="J609" s="64"/>
      <c r="K609" s="64"/>
      <c r="L609" s="64"/>
      <c r="M609" s="64"/>
      <c r="N609" s="64"/>
      <c r="O609" s="64"/>
      <c r="P609" s="64"/>
      <c r="Q609" s="64"/>
      <c r="R609" s="64"/>
      <c r="S609" s="64"/>
      <c r="T609" s="64"/>
      <c r="U609" s="64"/>
      <c r="V609" s="64"/>
      <c r="W609" s="64"/>
      <c r="X609" s="64"/>
      <c r="Y609" s="64"/>
      <c r="Z609" s="64"/>
    </row>
    <row r="610">
      <c r="A610" s="64"/>
      <c r="B610" s="64"/>
      <c r="C610" s="64"/>
      <c r="D610" s="64"/>
      <c r="E610" s="64"/>
      <c r="F610" s="64"/>
      <c r="G610" s="64"/>
      <c r="H610" s="64"/>
      <c r="I610" s="64"/>
      <c r="J610" s="64"/>
      <c r="K610" s="64"/>
      <c r="L610" s="64"/>
      <c r="M610" s="64"/>
      <c r="N610" s="64"/>
      <c r="O610" s="64"/>
      <c r="P610" s="64"/>
      <c r="Q610" s="64"/>
      <c r="R610" s="64"/>
      <c r="S610" s="64"/>
      <c r="T610" s="64"/>
      <c r="U610" s="64"/>
      <c r="V610" s="64"/>
      <c r="W610" s="64"/>
      <c r="X610" s="64"/>
      <c r="Y610" s="64"/>
      <c r="Z610" s="64"/>
    </row>
    <row r="611">
      <c r="A611" s="64"/>
      <c r="B611" s="64"/>
      <c r="C611" s="64"/>
      <c r="D611" s="64"/>
      <c r="E611" s="64"/>
      <c r="F611" s="64"/>
      <c r="G611" s="64"/>
      <c r="H611" s="64"/>
      <c r="I611" s="64"/>
      <c r="J611" s="64"/>
      <c r="K611" s="64"/>
      <c r="L611" s="64"/>
      <c r="M611" s="64"/>
      <c r="N611" s="64"/>
      <c r="O611" s="64"/>
      <c r="P611" s="64"/>
      <c r="Q611" s="64"/>
      <c r="R611" s="64"/>
      <c r="S611" s="64"/>
      <c r="T611" s="64"/>
      <c r="U611" s="64"/>
      <c r="V611" s="64"/>
      <c r="W611" s="64"/>
      <c r="X611" s="64"/>
      <c r="Y611" s="64"/>
      <c r="Z611" s="64"/>
    </row>
    <row r="612">
      <c r="A612" s="64"/>
      <c r="B612" s="64"/>
      <c r="C612" s="64"/>
      <c r="D612" s="64"/>
      <c r="E612" s="64"/>
      <c r="F612" s="64"/>
      <c r="G612" s="64"/>
      <c r="H612" s="64"/>
      <c r="I612" s="64"/>
      <c r="J612" s="64"/>
      <c r="K612" s="64"/>
      <c r="L612" s="64"/>
      <c r="M612" s="64"/>
      <c r="N612" s="64"/>
      <c r="O612" s="64"/>
      <c r="P612" s="64"/>
      <c r="Q612" s="64"/>
      <c r="R612" s="64"/>
      <c r="S612" s="64"/>
      <c r="T612" s="64"/>
      <c r="U612" s="64"/>
      <c r="V612" s="64"/>
      <c r="W612" s="64"/>
      <c r="X612" s="64"/>
      <c r="Y612" s="64"/>
      <c r="Z612" s="64"/>
    </row>
    <row r="613">
      <c r="A613" s="64"/>
      <c r="B613" s="64"/>
      <c r="C613" s="64"/>
      <c r="D613" s="64"/>
      <c r="E613" s="64"/>
      <c r="F613" s="64"/>
      <c r="G613" s="64"/>
      <c r="H613" s="64"/>
      <c r="I613" s="64"/>
      <c r="J613" s="64"/>
      <c r="K613" s="64"/>
      <c r="L613" s="64"/>
      <c r="M613" s="64"/>
      <c r="N613" s="64"/>
      <c r="O613" s="64"/>
      <c r="P613" s="64"/>
      <c r="Q613" s="64"/>
      <c r="R613" s="64"/>
      <c r="S613" s="64"/>
      <c r="T613" s="64"/>
      <c r="U613" s="64"/>
      <c r="V613" s="64"/>
      <c r="W613" s="64"/>
      <c r="X613" s="64"/>
      <c r="Y613" s="64"/>
      <c r="Z613" s="64"/>
    </row>
    <row r="614">
      <c r="A614" s="64"/>
      <c r="B614" s="64"/>
      <c r="C614" s="64"/>
      <c r="D614" s="64"/>
      <c r="E614" s="64"/>
      <c r="F614" s="64"/>
      <c r="G614" s="64"/>
      <c r="H614" s="64"/>
      <c r="I614" s="64"/>
      <c r="J614" s="64"/>
      <c r="K614" s="64"/>
      <c r="L614" s="64"/>
      <c r="M614" s="64"/>
      <c r="N614" s="64"/>
      <c r="O614" s="64"/>
      <c r="P614" s="64"/>
      <c r="Q614" s="64"/>
      <c r="R614" s="64"/>
      <c r="S614" s="64"/>
      <c r="T614" s="64"/>
      <c r="U614" s="64"/>
      <c r="V614" s="64"/>
      <c r="W614" s="64"/>
      <c r="X614" s="64"/>
      <c r="Y614" s="64"/>
      <c r="Z614" s="64"/>
    </row>
    <row r="615">
      <c r="A615" s="64"/>
      <c r="B615" s="64"/>
      <c r="C615" s="64"/>
      <c r="D615" s="64"/>
      <c r="E615" s="64"/>
      <c r="F615" s="64"/>
      <c r="G615" s="64"/>
      <c r="H615" s="64"/>
      <c r="I615" s="64"/>
      <c r="J615" s="64"/>
      <c r="K615" s="64"/>
      <c r="L615" s="64"/>
      <c r="M615" s="64"/>
      <c r="N615" s="64"/>
      <c r="O615" s="64"/>
      <c r="P615" s="64"/>
      <c r="Q615" s="64"/>
      <c r="R615" s="64"/>
      <c r="S615" s="64"/>
      <c r="T615" s="64"/>
      <c r="U615" s="64"/>
      <c r="V615" s="64"/>
      <c r="W615" s="64"/>
      <c r="X615" s="64"/>
      <c r="Y615" s="64"/>
      <c r="Z615" s="64"/>
    </row>
    <row r="616">
      <c r="A616" s="64"/>
      <c r="B616" s="64"/>
      <c r="C616" s="64"/>
      <c r="D616" s="64"/>
      <c r="E616" s="64"/>
      <c r="F616" s="64"/>
      <c r="G616" s="64"/>
      <c r="H616" s="64"/>
      <c r="I616" s="64"/>
      <c r="J616" s="64"/>
      <c r="K616" s="64"/>
      <c r="L616" s="64"/>
      <c r="M616" s="64"/>
      <c r="N616" s="64"/>
      <c r="O616" s="64"/>
      <c r="P616" s="64"/>
      <c r="Q616" s="64"/>
      <c r="R616" s="64"/>
      <c r="S616" s="64"/>
      <c r="T616" s="64"/>
      <c r="U616" s="64"/>
      <c r="V616" s="64"/>
      <c r="W616" s="64"/>
      <c r="X616" s="64"/>
      <c r="Y616" s="64"/>
      <c r="Z616" s="64"/>
    </row>
    <row r="617">
      <c r="A617" s="64"/>
      <c r="B617" s="64"/>
      <c r="C617" s="64"/>
      <c r="D617" s="64"/>
      <c r="E617" s="64"/>
      <c r="F617" s="64"/>
      <c r="G617" s="64"/>
      <c r="H617" s="64"/>
      <c r="I617" s="64"/>
      <c r="J617" s="64"/>
      <c r="K617" s="64"/>
      <c r="L617" s="64"/>
      <c r="M617" s="64"/>
      <c r="N617" s="64"/>
      <c r="O617" s="64"/>
      <c r="P617" s="64"/>
      <c r="Q617" s="64"/>
      <c r="R617" s="64"/>
      <c r="S617" s="64"/>
      <c r="T617" s="64"/>
      <c r="U617" s="64"/>
      <c r="V617" s="64"/>
      <c r="W617" s="64"/>
      <c r="X617" s="64"/>
      <c r="Y617" s="64"/>
      <c r="Z617" s="64"/>
    </row>
    <row r="618">
      <c r="A618" s="64"/>
      <c r="B618" s="64"/>
      <c r="C618" s="64"/>
      <c r="D618" s="64"/>
      <c r="E618" s="64"/>
      <c r="F618" s="64"/>
      <c r="G618" s="64"/>
      <c r="H618" s="64"/>
      <c r="I618" s="64"/>
      <c r="J618" s="64"/>
      <c r="K618" s="64"/>
      <c r="L618" s="64"/>
      <c r="M618" s="64"/>
      <c r="N618" s="64"/>
      <c r="O618" s="64"/>
      <c r="P618" s="64"/>
      <c r="Q618" s="64"/>
      <c r="R618" s="64"/>
      <c r="S618" s="64"/>
      <c r="T618" s="64"/>
      <c r="U618" s="64"/>
      <c r="V618" s="64"/>
      <c r="W618" s="64"/>
      <c r="X618" s="64"/>
      <c r="Y618" s="64"/>
      <c r="Z618" s="64"/>
    </row>
    <row r="619">
      <c r="A619" s="64"/>
      <c r="B619" s="64"/>
      <c r="C619" s="64"/>
      <c r="D619" s="64"/>
      <c r="E619" s="64"/>
      <c r="F619" s="64"/>
      <c r="G619" s="64"/>
      <c r="H619" s="64"/>
      <c r="I619" s="64"/>
      <c r="J619" s="64"/>
      <c r="K619" s="64"/>
      <c r="L619" s="64"/>
      <c r="M619" s="64"/>
      <c r="N619" s="64"/>
      <c r="O619" s="64"/>
      <c r="P619" s="64"/>
      <c r="Q619" s="64"/>
      <c r="R619" s="64"/>
      <c r="S619" s="64"/>
      <c r="T619" s="64"/>
      <c r="U619" s="64"/>
      <c r="V619" s="64"/>
      <c r="W619" s="64"/>
      <c r="X619" s="64"/>
      <c r="Y619" s="64"/>
      <c r="Z619" s="64"/>
    </row>
    <row r="620">
      <c r="A620" s="64"/>
      <c r="B620" s="64"/>
      <c r="C620" s="64"/>
      <c r="D620" s="64"/>
      <c r="E620" s="64"/>
      <c r="F620" s="64"/>
      <c r="G620" s="64"/>
      <c r="H620" s="64"/>
      <c r="I620" s="64"/>
      <c r="J620" s="64"/>
      <c r="K620" s="64"/>
      <c r="L620" s="64"/>
      <c r="M620" s="64"/>
      <c r="N620" s="64"/>
      <c r="O620" s="64"/>
      <c r="P620" s="64"/>
      <c r="Q620" s="64"/>
      <c r="R620" s="64"/>
      <c r="S620" s="64"/>
      <c r="T620" s="64"/>
      <c r="U620" s="64"/>
      <c r="V620" s="64"/>
      <c r="W620" s="64"/>
      <c r="X620" s="64"/>
      <c r="Y620" s="64"/>
      <c r="Z620" s="64"/>
    </row>
    <row r="621">
      <c r="A621" s="64"/>
      <c r="B621" s="64"/>
      <c r="C621" s="64"/>
      <c r="D621" s="64"/>
      <c r="E621" s="64"/>
      <c r="F621" s="64"/>
      <c r="G621" s="64"/>
      <c r="H621" s="64"/>
      <c r="I621" s="64"/>
      <c r="J621" s="64"/>
      <c r="K621" s="64"/>
      <c r="L621" s="64"/>
      <c r="M621" s="64"/>
      <c r="N621" s="64"/>
      <c r="O621" s="64"/>
      <c r="P621" s="64"/>
      <c r="Q621" s="64"/>
      <c r="R621" s="64"/>
      <c r="S621" s="64"/>
      <c r="T621" s="64"/>
      <c r="U621" s="64"/>
      <c r="V621" s="64"/>
      <c r="W621" s="64"/>
      <c r="X621" s="64"/>
      <c r="Y621" s="64"/>
      <c r="Z621" s="64"/>
    </row>
    <row r="622">
      <c r="A622" s="64"/>
      <c r="B622" s="64"/>
      <c r="C622" s="64"/>
      <c r="D622" s="64"/>
      <c r="E622" s="64"/>
      <c r="F622" s="64"/>
      <c r="G622" s="64"/>
      <c r="H622" s="64"/>
      <c r="I622" s="64"/>
      <c r="J622" s="64"/>
      <c r="K622" s="64"/>
      <c r="L622" s="64"/>
      <c r="M622" s="64"/>
      <c r="N622" s="64"/>
      <c r="O622" s="64"/>
      <c r="P622" s="64"/>
      <c r="Q622" s="64"/>
      <c r="R622" s="64"/>
      <c r="S622" s="64"/>
      <c r="T622" s="64"/>
      <c r="U622" s="64"/>
      <c r="V622" s="64"/>
      <c r="W622" s="64"/>
      <c r="X622" s="64"/>
      <c r="Y622" s="64"/>
      <c r="Z622" s="64"/>
    </row>
    <row r="623">
      <c r="A623" s="64"/>
      <c r="B623" s="64"/>
      <c r="C623" s="64"/>
      <c r="D623" s="64"/>
      <c r="E623" s="64"/>
      <c r="F623" s="64"/>
      <c r="G623" s="64"/>
      <c r="H623" s="64"/>
      <c r="I623" s="64"/>
      <c r="J623" s="64"/>
      <c r="K623" s="64"/>
      <c r="L623" s="64"/>
      <c r="M623" s="64"/>
      <c r="N623" s="64"/>
      <c r="O623" s="64"/>
      <c r="P623" s="64"/>
      <c r="Q623" s="64"/>
      <c r="R623" s="64"/>
      <c r="S623" s="64"/>
      <c r="T623" s="64"/>
      <c r="U623" s="64"/>
      <c r="V623" s="64"/>
      <c r="W623" s="64"/>
      <c r="X623" s="64"/>
      <c r="Y623" s="64"/>
      <c r="Z623" s="64"/>
    </row>
    <row r="624">
      <c r="A624" s="64"/>
      <c r="B624" s="64"/>
      <c r="C624" s="64"/>
      <c r="D624" s="64"/>
      <c r="E624" s="64"/>
      <c r="F624" s="64"/>
      <c r="G624" s="64"/>
      <c r="H624" s="64"/>
      <c r="I624" s="64"/>
      <c r="J624" s="64"/>
      <c r="K624" s="64"/>
      <c r="L624" s="64"/>
      <c r="M624" s="64"/>
      <c r="N624" s="64"/>
      <c r="O624" s="64"/>
      <c r="P624" s="64"/>
      <c r="Q624" s="64"/>
      <c r="R624" s="64"/>
      <c r="S624" s="64"/>
      <c r="T624" s="64"/>
      <c r="U624" s="64"/>
      <c r="V624" s="64"/>
      <c r="W624" s="64"/>
      <c r="X624" s="64"/>
      <c r="Y624" s="64"/>
      <c r="Z624" s="64"/>
    </row>
    <row r="625">
      <c r="A625" s="64"/>
      <c r="B625" s="64"/>
      <c r="C625" s="64"/>
      <c r="D625" s="64"/>
      <c r="E625" s="64"/>
      <c r="F625" s="64"/>
      <c r="G625" s="64"/>
      <c r="H625" s="64"/>
      <c r="I625" s="64"/>
      <c r="J625" s="64"/>
      <c r="K625" s="64"/>
      <c r="L625" s="64"/>
      <c r="M625" s="64"/>
      <c r="N625" s="64"/>
      <c r="O625" s="64"/>
      <c r="P625" s="64"/>
      <c r="Q625" s="64"/>
      <c r="R625" s="64"/>
      <c r="S625" s="64"/>
      <c r="T625" s="64"/>
      <c r="U625" s="64"/>
      <c r="V625" s="64"/>
      <c r="W625" s="64"/>
      <c r="X625" s="64"/>
      <c r="Y625" s="64"/>
      <c r="Z625" s="64"/>
    </row>
    <row r="626">
      <c r="A626" s="64"/>
      <c r="B626" s="64"/>
      <c r="C626" s="64"/>
      <c r="D626" s="64"/>
      <c r="E626" s="64"/>
      <c r="F626" s="64"/>
      <c r="G626" s="64"/>
      <c r="H626" s="64"/>
      <c r="I626" s="64"/>
      <c r="J626" s="64"/>
      <c r="K626" s="64"/>
      <c r="L626" s="64"/>
      <c r="M626" s="64"/>
      <c r="N626" s="64"/>
      <c r="O626" s="64"/>
      <c r="P626" s="64"/>
      <c r="Q626" s="64"/>
      <c r="R626" s="64"/>
      <c r="S626" s="64"/>
      <c r="T626" s="64"/>
      <c r="U626" s="64"/>
      <c r="V626" s="64"/>
      <c r="W626" s="64"/>
      <c r="X626" s="64"/>
      <c r="Y626" s="64"/>
      <c r="Z626" s="64"/>
    </row>
    <row r="627">
      <c r="A627" s="64"/>
      <c r="B627" s="64"/>
      <c r="C627" s="64"/>
      <c r="D627" s="64"/>
      <c r="E627" s="64"/>
      <c r="F627" s="64"/>
      <c r="G627" s="64"/>
      <c r="H627" s="64"/>
      <c r="I627" s="64"/>
      <c r="J627" s="64"/>
      <c r="K627" s="64"/>
      <c r="L627" s="64"/>
      <c r="M627" s="64"/>
      <c r="N627" s="64"/>
      <c r="O627" s="64"/>
      <c r="P627" s="64"/>
      <c r="Q627" s="64"/>
      <c r="R627" s="64"/>
      <c r="S627" s="64"/>
      <c r="T627" s="64"/>
      <c r="U627" s="64"/>
      <c r="V627" s="64"/>
      <c r="W627" s="64"/>
      <c r="X627" s="64"/>
      <c r="Y627" s="64"/>
      <c r="Z627" s="64"/>
    </row>
    <row r="628">
      <c r="A628" s="64"/>
      <c r="B628" s="64"/>
      <c r="C628" s="64"/>
      <c r="D628" s="64"/>
      <c r="E628" s="64"/>
      <c r="F628" s="64"/>
      <c r="G628" s="64"/>
      <c r="H628" s="64"/>
      <c r="I628" s="64"/>
      <c r="J628" s="64"/>
      <c r="K628" s="64"/>
      <c r="L628" s="64"/>
      <c r="M628" s="64"/>
      <c r="N628" s="64"/>
      <c r="O628" s="64"/>
      <c r="P628" s="64"/>
      <c r="Q628" s="64"/>
      <c r="R628" s="64"/>
      <c r="S628" s="64"/>
      <c r="T628" s="64"/>
      <c r="U628" s="64"/>
      <c r="V628" s="64"/>
      <c r="W628" s="64"/>
      <c r="X628" s="64"/>
      <c r="Y628" s="64"/>
      <c r="Z628" s="64"/>
    </row>
    <row r="629">
      <c r="A629" s="64"/>
      <c r="B629" s="64"/>
      <c r="C629" s="64"/>
      <c r="D629" s="64"/>
      <c r="E629" s="64"/>
      <c r="F629" s="64"/>
      <c r="G629" s="64"/>
      <c r="H629" s="64"/>
      <c r="I629" s="64"/>
      <c r="J629" s="64"/>
      <c r="K629" s="64"/>
      <c r="L629" s="64"/>
      <c r="M629" s="64"/>
      <c r="N629" s="64"/>
      <c r="O629" s="64"/>
      <c r="P629" s="64"/>
      <c r="Q629" s="64"/>
      <c r="R629" s="64"/>
      <c r="S629" s="64"/>
      <c r="T629" s="64"/>
      <c r="U629" s="64"/>
      <c r="V629" s="64"/>
      <c r="W629" s="64"/>
      <c r="X629" s="64"/>
      <c r="Y629" s="64"/>
      <c r="Z629" s="64"/>
    </row>
    <row r="630">
      <c r="A630" s="64"/>
      <c r="B630" s="64"/>
      <c r="C630" s="64"/>
      <c r="D630" s="64"/>
      <c r="E630" s="64"/>
      <c r="F630" s="64"/>
      <c r="G630" s="64"/>
      <c r="H630" s="64"/>
      <c r="I630" s="64"/>
      <c r="J630" s="64"/>
      <c r="K630" s="64"/>
      <c r="L630" s="64"/>
      <c r="M630" s="64"/>
      <c r="N630" s="64"/>
      <c r="O630" s="64"/>
      <c r="P630" s="64"/>
      <c r="Q630" s="64"/>
      <c r="R630" s="64"/>
      <c r="S630" s="64"/>
      <c r="T630" s="64"/>
      <c r="U630" s="64"/>
      <c r="V630" s="64"/>
      <c r="W630" s="64"/>
      <c r="X630" s="64"/>
      <c r="Y630" s="64"/>
      <c r="Z630" s="64"/>
    </row>
    <row r="631">
      <c r="A631" s="64"/>
      <c r="B631" s="64"/>
      <c r="C631" s="64"/>
      <c r="D631" s="64"/>
      <c r="E631" s="64"/>
      <c r="F631" s="64"/>
      <c r="G631" s="64"/>
      <c r="H631" s="64"/>
      <c r="I631" s="64"/>
      <c r="J631" s="64"/>
      <c r="K631" s="64"/>
      <c r="L631" s="64"/>
      <c r="M631" s="64"/>
      <c r="N631" s="64"/>
      <c r="O631" s="64"/>
      <c r="P631" s="64"/>
      <c r="Q631" s="64"/>
      <c r="R631" s="64"/>
      <c r="S631" s="64"/>
      <c r="T631" s="64"/>
      <c r="U631" s="64"/>
      <c r="V631" s="64"/>
      <c r="W631" s="64"/>
      <c r="X631" s="64"/>
      <c r="Y631" s="64"/>
      <c r="Z631" s="64"/>
    </row>
    <row r="632">
      <c r="A632" s="64"/>
      <c r="B632" s="64"/>
      <c r="C632" s="64"/>
      <c r="D632" s="64"/>
      <c r="E632" s="64"/>
      <c r="F632" s="64"/>
      <c r="G632" s="64"/>
      <c r="H632" s="64"/>
      <c r="I632" s="64"/>
      <c r="J632" s="64"/>
      <c r="K632" s="64"/>
      <c r="L632" s="64"/>
      <c r="M632" s="64"/>
      <c r="N632" s="64"/>
      <c r="O632" s="64"/>
      <c r="P632" s="64"/>
      <c r="Q632" s="64"/>
      <c r="R632" s="64"/>
      <c r="S632" s="64"/>
      <c r="T632" s="64"/>
      <c r="U632" s="64"/>
      <c r="V632" s="64"/>
      <c r="W632" s="64"/>
      <c r="X632" s="64"/>
      <c r="Y632" s="64"/>
      <c r="Z632" s="64"/>
    </row>
    <row r="633">
      <c r="A633" s="64"/>
      <c r="B633" s="64"/>
      <c r="C633" s="64"/>
      <c r="D633" s="64"/>
      <c r="E633" s="64"/>
      <c r="F633" s="64"/>
      <c r="G633" s="64"/>
      <c r="H633" s="64"/>
      <c r="I633" s="64"/>
      <c r="J633" s="64"/>
      <c r="K633" s="64"/>
      <c r="L633" s="64"/>
      <c r="M633" s="64"/>
      <c r="N633" s="64"/>
      <c r="O633" s="64"/>
      <c r="P633" s="64"/>
      <c r="Q633" s="64"/>
      <c r="R633" s="64"/>
      <c r="S633" s="64"/>
      <c r="T633" s="64"/>
      <c r="U633" s="64"/>
      <c r="V633" s="64"/>
      <c r="W633" s="64"/>
      <c r="X633" s="64"/>
      <c r="Y633" s="64"/>
      <c r="Z633" s="64"/>
    </row>
    <row r="634">
      <c r="A634" s="64"/>
      <c r="B634" s="64"/>
      <c r="C634" s="64"/>
      <c r="D634" s="64"/>
      <c r="E634" s="64"/>
      <c r="F634" s="64"/>
      <c r="G634" s="64"/>
      <c r="H634" s="64"/>
      <c r="I634" s="64"/>
      <c r="J634" s="64"/>
      <c r="K634" s="64"/>
      <c r="L634" s="64"/>
      <c r="M634" s="64"/>
      <c r="N634" s="64"/>
      <c r="O634" s="64"/>
      <c r="P634" s="64"/>
      <c r="Q634" s="64"/>
      <c r="R634" s="64"/>
      <c r="S634" s="64"/>
      <c r="T634" s="64"/>
      <c r="U634" s="64"/>
      <c r="V634" s="64"/>
      <c r="W634" s="64"/>
      <c r="X634" s="64"/>
      <c r="Y634" s="64"/>
      <c r="Z634" s="64"/>
    </row>
    <row r="635">
      <c r="A635" s="64"/>
      <c r="B635" s="64"/>
      <c r="C635" s="64"/>
      <c r="D635" s="64"/>
      <c r="E635" s="64"/>
      <c r="F635" s="64"/>
      <c r="G635" s="64"/>
      <c r="H635" s="64"/>
      <c r="I635" s="64"/>
      <c r="J635" s="64"/>
      <c r="K635" s="64"/>
      <c r="L635" s="64"/>
      <c r="M635" s="64"/>
      <c r="N635" s="64"/>
      <c r="O635" s="64"/>
      <c r="P635" s="64"/>
      <c r="Q635" s="64"/>
      <c r="R635" s="64"/>
      <c r="S635" s="64"/>
      <c r="T635" s="64"/>
      <c r="U635" s="64"/>
      <c r="V635" s="64"/>
      <c r="W635" s="64"/>
      <c r="X635" s="64"/>
      <c r="Y635" s="64"/>
      <c r="Z635" s="64"/>
    </row>
    <row r="636">
      <c r="A636" s="64"/>
      <c r="B636" s="64"/>
      <c r="C636" s="64"/>
      <c r="D636" s="64"/>
      <c r="E636" s="64"/>
      <c r="F636" s="64"/>
      <c r="G636" s="64"/>
      <c r="H636" s="64"/>
      <c r="I636" s="64"/>
      <c r="J636" s="64"/>
      <c r="K636" s="64"/>
      <c r="L636" s="64"/>
      <c r="M636" s="64"/>
      <c r="N636" s="64"/>
      <c r="O636" s="64"/>
      <c r="P636" s="64"/>
      <c r="Q636" s="64"/>
      <c r="R636" s="64"/>
      <c r="S636" s="64"/>
      <c r="T636" s="64"/>
      <c r="U636" s="64"/>
      <c r="V636" s="64"/>
      <c r="W636" s="64"/>
      <c r="X636" s="64"/>
      <c r="Y636" s="64"/>
      <c r="Z636" s="64"/>
    </row>
    <row r="637">
      <c r="A637" s="64"/>
      <c r="B637" s="64"/>
      <c r="C637" s="64"/>
      <c r="D637" s="64"/>
      <c r="E637" s="64"/>
      <c r="F637" s="64"/>
      <c r="G637" s="64"/>
      <c r="H637" s="64"/>
      <c r="I637" s="64"/>
      <c r="J637" s="64"/>
      <c r="K637" s="64"/>
      <c r="L637" s="64"/>
      <c r="M637" s="64"/>
      <c r="N637" s="64"/>
      <c r="O637" s="64"/>
      <c r="P637" s="64"/>
      <c r="Q637" s="64"/>
      <c r="R637" s="64"/>
      <c r="S637" s="64"/>
      <c r="T637" s="64"/>
      <c r="U637" s="64"/>
      <c r="V637" s="64"/>
      <c r="W637" s="64"/>
      <c r="X637" s="64"/>
      <c r="Y637" s="64"/>
      <c r="Z637" s="64"/>
    </row>
    <row r="638">
      <c r="A638" s="64"/>
      <c r="B638" s="64"/>
      <c r="C638" s="64"/>
      <c r="D638" s="64"/>
      <c r="E638" s="64"/>
      <c r="F638" s="64"/>
      <c r="G638" s="64"/>
      <c r="H638" s="64"/>
      <c r="I638" s="64"/>
      <c r="J638" s="64"/>
      <c r="K638" s="64"/>
      <c r="L638" s="64"/>
      <c r="M638" s="64"/>
      <c r="N638" s="64"/>
      <c r="O638" s="64"/>
      <c r="P638" s="64"/>
      <c r="Q638" s="64"/>
      <c r="R638" s="64"/>
      <c r="S638" s="64"/>
      <c r="T638" s="64"/>
      <c r="U638" s="64"/>
      <c r="V638" s="64"/>
      <c r="W638" s="64"/>
      <c r="X638" s="64"/>
      <c r="Y638" s="64"/>
      <c r="Z638" s="64"/>
    </row>
    <row r="639">
      <c r="A639" s="64"/>
      <c r="B639" s="64"/>
      <c r="C639" s="64"/>
      <c r="D639" s="64"/>
      <c r="E639" s="64"/>
      <c r="F639" s="64"/>
      <c r="G639" s="64"/>
      <c r="H639" s="64"/>
      <c r="I639" s="64"/>
      <c r="J639" s="64"/>
      <c r="K639" s="64"/>
      <c r="L639" s="64"/>
      <c r="M639" s="64"/>
      <c r="N639" s="64"/>
      <c r="O639" s="64"/>
      <c r="P639" s="64"/>
      <c r="Q639" s="64"/>
      <c r="R639" s="64"/>
      <c r="S639" s="64"/>
      <c r="T639" s="64"/>
      <c r="U639" s="64"/>
      <c r="V639" s="64"/>
      <c r="W639" s="64"/>
      <c r="X639" s="64"/>
      <c r="Y639" s="64"/>
      <c r="Z639" s="64"/>
    </row>
    <row r="640">
      <c r="A640" s="64"/>
      <c r="B640" s="64"/>
      <c r="C640" s="64"/>
      <c r="D640" s="64"/>
      <c r="E640" s="64"/>
      <c r="F640" s="64"/>
      <c r="G640" s="64"/>
      <c r="H640" s="64"/>
      <c r="I640" s="64"/>
      <c r="J640" s="64"/>
      <c r="K640" s="64"/>
      <c r="L640" s="64"/>
      <c r="M640" s="64"/>
      <c r="N640" s="64"/>
      <c r="O640" s="64"/>
      <c r="P640" s="64"/>
      <c r="Q640" s="64"/>
      <c r="R640" s="64"/>
      <c r="S640" s="64"/>
      <c r="T640" s="64"/>
      <c r="U640" s="64"/>
      <c r="V640" s="64"/>
      <c r="W640" s="64"/>
      <c r="X640" s="64"/>
      <c r="Y640" s="64"/>
      <c r="Z640" s="64"/>
    </row>
    <row r="641">
      <c r="A641" s="64"/>
      <c r="B641" s="64"/>
      <c r="C641" s="64"/>
      <c r="D641" s="64"/>
      <c r="E641" s="64"/>
      <c r="F641" s="64"/>
      <c r="G641" s="64"/>
      <c r="H641" s="64"/>
      <c r="I641" s="64"/>
      <c r="J641" s="64"/>
      <c r="K641" s="64"/>
      <c r="L641" s="64"/>
      <c r="M641" s="64"/>
      <c r="N641" s="64"/>
      <c r="O641" s="64"/>
      <c r="P641" s="64"/>
      <c r="Q641" s="64"/>
      <c r="R641" s="64"/>
      <c r="S641" s="64"/>
      <c r="T641" s="64"/>
      <c r="U641" s="64"/>
      <c r="V641" s="64"/>
      <c r="W641" s="64"/>
      <c r="X641" s="64"/>
      <c r="Y641" s="64"/>
      <c r="Z641" s="64"/>
    </row>
    <row r="642">
      <c r="A642" s="64"/>
      <c r="B642" s="64"/>
      <c r="C642" s="64"/>
      <c r="D642" s="64"/>
      <c r="E642" s="64"/>
      <c r="F642" s="64"/>
      <c r="G642" s="64"/>
      <c r="H642" s="64"/>
      <c r="I642" s="64"/>
      <c r="J642" s="64"/>
      <c r="K642" s="64"/>
      <c r="L642" s="64"/>
      <c r="M642" s="64"/>
      <c r="N642" s="64"/>
      <c r="O642" s="64"/>
      <c r="P642" s="64"/>
      <c r="Q642" s="64"/>
      <c r="R642" s="64"/>
      <c r="S642" s="64"/>
      <c r="T642" s="64"/>
      <c r="U642" s="64"/>
      <c r="V642" s="64"/>
      <c r="W642" s="64"/>
      <c r="X642" s="64"/>
      <c r="Y642" s="64"/>
      <c r="Z642" s="64"/>
    </row>
    <row r="643">
      <c r="A643" s="64"/>
      <c r="B643" s="64"/>
      <c r="C643" s="64"/>
      <c r="D643" s="64"/>
      <c r="E643" s="64"/>
      <c r="F643" s="64"/>
      <c r="G643" s="64"/>
      <c r="H643" s="64"/>
      <c r="I643" s="64"/>
      <c r="J643" s="64"/>
      <c r="K643" s="64"/>
      <c r="L643" s="64"/>
      <c r="M643" s="64"/>
      <c r="N643" s="64"/>
      <c r="O643" s="64"/>
      <c r="P643" s="64"/>
      <c r="Q643" s="64"/>
      <c r="R643" s="64"/>
      <c r="S643" s="64"/>
      <c r="T643" s="64"/>
      <c r="U643" s="64"/>
      <c r="V643" s="64"/>
      <c r="W643" s="64"/>
      <c r="X643" s="64"/>
      <c r="Y643" s="64"/>
      <c r="Z643" s="64"/>
    </row>
    <row r="644">
      <c r="A644" s="64"/>
      <c r="B644" s="64"/>
      <c r="C644" s="64"/>
      <c r="D644" s="64"/>
      <c r="E644" s="64"/>
      <c r="F644" s="64"/>
      <c r="G644" s="64"/>
      <c r="H644" s="64"/>
      <c r="I644" s="64"/>
      <c r="J644" s="64"/>
      <c r="K644" s="64"/>
      <c r="L644" s="64"/>
      <c r="M644" s="64"/>
      <c r="N644" s="64"/>
      <c r="O644" s="64"/>
      <c r="P644" s="64"/>
      <c r="Q644" s="64"/>
      <c r="R644" s="64"/>
      <c r="S644" s="64"/>
      <c r="T644" s="64"/>
      <c r="U644" s="64"/>
      <c r="V644" s="64"/>
      <c r="W644" s="64"/>
      <c r="X644" s="64"/>
      <c r="Y644" s="64"/>
      <c r="Z644" s="64"/>
    </row>
    <row r="645">
      <c r="A645" s="64"/>
      <c r="B645" s="64"/>
      <c r="C645" s="64"/>
      <c r="D645" s="64"/>
      <c r="E645" s="64"/>
      <c r="F645" s="64"/>
      <c r="G645" s="64"/>
      <c r="H645" s="64"/>
      <c r="I645" s="64"/>
      <c r="J645" s="64"/>
      <c r="K645" s="64"/>
      <c r="L645" s="64"/>
      <c r="M645" s="64"/>
      <c r="N645" s="64"/>
      <c r="O645" s="64"/>
      <c r="P645" s="64"/>
      <c r="Q645" s="64"/>
      <c r="R645" s="64"/>
      <c r="S645" s="64"/>
      <c r="T645" s="64"/>
      <c r="U645" s="64"/>
      <c r="V645" s="64"/>
      <c r="W645" s="64"/>
      <c r="X645" s="64"/>
      <c r="Y645" s="64"/>
      <c r="Z645" s="64"/>
    </row>
    <row r="646">
      <c r="A646" s="64"/>
      <c r="B646" s="64"/>
      <c r="C646" s="64"/>
      <c r="D646" s="64"/>
      <c r="E646" s="64"/>
      <c r="F646" s="64"/>
      <c r="G646" s="64"/>
      <c r="H646" s="64"/>
      <c r="I646" s="64"/>
      <c r="J646" s="64"/>
      <c r="K646" s="64"/>
      <c r="L646" s="64"/>
      <c r="M646" s="64"/>
      <c r="N646" s="64"/>
      <c r="O646" s="64"/>
      <c r="P646" s="64"/>
      <c r="Q646" s="64"/>
      <c r="R646" s="64"/>
      <c r="S646" s="64"/>
      <c r="T646" s="64"/>
      <c r="U646" s="64"/>
      <c r="V646" s="64"/>
      <c r="W646" s="64"/>
      <c r="X646" s="64"/>
      <c r="Y646" s="64"/>
      <c r="Z646" s="64"/>
    </row>
    <row r="647">
      <c r="A647" s="64"/>
      <c r="B647" s="64"/>
      <c r="C647" s="64"/>
      <c r="D647" s="64"/>
      <c r="E647" s="64"/>
      <c r="F647" s="64"/>
      <c r="G647" s="64"/>
      <c r="H647" s="64"/>
      <c r="I647" s="64"/>
      <c r="J647" s="64"/>
      <c r="K647" s="64"/>
      <c r="L647" s="64"/>
      <c r="M647" s="64"/>
      <c r="N647" s="64"/>
      <c r="O647" s="64"/>
      <c r="P647" s="64"/>
      <c r="Q647" s="64"/>
      <c r="R647" s="64"/>
      <c r="S647" s="64"/>
      <c r="T647" s="64"/>
      <c r="U647" s="64"/>
      <c r="V647" s="64"/>
      <c r="W647" s="64"/>
      <c r="X647" s="64"/>
      <c r="Y647" s="64"/>
      <c r="Z647" s="64"/>
    </row>
    <row r="648">
      <c r="A648" s="64"/>
      <c r="B648" s="64"/>
      <c r="C648" s="64"/>
      <c r="D648" s="64"/>
      <c r="E648" s="64"/>
      <c r="F648" s="64"/>
      <c r="G648" s="64"/>
      <c r="H648" s="64"/>
      <c r="I648" s="64"/>
      <c r="J648" s="64"/>
      <c r="K648" s="64"/>
      <c r="L648" s="64"/>
      <c r="M648" s="64"/>
      <c r="N648" s="64"/>
      <c r="O648" s="64"/>
      <c r="P648" s="64"/>
      <c r="Q648" s="64"/>
      <c r="R648" s="64"/>
      <c r="S648" s="64"/>
      <c r="T648" s="64"/>
      <c r="U648" s="64"/>
      <c r="V648" s="64"/>
      <c r="W648" s="64"/>
      <c r="X648" s="64"/>
      <c r="Y648" s="64"/>
      <c r="Z648" s="64"/>
    </row>
    <row r="649">
      <c r="A649" s="64"/>
      <c r="B649" s="64"/>
      <c r="C649" s="64"/>
      <c r="D649" s="64"/>
      <c r="E649" s="64"/>
      <c r="F649" s="64"/>
      <c r="G649" s="64"/>
      <c r="H649" s="64"/>
      <c r="I649" s="64"/>
      <c r="J649" s="64"/>
      <c r="K649" s="64"/>
      <c r="L649" s="64"/>
      <c r="M649" s="64"/>
      <c r="N649" s="64"/>
      <c r="O649" s="64"/>
      <c r="P649" s="64"/>
      <c r="Q649" s="64"/>
      <c r="R649" s="64"/>
      <c r="S649" s="64"/>
      <c r="T649" s="64"/>
      <c r="U649" s="64"/>
      <c r="V649" s="64"/>
      <c r="W649" s="64"/>
      <c r="X649" s="64"/>
      <c r="Y649" s="64"/>
      <c r="Z649" s="64"/>
    </row>
    <row r="650">
      <c r="A650" s="64"/>
      <c r="B650" s="64"/>
      <c r="C650" s="64"/>
      <c r="D650" s="64"/>
      <c r="E650" s="64"/>
      <c r="F650" s="64"/>
      <c r="G650" s="64"/>
      <c r="H650" s="64"/>
      <c r="I650" s="64"/>
      <c r="J650" s="64"/>
      <c r="K650" s="64"/>
      <c r="L650" s="64"/>
      <c r="M650" s="64"/>
      <c r="N650" s="64"/>
      <c r="O650" s="64"/>
      <c r="P650" s="64"/>
      <c r="Q650" s="64"/>
      <c r="R650" s="64"/>
      <c r="S650" s="64"/>
      <c r="T650" s="64"/>
      <c r="U650" s="64"/>
      <c r="V650" s="64"/>
      <c r="W650" s="64"/>
      <c r="X650" s="64"/>
      <c r="Y650" s="64"/>
      <c r="Z650" s="64"/>
    </row>
    <row r="651">
      <c r="A651" s="64"/>
      <c r="B651" s="64"/>
      <c r="C651" s="64"/>
      <c r="D651" s="64"/>
      <c r="E651" s="64"/>
      <c r="F651" s="64"/>
      <c r="G651" s="64"/>
      <c r="H651" s="64"/>
      <c r="I651" s="64"/>
      <c r="J651" s="64"/>
      <c r="K651" s="64"/>
      <c r="L651" s="64"/>
      <c r="M651" s="64"/>
      <c r="N651" s="64"/>
      <c r="O651" s="64"/>
      <c r="P651" s="64"/>
      <c r="Q651" s="64"/>
      <c r="R651" s="64"/>
      <c r="S651" s="64"/>
      <c r="T651" s="64"/>
      <c r="U651" s="64"/>
      <c r="V651" s="64"/>
      <c r="W651" s="64"/>
      <c r="X651" s="64"/>
      <c r="Y651" s="64"/>
      <c r="Z651" s="64"/>
    </row>
    <row r="652">
      <c r="A652" s="64"/>
      <c r="B652" s="64"/>
      <c r="C652" s="64"/>
      <c r="D652" s="64"/>
      <c r="E652" s="64"/>
      <c r="F652" s="64"/>
      <c r="G652" s="64"/>
      <c r="H652" s="64"/>
      <c r="I652" s="64"/>
      <c r="J652" s="64"/>
      <c r="K652" s="64"/>
      <c r="L652" s="64"/>
      <c r="M652" s="64"/>
      <c r="N652" s="64"/>
      <c r="O652" s="64"/>
      <c r="P652" s="64"/>
      <c r="Q652" s="64"/>
      <c r="R652" s="64"/>
      <c r="S652" s="64"/>
      <c r="T652" s="64"/>
      <c r="U652" s="64"/>
      <c r="V652" s="64"/>
      <c r="W652" s="64"/>
      <c r="X652" s="64"/>
      <c r="Y652" s="64"/>
      <c r="Z652" s="64"/>
    </row>
    <row r="653">
      <c r="A653" s="64"/>
      <c r="B653" s="64"/>
      <c r="C653" s="64"/>
      <c r="D653" s="64"/>
      <c r="E653" s="64"/>
      <c r="F653" s="64"/>
      <c r="G653" s="64"/>
      <c r="H653" s="64"/>
      <c r="I653" s="64"/>
      <c r="J653" s="64"/>
      <c r="K653" s="64"/>
      <c r="L653" s="64"/>
      <c r="M653" s="64"/>
      <c r="N653" s="64"/>
      <c r="O653" s="64"/>
      <c r="P653" s="64"/>
      <c r="Q653" s="64"/>
      <c r="R653" s="64"/>
      <c r="S653" s="64"/>
      <c r="T653" s="64"/>
      <c r="U653" s="64"/>
      <c r="V653" s="64"/>
      <c r="W653" s="64"/>
      <c r="X653" s="64"/>
      <c r="Y653" s="64"/>
      <c r="Z653" s="64"/>
    </row>
    <row r="654">
      <c r="A654" s="64"/>
      <c r="B654" s="64"/>
      <c r="C654" s="64"/>
      <c r="D654" s="64"/>
      <c r="E654" s="64"/>
      <c r="F654" s="64"/>
      <c r="G654" s="64"/>
      <c r="H654" s="64"/>
      <c r="I654" s="64"/>
      <c r="J654" s="64"/>
      <c r="K654" s="64"/>
      <c r="L654" s="64"/>
      <c r="M654" s="64"/>
      <c r="N654" s="64"/>
      <c r="O654" s="64"/>
      <c r="P654" s="64"/>
      <c r="Q654" s="64"/>
      <c r="R654" s="64"/>
      <c r="S654" s="64"/>
      <c r="T654" s="64"/>
      <c r="U654" s="64"/>
      <c r="V654" s="64"/>
      <c r="W654" s="64"/>
      <c r="X654" s="64"/>
      <c r="Y654" s="64"/>
      <c r="Z654" s="64"/>
    </row>
    <row r="655">
      <c r="A655" s="64"/>
      <c r="B655" s="64"/>
      <c r="C655" s="64"/>
      <c r="D655" s="64"/>
      <c r="E655" s="64"/>
      <c r="F655" s="64"/>
      <c r="G655" s="64"/>
      <c r="H655" s="64"/>
      <c r="I655" s="64"/>
      <c r="J655" s="64"/>
      <c r="K655" s="64"/>
      <c r="L655" s="64"/>
      <c r="M655" s="64"/>
      <c r="N655" s="64"/>
      <c r="O655" s="64"/>
      <c r="P655" s="64"/>
      <c r="Q655" s="64"/>
      <c r="R655" s="64"/>
      <c r="S655" s="64"/>
      <c r="T655" s="64"/>
      <c r="U655" s="64"/>
      <c r="V655" s="64"/>
      <c r="W655" s="64"/>
      <c r="X655" s="64"/>
      <c r="Y655" s="64"/>
      <c r="Z655" s="64"/>
    </row>
    <row r="656">
      <c r="A656" s="64"/>
      <c r="B656" s="64"/>
      <c r="C656" s="64"/>
      <c r="D656" s="64"/>
      <c r="E656" s="64"/>
      <c r="F656" s="64"/>
      <c r="G656" s="64"/>
      <c r="H656" s="64"/>
      <c r="I656" s="64"/>
      <c r="J656" s="64"/>
      <c r="K656" s="64"/>
      <c r="L656" s="64"/>
      <c r="M656" s="64"/>
      <c r="N656" s="64"/>
      <c r="O656" s="64"/>
      <c r="P656" s="64"/>
      <c r="Q656" s="64"/>
      <c r="R656" s="64"/>
      <c r="S656" s="64"/>
      <c r="T656" s="64"/>
      <c r="U656" s="64"/>
      <c r="V656" s="64"/>
      <c r="W656" s="64"/>
      <c r="X656" s="64"/>
      <c r="Y656" s="64"/>
      <c r="Z656" s="64"/>
    </row>
    <row r="657">
      <c r="A657" s="64"/>
      <c r="B657" s="64"/>
      <c r="C657" s="64"/>
      <c r="D657" s="64"/>
      <c r="E657" s="64"/>
      <c r="F657" s="64"/>
      <c r="G657" s="64"/>
      <c r="H657" s="64"/>
      <c r="I657" s="64"/>
      <c r="J657" s="64"/>
      <c r="K657" s="64"/>
      <c r="L657" s="64"/>
      <c r="M657" s="64"/>
      <c r="N657" s="64"/>
      <c r="O657" s="64"/>
      <c r="P657" s="64"/>
      <c r="Q657" s="64"/>
      <c r="R657" s="64"/>
      <c r="S657" s="64"/>
      <c r="T657" s="64"/>
      <c r="U657" s="64"/>
      <c r="V657" s="64"/>
      <c r="W657" s="64"/>
      <c r="X657" s="64"/>
      <c r="Y657" s="64"/>
      <c r="Z657" s="64"/>
    </row>
    <row r="658">
      <c r="A658" s="64"/>
      <c r="B658" s="64"/>
      <c r="C658" s="64"/>
      <c r="D658" s="64"/>
      <c r="E658" s="64"/>
      <c r="F658" s="64"/>
      <c r="G658" s="64"/>
      <c r="H658" s="64"/>
      <c r="I658" s="64"/>
      <c r="J658" s="64"/>
      <c r="K658" s="64"/>
      <c r="L658" s="64"/>
      <c r="M658" s="64"/>
      <c r="N658" s="64"/>
      <c r="O658" s="64"/>
      <c r="P658" s="64"/>
      <c r="Q658" s="64"/>
      <c r="R658" s="64"/>
      <c r="S658" s="64"/>
      <c r="T658" s="64"/>
      <c r="U658" s="64"/>
      <c r="V658" s="64"/>
      <c r="W658" s="64"/>
      <c r="X658" s="64"/>
      <c r="Y658" s="64"/>
      <c r="Z658" s="64"/>
    </row>
    <row r="659">
      <c r="A659" s="64"/>
      <c r="B659" s="64"/>
      <c r="C659" s="64"/>
      <c r="D659" s="64"/>
      <c r="E659" s="64"/>
      <c r="F659" s="64"/>
      <c r="G659" s="64"/>
      <c r="H659" s="64"/>
      <c r="I659" s="64"/>
      <c r="J659" s="64"/>
      <c r="K659" s="64"/>
      <c r="L659" s="64"/>
      <c r="M659" s="64"/>
      <c r="N659" s="64"/>
      <c r="O659" s="64"/>
      <c r="P659" s="64"/>
      <c r="Q659" s="64"/>
      <c r="R659" s="64"/>
      <c r="S659" s="64"/>
      <c r="T659" s="64"/>
      <c r="U659" s="64"/>
      <c r="V659" s="64"/>
      <c r="W659" s="64"/>
      <c r="X659" s="64"/>
      <c r="Y659" s="64"/>
      <c r="Z659" s="64"/>
    </row>
    <row r="660">
      <c r="A660" s="64"/>
      <c r="B660" s="64"/>
      <c r="C660" s="64"/>
      <c r="D660" s="64"/>
      <c r="E660" s="64"/>
      <c r="F660" s="64"/>
      <c r="G660" s="64"/>
      <c r="H660" s="64"/>
      <c r="I660" s="64"/>
      <c r="J660" s="64"/>
      <c r="K660" s="64"/>
      <c r="L660" s="64"/>
      <c r="M660" s="64"/>
      <c r="N660" s="64"/>
      <c r="O660" s="64"/>
      <c r="P660" s="64"/>
      <c r="Q660" s="64"/>
      <c r="R660" s="64"/>
      <c r="S660" s="64"/>
      <c r="T660" s="64"/>
      <c r="U660" s="64"/>
      <c r="V660" s="64"/>
      <c r="W660" s="64"/>
      <c r="X660" s="64"/>
      <c r="Y660" s="64"/>
      <c r="Z660" s="64"/>
    </row>
    <row r="661">
      <c r="A661" s="64"/>
      <c r="B661" s="64"/>
      <c r="C661" s="64"/>
      <c r="D661" s="64"/>
      <c r="E661" s="64"/>
      <c r="F661" s="64"/>
      <c r="G661" s="64"/>
      <c r="H661" s="64"/>
      <c r="I661" s="64"/>
      <c r="J661" s="64"/>
      <c r="K661" s="64"/>
      <c r="L661" s="64"/>
      <c r="M661" s="64"/>
      <c r="N661" s="64"/>
      <c r="O661" s="64"/>
      <c r="P661" s="64"/>
      <c r="Q661" s="64"/>
      <c r="R661" s="64"/>
      <c r="S661" s="64"/>
      <c r="T661" s="64"/>
      <c r="U661" s="64"/>
      <c r="V661" s="64"/>
      <c r="W661" s="64"/>
      <c r="X661" s="64"/>
      <c r="Y661" s="64"/>
      <c r="Z661" s="64"/>
    </row>
    <row r="662">
      <c r="A662" s="64"/>
      <c r="B662" s="64"/>
      <c r="C662" s="64"/>
      <c r="D662" s="64"/>
      <c r="E662" s="64"/>
      <c r="F662" s="64"/>
      <c r="G662" s="64"/>
      <c r="H662" s="64"/>
      <c r="I662" s="64"/>
      <c r="J662" s="64"/>
      <c r="K662" s="64"/>
      <c r="L662" s="64"/>
      <c r="M662" s="64"/>
      <c r="N662" s="64"/>
      <c r="O662" s="64"/>
      <c r="P662" s="64"/>
      <c r="Q662" s="64"/>
      <c r="R662" s="64"/>
      <c r="S662" s="64"/>
      <c r="T662" s="64"/>
      <c r="U662" s="64"/>
      <c r="V662" s="64"/>
      <c r="W662" s="64"/>
      <c r="X662" s="64"/>
      <c r="Y662" s="64"/>
      <c r="Z662" s="64"/>
    </row>
    <row r="663">
      <c r="A663" s="64"/>
      <c r="B663" s="64"/>
      <c r="C663" s="64"/>
      <c r="D663" s="64"/>
      <c r="E663" s="64"/>
      <c r="F663" s="64"/>
      <c r="G663" s="64"/>
      <c r="H663" s="64"/>
      <c r="I663" s="64"/>
      <c r="J663" s="64"/>
      <c r="K663" s="64"/>
      <c r="L663" s="64"/>
      <c r="M663" s="64"/>
      <c r="N663" s="64"/>
      <c r="O663" s="64"/>
      <c r="P663" s="64"/>
      <c r="Q663" s="64"/>
      <c r="R663" s="64"/>
      <c r="S663" s="64"/>
      <c r="T663" s="64"/>
      <c r="U663" s="64"/>
      <c r="V663" s="64"/>
      <c r="W663" s="64"/>
      <c r="X663" s="64"/>
      <c r="Y663" s="64"/>
      <c r="Z663" s="64"/>
    </row>
    <row r="664">
      <c r="A664" s="64"/>
      <c r="B664" s="64"/>
      <c r="C664" s="64"/>
      <c r="D664" s="64"/>
      <c r="E664" s="64"/>
      <c r="F664" s="64"/>
      <c r="G664" s="64"/>
      <c r="H664" s="64"/>
      <c r="I664" s="64"/>
      <c r="J664" s="64"/>
      <c r="K664" s="64"/>
      <c r="L664" s="64"/>
      <c r="M664" s="64"/>
      <c r="N664" s="64"/>
      <c r="O664" s="64"/>
      <c r="P664" s="64"/>
      <c r="Q664" s="64"/>
      <c r="R664" s="64"/>
      <c r="S664" s="64"/>
      <c r="T664" s="64"/>
      <c r="U664" s="64"/>
      <c r="V664" s="64"/>
      <c r="W664" s="64"/>
      <c r="X664" s="64"/>
      <c r="Y664" s="64"/>
      <c r="Z664" s="64"/>
    </row>
    <row r="665">
      <c r="A665" s="64"/>
      <c r="B665" s="64"/>
      <c r="C665" s="64"/>
      <c r="D665" s="64"/>
      <c r="E665" s="64"/>
      <c r="F665" s="64"/>
      <c r="G665" s="64"/>
      <c r="H665" s="64"/>
      <c r="I665" s="64"/>
      <c r="J665" s="64"/>
      <c r="K665" s="64"/>
      <c r="L665" s="64"/>
      <c r="M665" s="64"/>
      <c r="N665" s="64"/>
      <c r="O665" s="64"/>
      <c r="P665" s="64"/>
      <c r="Q665" s="64"/>
      <c r="R665" s="64"/>
      <c r="S665" s="64"/>
      <c r="T665" s="64"/>
      <c r="U665" s="64"/>
      <c r="V665" s="64"/>
      <c r="W665" s="64"/>
      <c r="X665" s="64"/>
      <c r="Y665" s="64"/>
      <c r="Z665" s="64"/>
    </row>
    <row r="666">
      <c r="A666" s="64"/>
      <c r="B666" s="64"/>
      <c r="C666" s="64"/>
      <c r="D666" s="64"/>
      <c r="E666" s="64"/>
      <c r="F666" s="64"/>
      <c r="G666" s="64"/>
      <c r="H666" s="64"/>
      <c r="I666" s="64"/>
      <c r="J666" s="64"/>
      <c r="K666" s="64"/>
      <c r="L666" s="64"/>
      <c r="M666" s="64"/>
      <c r="N666" s="64"/>
      <c r="O666" s="64"/>
      <c r="P666" s="64"/>
      <c r="Q666" s="64"/>
      <c r="R666" s="64"/>
      <c r="S666" s="64"/>
      <c r="T666" s="64"/>
      <c r="U666" s="64"/>
      <c r="V666" s="64"/>
      <c r="W666" s="64"/>
      <c r="X666" s="64"/>
      <c r="Y666" s="64"/>
      <c r="Z666" s="64"/>
    </row>
    <row r="667">
      <c r="A667" s="64"/>
      <c r="B667" s="64"/>
      <c r="C667" s="64"/>
      <c r="D667" s="64"/>
      <c r="E667" s="64"/>
      <c r="F667" s="64"/>
      <c r="G667" s="64"/>
      <c r="H667" s="64"/>
      <c r="I667" s="64"/>
      <c r="J667" s="64"/>
      <c r="K667" s="64"/>
      <c r="L667" s="64"/>
      <c r="M667" s="64"/>
      <c r="N667" s="64"/>
      <c r="O667" s="64"/>
      <c r="P667" s="64"/>
      <c r="Q667" s="64"/>
      <c r="R667" s="64"/>
      <c r="S667" s="64"/>
      <c r="T667" s="64"/>
      <c r="U667" s="64"/>
      <c r="V667" s="64"/>
      <c r="W667" s="64"/>
      <c r="X667" s="64"/>
      <c r="Y667" s="64"/>
      <c r="Z667" s="64"/>
    </row>
    <row r="668">
      <c r="A668" s="64"/>
      <c r="B668" s="64"/>
      <c r="C668" s="64"/>
      <c r="D668" s="64"/>
      <c r="E668" s="64"/>
      <c r="F668" s="64"/>
      <c r="G668" s="64"/>
      <c r="H668" s="64"/>
      <c r="I668" s="64"/>
      <c r="J668" s="64"/>
      <c r="K668" s="64"/>
      <c r="L668" s="64"/>
      <c r="M668" s="64"/>
      <c r="N668" s="64"/>
      <c r="O668" s="64"/>
      <c r="P668" s="64"/>
      <c r="Q668" s="64"/>
      <c r="R668" s="64"/>
      <c r="S668" s="64"/>
      <c r="T668" s="64"/>
      <c r="U668" s="64"/>
      <c r="V668" s="64"/>
      <c r="W668" s="64"/>
      <c r="X668" s="64"/>
      <c r="Y668" s="64"/>
      <c r="Z668" s="64"/>
    </row>
    <row r="669">
      <c r="A669" s="64"/>
      <c r="B669" s="64"/>
      <c r="C669" s="64"/>
      <c r="D669" s="64"/>
      <c r="E669" s="64"/>
      <c r="F669" s="64"/>
      <c r="G669" s="64"/>
      <c r="H669" s="64"/>
      <c r="I669" s="64"/>
      <c r="J669" s="64"/>
      <c r="K669" s="64"/>
      <c r="L669" s="64"/>
      <c r="M669" s="64"/>
      <c r="N669" s="64"/>
      <c r="O669" s="64"/>
      <c r="P669" s="64"/>
      <c r="Q669" s="64"/>
      <c r="R669" s="64"/>
      <c r="S669" s="64"/>
      <c r="T669" s="64"/>
      <c r="U669" s="64"/>
      <c r="V669" s="64"/>
      <c r="W669" s="64"/>
      <c r="X669" s="64"/>
      <c r="Y669" s="64"/>
      <c r="Z669" s="64"/>
    </row>
    <row r="670">
      <c r="A670" s="64"/>
      <c r="B670" s="64"/>
      <c r="C670" s="64"/>
      <c r="D670" s="64"/>
      <c r="E670" s="64"/>
      <c r="F670" s="64"/>
      <c r="G670" s="64"/>
      <c r="H670" s="64"/>
      <c r="I670" s="64"/>
      <c r="J670" s="64"/>
      <c r="K670" s="64"/>
      <c r="L670" s="64"/>
      <c r="M670" s="64"/>
      <c r="N670" s="64"/>
      <c r="O670" s="64"/>
      <c r="P670" s="64"/>
      <c r="Q670" s="64"/>
      <c r="R670" s="64"/>
      <c r="S670" s="64"/>
      <c r="T670" s="64"/>
      <c r="U670" s="64"/>
      <c r="V670" s="64"/>
      <c r="W670" s="64"/>
      <c r="X670" s="64"/>
      <c r="Y670" s="64"/>
      <c r="Z670" s="64"/>
    </row>
    <row r="671">
      <c r="A671" s="64"/>
      <c r="B671" s="64"/>
      <c r="C671" s="64"/>
      <c r="D671" s="64"/>
      <c r="E671" s="64"/>
      <c r="F671" s="64"/>
      <c r="G671" s="64"/>
      <c r="H671" s="64"/>
      <c r="I671" s="64"/>
      <c r="J671" s="64"/>
      <c r="K671" s="64"/>
      <c r="L671" s="64"/>
      <c r="M671" s="64"/>
      <c r="N671" s="64"/>
      <c r="O671" s="64"/>
      <c r="P671" s="64"/>
      <c r="Q671" s="64"/>
      <c r="R671" s="64"/>
      <c r="S671" s="64"/>
      <c r="T671" s="64"/>
      <c r="U671" s="64"/>
      <c r="V671" s="64"/>
      <c r="W671" s="64"/>
      <c r="X671" s="64"/>
      <c r="Y671" s="64"/>
      <c r="Z671" s="64"/>
    </row>
    <row r="672">
      <c r="A672" s="64"/>
      <c r="B672" s="64"/>
      <c r="C672" s="64"/>
      <c r="D672" s="64"/>
      <c r="E672" s="64"/>
      <c r="F672" s="64"/>
      <c r="G672" s="64"/>
      <c r="H672" s="64"/>
      <c r="I672" s="64"/>
      <c r="J672" s="64"/>
      <c r="K672" s="64"/>
      <c r="L672" s="64"/>
      <c r="M672" s="64"/>
      <c r="N672" s="64"/>
      <c r="O672" s="64"/>
      <c r="P672" s="64"/>
      <c r="Q672" s="64"/>
      <c r="R672" s="64"/>
      <c r="S672" s="64"/>
      <c r="T672" s="64"/>
      <c r="U672" s="64"/>
      <c r="V672" s="64"/>
      <c r="W672" s="64"/>
      <c r="X672" s="64"/>
      <c r="Y672" s="64"/>
      <c r="Z672" s="64"/>
    </row>
    <row r="673">
      <c r="A673" s="64"/>
      <c r="B673" s="64"/>
      <c r="C673" s="64"/>
      <c r="D673" s="64"/>
      <c r="E673" s="64"/>
      <c r="F673" s="64"/>
      <c r="G673" s="64"/>
      <c r="H673" s="64"/>
      <c r="I673" s="64"/>
      <c r="J673" s="64"/>
      <c r="K673" s="64"/>
      <c r="L673" s="64"/>
      <c r="M673" s="64"/>
      <c r="N673" s="64"/>
      <c r="O673" s="64"/>
      <c r="P673" s="64"/>
      <c r="Q673" s="64"/>
      <c r="R673" s="64"/>
      <c r="S673" s="64"/>
      <c r="T673" s="64"/>
      <c r="U673" s="64"/>
      <c r="V673" s="64"/>
      <c r="W673" s="64"/>
      <c r="X673" s="64"/>
      <c r="Y673" s="64"/>
      <c r="Z673" s="64"/>
    </row>
    <row r="674">
      <c r="A674" s="64"/>
      <c r="B674" s="64"/>
      <c r="C674" s="64"/>
      <c r="D674" s="64"/>
      <c r="E674" s="64"/>
      <c r="F674" s="64"/>
      <c r="G674" s="64"/>
      <c r="H674" s="64"/>
      <c r="I674" s="64"/>
      <c r="J674" s="64"/>
      <c r="K674" s="64"/>
      <c r="L674" s="64"/>
      <c r="M674" s="64"/>
      <c r="N674" s="64"/>
      <c r="O674" s="64"/>
      <c r="P674" s="64"/>
      <c r="Q674" s="64"/>
      <c r="R674" s="64"/>
      <c r="S674" s="64"/>
      <c r="T674" s="64"/>
      <c r="U674" s="64"/>
      <c r="V674" s="64"/>
      <c r="W674" s="64"/>
      <c r="X674" s="64"/>
      <c r="Y674" s="64"/>
      <c r="Z674" s="64"/>
    </row>
    <row r="675">
      <c r="A675" s="64"/>
      <c r="B675" s="64"/>
      <c r="C675" s="64"/>
      <c r="D675" s="64"/>
      <c r="E675" s="64"/>
      <c r="F675" s="64"/>
      <c r="G675" s="64"/>
      <c r="H675" s="64"/>
      <c r="I675" s="64"/>
      <c r="J675" s="64"/>
      <c r="K675" s="64"/>
      <c r="L675" s="64"/>
      <c r="M675" s="64"/>
      <c r="N675" s="64"/>
      <c r="O675" s="64"/>
      <c r="P675" s="64"/>
      <c r="Q675" s="64"/>
      <c r="R675" s="64"/>
      <c r="S675" s="64"/>
      <c r="T675" s="64"/>
      <c r="U675" s="64"/>
      <c r="V675" s="64"/>
      <c r="W675" s="64"/>
      <c r="X675" s="64"/>
      <c r="Y675" s="64"/>
      <c r="Z675" s="64"/>
    </row>
    <row r="676">
      <c r="A676" s="64"/>
      <c r="B676" s="64"/>
      <c r="C676" s="64"/>
      <c r="D676" s="64"/>
      <c r="E676" s="64"/>
      <c r="F676" s="64"/>
      <c r="G676" s="64"/>
      <c r="H676" s="64"/>
      <c r="I676" s="64"/>
      <c r="J676" s="64"/>
      <c r="K676" s="64"/>
      <c r="L676" s="64"/>
      <c r="M676" s="64"/>
      <c r="N676" s="64"/>
      <c r="O676" s="64"/>
      <c r="P676" s="64"/>
      <c r="Q676" s="64"/>
      <c r="R676" s="64"/>
      <c r="S676" s="64"/>
      <c r="T676" s="64"/>
      <c r="U676" s="64"/>
      <c r="V676" s="64"/>
      <c r="W676" s="64"/>
      <c r="X676" s="64"/>
      <c r="Y676" s="64"/>
      <c r="Z676" s="64"/>
    </row>
    <row r="677">
      <c r="A677" s="64"/>
      <c r="B677" s="64"/>
      <c r="C677" s="64"/>
      <c r="D677" s="64"/>
      <c r="E677" s="64"/>
      <c r="F677" s="64"/>
      <c r="G677" s="64"/>
      <c r="H677" s="64"/>
      <c r="I677" s="64"/>
      <c r="J677" s="64"/>
      <c r="K677" s="64"/>
      <c r="L677" s="64"/>
      <c r="M677" s="64"/>
      <c r="N677" s="64"/>
      <c r="O677" s="64"/>
      <c r="P677" s="64"/>
      <c r="Q677" s="64"/>
      <c r="R677" s="64"/>
      <c r="S677" s="64"/>
      <c r="T677" s="64"/>
      <c r="U677" s="64"/>
      <c r="V677" s="64"/>
      <c r="W677" s="64"/>
      <c r="X677" s="64"/>
      <c r="Y677" s="64"/>
      <c r="Z677" s="64"/>
    </row>
    <row r="678">
      <c r="A678" s="64"/>
      <c r="B678" s="64"/>
      <c r="C678" s="64"/>
      <c r="D678" s="64"/>
      <c r="E678" s="64"/>
      <c r="F678" s="64"/>
      <c r="G678" s="64"/>
      <c r="H678" s="64"/>
      <c r="I678" s="64"/>
      <c r="J678" s="64"/>
      <c r="K678" s="64"/>
      <c r="L678" s="64"/>
      <c r="M678" s="64"/>
      <c r="N678" s="64"/>
      <c r="O678" s="64"/>
      <c r="P678" s="64"/>
      <c r="Q678" s="64"/>
      <c r="R678" s="64"/>
      <c r="S678" s="64"/>
      <c r="T678" s="64"/>
      <c r="U678" s="64"/>
      <c r="V678" s="64"/>
      <c r="W678" s="64"/>
      <c r="X678" s="64"/>
      <c r="Y678" s="64"/>
      <c r="Z678" s="64"/>
    </row>
    <row r="679">
      <c r="A679" s="64"/>
      <c r="B679" s="64"/>
      <c r="C679" s="64"/>
      <c r="D679" s="64"/>
      <c r="E679" s="64"/>
      <c r="F679" s="64"/>
      <c r="G679" s="64"/>
      <c r="H679" s="64"/>
      <c r="I679" s="64"/>
      <c r="J679" s="64"/>
      <c r="K679" s="64"/>
      <c r="L679" s="64"/>
      <c r="M679" s="64"/>
      <c r="N679" s="64"/>
      <c r="O679" s="64"/>
      <c r="P679" s="64"/>
      <c r="Q679" s="64"/>
      <c r="R679" s="64"/>
      <c r="S679" s="64"/>
      <c r="T679" s="64"/>
      <c r="U679" s="64"/>
      <c r="V679" s="64"/>
      <c r="W679" s="64"/>
      <c r="X679" s="64"/>
      <c r="Y679" s="64"/>
      <c r="Z679" s="64"/>
    </row>
    <row r="680">
      <c r="A680" s="64"/>
      <c r="B680" s="64"/>
      <c r="C680" s="64"/>
      <c r="D680" s="64"/>
      <c r="E680" s="64"/>
      <c r="F680" s="64"/>
      <c r="G680" s="64"/>
      <c r="H680" s="64"/>
      <c r="I680" s="64"/>
      <c r="J680" s="64"/>
      <c r="K680" s="64"/>
      <c r="L680" s="64"/>
      <c r="M680" s="64"/>
      <c r="N680" s="64"/>
      <c r="O680" s="64"/>
      <c r="P680" s="64"/>
      <c r="Q680" s="64"/>
      <c r="R680" s="64"/>
      <c r="S680" s="64"/>
      <c r="T680" s="64"/>
      <c r="U680" s="64"/>
      <c r="V680" s="64"/>
      <c r="W680" s="64"/>
      <c r="X680" s="64"/>
      <c r="Y680" s="64"/>
      <c r="Z680" s="64"/>
    </row>
    <row r="681">
      <c r="A681" s="64"/>
      <c r="B681" s="64"/>
      <c r="C681" s="64"/>
      <c r="D681" s="64"/>
      <c r="E681" s="64"/>
      <c r="F681" s="64"/>
      <c r="G681" s="64"/>
      <c r="H681" s="64"/>
      <c r="I681" s="64"/>
      <c r="J681" s="64"/>
      <c r="K681" s="64"/>
      <c r="L681" s="64"/>
      <c r="M681" s="64"/>
      <c r="N681" s="64"/>
      <c r="O681" s="64"/>
      <c r="P681" s="64"/>
      <c r="Q681" s="64"/>
      <c r="R681" s="64"/>
      <c r="S681" s="64"/>
      <c r="T681" s="64"/>
      <c r="U681" s="64"/>
      <c r="V681" s="64"/>
      <c r="W681" s="64"/>
      <c r="X681" s="64"/>
      <c r="Y681" s="64"/>
      <c r="Z681" s="64"/>
    </row>
    <row r="682">
      <c r="A682" s="64"/>
      <c r="B682" s="64"/>
      <c r="C682" s="64"/>
      <c r="D682" s="64"/>
      <c r="E682" s="64"/>
      <c r="F682" s="64"/>
      <c r="G682" s="64"/>
      <c r="H682" s="64"/>
      <c r="I682" s="64"/>
      <c r="J682" s="64"/>
      <c r="K682" s="64"/>
      <c r="L682" s="64"/>
      <c r="M682" s="64"/>
      <c r="N682" s="64"/>
      <c r="O682" s="64"/>
      <c r="P682" s="64"/>
      <c r="Q682" s="64"/>
      <c r="R682" s="64"/>
      <c r="S682" s="64"/>
      <c r="T682" s="64"/>
      <c r="U682" s="64"/>
      <c r="V682" s="64"/>
      <c r="W682" s="64"/>
      <c r="X682" s="64"/>
      <c r="Y682" s="64"/>
      <c r="Z682" s="64"/>
    </row>
    <row r="683">
      <c r="A683" s="64"/>
      <c r="B683" s="64"/>
      <c r="C683" s="64"/>
      <c r="D683" s="64"/>
      <c r="E683" s="64"/>
      <c r="F683" s="64"/>
      <c r="G683" s="64"/>
      <c r="H683" s="64"/>
      <c r="I683" s="64"/>
      <c r="J683" s="64"/>
      <c r="K683" s="64"/>
      <c r="L683" s="64"/>
      <c r="M683" s="64"/>
      <c r="N683" s="64"/>
      <c r="O683" s="64"/>
      <c r="P683" s="64"/>
      <c r="Q683" s="64"/>
      <c r="R683" s="64"/>
      <c r="S683" s="64"/>
      <c r="T683" s="64"/>
      <c r="U683" s="64"/>
      <c r="V683" s="64"/>
      <c r="W683" s="64"/>
      <c r="X683" s="64"/>
      <c r="Y683" s="64"/>
      <c r="Z683" s="64"/>
    </row>
    <row r="684">
      <c r="A684" s="64"/>
      <c r="B684" s="64"/>
      <c r="C684" s="64"/>
      <c r="D684" s="64"/>
      <c r="E684" s="64"/>
      <c r="F684" s="64"/>
      <c r="G684" s="64"/>
      <c r="H684" s="64"/>
      <c r="I684" s="64"/>
      <c r="J684" s="64"/>
      <c r="K684" s="64"/>
      <c r="L684" s="64"/>
      <c r="M684" s="64"/>
      <c r="N684" s="64"/>
      <c r="O684" s="64"/>
      <c r="P684" s="64"/>
      <c r="Q684" s="64"/>
      <c r="R684" s="64"/>
      <c r="S684" s="64"/>
      <c r="T684" s="64"/>
      <c r="U684" s="64"/>
      <c r="V684" s="64"/>
      <c r="W684" s="64"/>
      <c r="X684" s="64"/>
      <c r="Y684" s="64"/>
      <c r="Z684" s="64"/>
    </row>
    <row r="685">
      <c r="A685" s="64"/>
      <c r="B685" s="64"/>
      <c r="C685" s="64"/>
      <c r="D685" s="64"/>
      <c r="E685" s="64"/>
      <c r="F685" s="64"/>
      <c r="G685" s="64"/>
      <c r="H685" s="64"/>
      <c r="I685" s="64"/>
      <c r="J685" s="64"/>
      <c r="K685" s="64"/>
      <c r="L685" s="64"/>
      <c r="M685" s="64"/>
      <c r="N685" s="64"/>
      <c r="O685" s="64"/>
      <c r="P685" s="64"/>
      <c r="Q685" s="64"/>
      <c r="R685" s="64"/>
      <c r="S685" s="64"/>
      <c r="T685" s="64"/>
      <c r="U685" s="64"/>
      <c r="V685" s="64"/>
      <c r="W685" s="64"/>
      <c r="X685" s="64"/>
      <c r="Y685" s="64"/>
      <c r="Z685" s="64"/>
    </row>
    <row r="686">
      <c r="A686" s="64"/>
      <c r="B686" s="64"/>
      <c r="C686" s="64"/>
      <c r="D686" s="64"/>
      <c r="E686" s="64"/>
      <c r="F686" s="64"/>
      <c r="G686" s="64"/>
      <c r="H686" s="64"/>
      <c r="I686" s="64"/>
      <c r="J686" s="64"/>
      <c r="K686" s="64"/>
      <c r="L686" s="64"/>
      <c r="M686" s="64"/>
      <c r="N686" s="64"/>
      <c r="O686" s="64"/>
      <c r="P686" s="64"/>
      <c r="Q686" s="64"/>
      <c r="R686" s="64"/>
      <c r="S686" s="64"/>
      <c r="T686" s="64"/>
      <c r="U686" s="64"/>
      <c r="V686" s="64"/>
      <c r="W686" s="64"/>
      <c r="X686" s="64"/>
      <c r="Y686" s="64"/>
      <c r="Z686" s="64"/>
    </row>
    <row r="687">
      <c r="A687" s="64"/>
      <c r="B687" s="64"/>
      <c r="C687" s="64"/>
      <c r="D687" s="64"/>
      <c r="E687" s="64"/>
      <c r="F687" s="64"/>
      <c r="G687" s="64"/>
      <c r="H687" s="64"/>
      <c r="I687" s="64"/>
      <c r="J687" s="64"/>
      <c r="K687" s="64"/>
      <c r="L687" s="64"/>
      <c r="M687" s="64"/>
      <c r="N687" s="64"/>
      <c r="O687" s="64"/>
      <c r="P687" s="64"/>
      <c r="Q687" s="64"/>
      <c r="R687" s="64"/>
      <c r="S687" s="64"/>
      <c r="T687" s="64"/>
      <c r="U687" s="64"/>
      <c r="V687" s="64"/>
      <c r="W687" s="64"/>
      <c r="X687" s="64"/>
      <c r="Y687" s="64"/>
      <c r="Z687" s="64"/>
    </row>
    <row r="688">
      <c r="A688" s="64"/>
      <c r="B688" s="64"/>
      <c r="C688" s="64"/>
      <c r="D688" s="64"/>
      <c r="E688" s="64"/>
      <c r="F688" s="64"/>
      <c r="G688" s="64"/>
      <c r="H688" s="64"/>
      <c r="I688" s="64"/>
      <c r="J688" s="64"/>
      <c r="K688" s="64"/>
      <c r="L688" s="64"/>
      <c r="M688" s="64"/>
      <c r="N688" s="64"/>
      <c r="O688" s="64"/>
      <c r="P688" s="64"/>
      <c r="Q688" s="64"/>
      <c r="R688" s="64"/>
      <c r="S688" s="64"/>
      <c r="T688" s="64"/>
      <c r="U688" s="64"/>
      <c r="V688" s="64"/>
      <c r="W688" s="64"/>
      <c r="X688" s="64"/>
      <c r="Y688" s="64"/>
      <c r="Z688" s="64"/>
    </row>
    <row r="689">
      <c r="A689" s="64"/>
      <c r="B689" s="64"/>
      <c r="C689" s="64"/>
      <c r="D689" s="64"/>
      <c r="E689" s="64"/>
      <c r="F689" s="64"/>
      <c r="G689" s="64"/>
      <c r="H689" s="64"/>
      <c r="I689" s="64"/>
      <c r="J689" s="64"/>
      <c r="K689" s="64"/>
      <c r="L689" s="64"/>
      <c r="M689" s="64"/>
      <c r="N689" s="64"/>
      <c r="O689" s="64"/>
      <c r="P689" s="64"/>
      <c r="Q689" s="64"/>
      <c r="R689" s="64"/>
      <c r="S689" s="64"/>
      <c r="T689" s="64"/>
      <c r="U689" s="64"/>
      <c r="V689" s="64"/>
      <c r="W689" s="64"/>
      <c r="X689" s="64"/>
      <c r="Y689" s="64"/>
      <c r="Z689" s="64"/>
    </row>
    <row r="690">
      <c r="A690" s="64"/>
      <c r="B690" s="64"/>
      <c r="C690" s="64"/>
      <c r="D690" s="64"/>
      <c r="E690" s="64"/>
      <c r="F690" s="64"/>
      <c r="G690" s="64"/>
      <c r="H690" s="64"/>
      <c r="I690" s="64"/>
      <c r="J690" s="64"/>
      <c r="K690" s="64"/>
      <c r="L690" s="64"/>
      <c r="M690" s="64"/>
      <c r="N690" s="64"/>
      <c r="O690" s="64"/>
      <c r="P690" s="64"/>
      <c r="Q690" s="64"/>
      <c r="R690" s="64"/>
      <c r="S690" s="64"/>
      <c r="T690" s="64"/>
      <c r="U690" s="64"/>
      <c r="V690" s="64"/>
      <c r="W690" s="64"/>
      <c r="X690" s="64"/>
      <c r="Y690" s="64"/>
      <c r="Z690" s="64"/>
    </row>
    <row r="691">
      <c r="A691" s="64"/>
      <c r="B691" s="64"/>
      <c r="C691" s="64"/>
      <c r="D691" s="64"/>
      <c r="E691" s="64"/>
      <c r="F691" s="64"/>
      <c r="G691" s="64"/>
      <c r="H691" s="64"/>
      <c r="I691" s="64"/>
      <c r="J691" s="64"/>
      <c r="K691" s="64"/>
      <c r="L691" s="64"/>
      <c r="M691" s="64"/>
      <c r="N691" s="64"/>
      <c r="O691" s="64"/>
      <c r="P691" s="64"/>
      <c r="Q691" s="64"/>
      <c r="R691" s="64"/>
      <c r="S691" s="64"/>
      <c r="T691" s="64"/>
      <c r="U691" s="64"/>
      <c r="V691" s="64"/>
      <c r="W691" s="64"/>
      <c r="X691" s="64"/>
      <c r="Y691" s="64"/>
      <c r="Z691" s="64"/>
    </row>
    <row r="692">
      <c r="A692" s="64"/>
      <c r="B692" s="64"/>
      <c r="C692" s="64"/>
      <c r="D692" s="64"/>
      <c r="E692" s="64"/>
      <c r="F692" s="64"/>
      <c r="G692" s="64"/>
      <c r="H692" s="64"/>
      <c r="I692" s="64"/>
      <c r="J692" s="64"/>
      <c r="K692" s="64"/>
      <c r="L692" s="64"/>
      <c r="M692" s="64"/>
      <c r="N692" s="64"/>
      <c r="O692" s="64"/>
      <c r="P692" s="64"/>
      <c r="Q692" s="64"/>
      <c r="R692" s="64"/>
      <c r="S692" s="64"/>
      <c r="T692" s="64"/>
      <c r="U692" s="64"/>
      <c r="V692" s="64"/>
      <c r="W692" s="64"/>
      <c r="X692" s="64"/>
      <c r="Y692" s="64"/>
      <c r="Z692" s="64"/>
    </row>
    <row r="693">
      <c r="A693" s="64"/>
      <c r="B693" s="64"/>
      <c r="C693" s="64"/>
      <c r="D693" s="64"/>
      <c r="E693" s="64"/>
      <c r="F693" s="64"/>
      <c r="G693" s="64"/>
      <c r="H693" s="64"/>
      <c r="I693" s="64"/>
      <c r="J693" s="64"/>
      <c r="K693" s="64"/>
      <c r="L693" s="64"/>
      <c r="M693" s="64"/>
      <c r="N693" s="64"/>
      <c r="O693" s="64"/>
      <c r="P693" s="64"/>
      <c r="Q693" s="64"/>
      <c r="R693" s="64"/>
      <c r="S693" s="64"/>
      <c r="T693" s="64"/>
      <c r="U693" s="64"/>
      <c r="V693" s="64"/>
      <c r="W693" s="64"/>
      <c r="X693" s="64"/>
      <c r="Y693" s="64"/>
      <c r="Z693" s="64"/>
    </row>
    <row r="694">
      <c r="A694" s="64"/>
      <c r="B694" s="64"/>
      <c r="C694" s="64"/>
      <c r="D694" s="64"/>
      <c r="E694" s="64"/>
      <c r="F694" s="64"/>
      <c r="G694" s="64"/>
      <c r="H694" s="64"/>
      <c r="I694" s="64"/>
      <c r="J694" s="64"/>
      <c r="K694" s="64"/>
      <c r="L694" s="64"/>
      <c r="M694" s="64"/>
      <c r="N694" s="64"/>
      <c r="O694" s="64"/>
      <c r="P694" s="64"/>
      <c r="Q694" s="64"/>
      <c r="R694" s="64"/>
      <c r="S694" s="64"/>
      <c r="T694" s="64"/>
      <c r="U694" s="64"/>
      <c r="V694" s="64"/>
      <c r="W694" s="64"/>
      <c r="X694" s="64"/>
      <c r="Y694" s="64"/>
      <c r="Z694" s="64"/>
    </row>
    <row r="695">
      <c r="A695" s="64"/>
      <c r="B695" s="64"/>
      <c r="C695" s="64"/>
      <c r="D695" s="64"/>
      <c r="E695" s="64"/>
      <c r="F695" s="64"/>
      <c r="G695" s="64"/>
      <c r="H695" s="64"/>
      <c r="I695" s="64"/>
      <c r="J695" s="64"/>
      <c r="K695" s="64"/>
      <c r="L695" s="64"/>
      <c r="M695" s="64"/>
      <c r="N695" s="64"/>
      <c r="O695" s="64"/>
      <c r="P695" s="64"/>
      <c r="Q695" s="64"/>
      <c r="R695" s="64"/>
      <c r="S695" s="64"/>
      <c r="T695" s="64"/>
      <c r="U695" s="64"/>
      <c r="V695" s="64"/>
      <c r="W695" s="64"/>
      <c r="X695" s="64"/>
      <c r="Y695" s="64"/>
      <c r="Z695" s="64"/>
    </row>
    <row r="696">
      <c r="A696" s="64"/>
      <c r="B696" s="64"/>
      <c r="C696" s="64"/>
      <c r="D696" s="64"/>
      <c r="E696" s="64"/>
      <c r="F696" s="64"/>
      <c r="G696" s="64"/>
      <c r="H696" s="64"/>
      <c r="I696" s="64"/>
      <c r="J696" s="64"/>
      <c r="K696" s="64"/>
      <c r="L696" s="64"/>
      <c r="M696" s="64"/>
      <c r="N696" s="64"/>
      <c r="O696" s="64"/>
      <c r="P696" s="64"/>
      <c r="Q696" s="64"/>
      <c r="R696" s="64"/>
      <c r="S696" s="64"/>
      <c r="T696" s="64"/>
      <c r="U696" s="64"/>
      <c r="V696" s="64"/>
      <c r="W696" s="64"/>
      <c r="X696" s="64"/>
      <c r="Y696" s="64"/>
      <c r="Z696" s="64"/>
    </row>
    <row r="697">
      <c r="A697" s="64"/>
      <c r="B697" s="64"/>
      <c r="C697" s="64"/>
      <c r="D697" s="64"/>
      <c r="E697" s="64"/>
      <c r="F697" s="64"/>
      <c r="G697" s="64"/>
      <c r="H697" s="64"/>
      <c r="I697" s="64"/>
      <c r="J697" s="64"/>
      <c r="K697" s="64"/>
      <c r="L697" s="64"/>
      <c r="M697" s="64"/>
      <c r="N697" s="64"/>
      <c r="O697" s="64"/>
      <c r="P697" s="64"/>
      <c r="Q697" s="64"/>
      <c r="R697" s="64"/>
      <c r="S697" s="64"/>
      <c r="T697" s="64"/>
      <c r="U697" s="64"/>
      <c r="V697" s="64"/>
      <c r="W697" s="64"/>
      <c r="X697" s="64"/>
      <c r="Y697" s="64"/>
      <c r="Z697" s="64"/>
    </row>
    <row r="698">
      <c r="A698" s="64"/>
      <c r="B698" s="64"/>
      <c r="C698" s="64"/>
      <c r="D698" s="64"/>
      <c r="E698" s="64"/>
      <c r="F698" s="64"/>
      <c r="G698" s="64"/>
      <c r="H698" s="64"/>
      <c r="I698" s="64"/>
      <c r="J698" s="64"/>
      <c r="K698" s="64"/>
      <c r="L698" s="64"/>
      <c r="M698" s="64"/>
      <c r="N698" s="64"/>
      <c r="O698" s="64"/>
      <c r="P698" s="64"/>
      <c r="Q698" s="64"/>
      <c r="R698" s="64"/>
      <c r="S698" s="64"/>
      <c r="T698" s="64"/>
      <c r="U698" s="64"/>
      <c r="V698" s="64"/>
      <c r="W698" s="64"/>
      <c r="X698" s="64"/>
      <c r="Y698" s="64"/>
      <c r="Z698" s="64"/>
    </row>
    <row r="699">
      <c r="A699" s="64"/>
      <c r="B699" s="64"/>
      <c r="C699" s="64"/>
      <c r="D699" s="64"/>
      <c r="E699" s="64"/>
      <c r="F699" s="64"/>
      <c r="G699" s="64"/>
      <c r="H699" s="64"/>
      <c r="I699" s="64"/>
      <c r="J699" s="64"/>
      <c r="K699" s="64"/>
      <c r="L699" s="64"/>
      <c r="M699" s="64"/>
      <c r="N699" s="64"/>
      <c r="O699" s="64"/>
      <c r="P699" s="64"/>
      <c r="Q699" s="64"/>
      <c r="R699" s="64"/>
      <c r="S699" s="64"/>
      <c r="T699" s="64"/>
      <c r="U699" s="64"/>
      <c r="V699" s="64"/>
      <c r="W699" s="64"/>
      <c r="X699" s="64"/>
      <c r="Y699" s="64"/>
      <c r="Z699" s="64"/>
    </row>
    <row r="700">
      <c r="A700" s="64"/>
      <c r="B700" s="64"/>
      <c r="C700" s="64"/>
      <c r="D700" s="64"/>
      <c r="E700" s="64"/>
      <c r="F700" s="64"/>
      <c r="G700" s="64"/>
      <c r="H700" s="64"/>
      <c r="I700" s="64"/>
      <c r="J700" s="64"/>
      <c r="K700" s="64"/>
      <c r="L700" s="64"/>
      <c r="M700" s="64"/>
      <c r="N700" s="64"/>
      <c r="O700" s="64"/>
      <c r="P700" s="64"/>
      <c r="Q700" s="64"/>
      <c r="R700" s="64"/>
      <c r="S700" s="64"/>
      <c r="T700" s="64"/>
      <c r="U700" s="64"/>
      <c r="V700" s="64"/>
      <c r="W700" s="64"/>
      <c r="X700" s="64"/>
      <c r="Y700" s="64"/>
      <c r="Z700" s="64"/>
    </row>
    <row r="701">
      <c r="A701" s="64"/>
      <c r="B701" s="64"/>
      <c r="C701" s="64"/>
      <c r="D701" s="64"/>
      <c r="E701" s="64"/>
      <c r="F701" s="64"/>
      <c r="G701" s="64"/>
      <c r="H701" s="64"/>
      <c r="I701" s="64"/>
      <c r="J701" s="64"/>
      <c r="K701" s="64"/>
      <c r="L701" s="64"/>
      <c r="M701" s="64"/>
      <c r="N701" s="64"/>
      <c r="O701" s="64"/>
      <c r="P701" s="64"/>
      <c r="Q701" s="64"/>
      <c r="R701" s="64"/>
      <c r="S701" s="64"/>
      <c r="T701" s="64"/>
      <c r="U701" s="64"/>
      <c r="V701" s="64"/>
      <c r="W701" s="64"/>
      <c r="X701" s="64"/>
      <c r="Y701" s="64"/>
      <c r="Z701" s="64"/>
    </row>
    <row r="702">
      <c r="A702" s="64"/>
      <c r="B702" s="64"/>
      <c r="C702" s="64"/>
      <c r="D702" s="64"/>
      <c r="E702" s="64"/>
      <c r="F702" s="64"/>
      <c r="G702" s="64"/>
      <c r="H702" s="64"/>
      <c r="I702" s="64"/>
      <c r="J702" s="64"/>
      <c r="K702" s="64"/>
      <c r="L702" s="64"/>
      <c r="M702" s="64"/>
      <c r="N702" s="64"/>
      <c r="O702" s="64"/>
      <c r="P702" s="64"/>
      <c r="Q702" s="64"/>
      <c r="R702" s="64"/>
      <c r="S702" s="64"/>
      <c r="T702" s="64"/>
      <c r="U702" s="64"/>
      <c r="V702" s="64"/>
      <c r="W702" s="64"/>
      <c r="X702" s="64"/>
      <c r="Y702" s="64"/>
      <c r="Z702" s="64"/>
    </row>
    <row r="703">
      <c r="A703" s="64"/>
      <c r="B703" s="64"/>
      <c r="C703" s="64"/>
      <c r="D703" s="64"/>
      <c r="E703" s="64"/>
      <c r="F703" s="64"/>
      <c r="G703" s="64"/>
      <c r="H703" s="64"/>
      <c r="I703" s="64"/>
      <c r="J703" s="64"/>
      <c r="K703" s="64"/>
      <c r="L703" s="64"/>
      <c r="M703" s="64"/>
      <c r="N703" s="64"/>
      <c r="O703" s="64"/>
      <c r="P703" s="64"/>
      <c r="Q703" s="64"/>
      <c r="R703" s="64"/>
      <c r="S703" s="64"/>
      <c r="T703" s="64"/>
      <c r="U703" s="64"/>
      <c r="V703" s="64"/>
      <c r="W703" s="64"/>
      <c r="X703" s="64"/>
      <c r="Y703" s="64"/>
      <c r="Z703" s="64"/>
    </row>
    <row r="704">
      <c r="A704" s="64"/>
      <c r="B704" s="64"/>
      <c r="C704" s="64"/>
      <c r="D704" s="64"/>
      <c r="E704" s="64"/>
      <c r="F704" s="64"/>
      <c r="G704" s="64"/>
      <c r="H704" s="64"/>
      <c r="I704" s="64"/>
      <c r="J704" s="64"/>
      <c r="K704" s="64"/>
      <c r="L704" s="64"/>
      <c r="M704" s="64"/>
      <c r="N704" s="64"/>
      <c r="O704" s="64"/>
      <c r="P704" s="64"/>
      <c r="Q704" s="64"/>
      <c r="R704" s="64"/>
      <c r="S704" s="64"/>
      <c r="T704" s="64"/>
      <c r="U704" s="64"/>
      <c r="V704" s="64"/>
      <c r="W704" s="64"/>
      <c r="X704" s="64"/>
      <c r="Y704" s="64"/>
      <c r="Z704" s="64"/>
    </row>
    <row r="705">
      <c r="A705" s="64"/>
      <c r="B705" s="64"/>
      <c r="C705" s="64"/>
      <c r="D705" s="64"/>
      <c r="E705" s="64"/>
      <c r="F705" s="64"/>
      <c r="G705" s="64"/>
      <c r="H705" s="64"/>
      <c r="I705" s="64"/>
      <c r="J705" s="64"/>
      <c r="K705" s="64"/>
      <c r="L705" s="64"/>
      <c r="M705" s="64"/>
      <c r="N705" s="64"/>
      <c r="O705" s="64"/>
      <c r="P705" s="64"/>
      <c r="Q705" s="64"/>
      <c r="R705" s="64"/>
      <c r="S705" s="64"/>
      <c r="T705" s="64"/>
      <c r="U705" s="64"/>
      <c r="V705" s="64"/>
      <c r="W705" s="64"/>
      <c r="X705" s="64"/>
      <c r="Y705" s="64"/>
      <c r="Z705" s="64"/>
    </row>
    <row r="706">
      <c r="A706" s="64"/>
      <c r="B706" s="64"/>
      <c r="C706" s="64"/>
      <c r="D706" s="64"/>
      <c r="E706" s="64"/>
      <c r="F706" s="64"/>
      <c r="G706" s="64"/>
      <c r="H706" s="64"/>
      <c r="I706" s="64"/>
      <c r="J706" s="64"/>
      <c r="K706" s="64"/>
      <c r="L706" s="64"/>
      <c r="M706" s="64"/>
      <c r="N706" s="64"/>
      <c r="O706" s="64"/>
      <c r="P706" s="64"/>
      <c r="Q706" s="64"/>
      <c r="R706" s="64"/>
      <c r="S706" s="64"/>
      <c r="T706" s="64"/>
      <c r="U706" s="64"/>
      <c r="V706" s="64"/>
      <c r="W706" s="64"/>
      <c r="X706" s="64"/>
      <c r="Y706" s="64"/>
      <c r="Z706" s="64"/>
    </row>
    <row r="707">
      <c r="A707" s="64"/>
      <c r="B707" s="64"/>
      <c r="C707" s="64"/>
      <c r="D707" s="64"/>
      <c r="E707" s="64"/>
      <c r="F707" s="64"/>
      <c r="G707" s="64"/>
      <c r="H707" s="64"/>
      <c r="I707" s="64"/>
      <c r="J707" s="64"/>
      <c r="K707" s="64"/>
      <c r="L707" s="64"/>
      <c r="M707" s="64"/>
      <c r="N707" s="64"/>
      <c r="O707" s="64"/>
      <c r="P707" s="64"/>
      <c r="Q707" s="64"/>
      <c r="R707" s="64"/>
      <c r="S707" s="64"/>
      <c r="T707" s="64"/>
      <c r="U707" s="64"/>
      <c r="V707" s="64"/>
      <c r="W707" s="64"/>
      <c r="X707" s="64"/>
      <c r="Y707" s="64"/>
      <c r="Z707" s="64"/>
    </row>
    <row r="708">
      <c r="A708" s="64"/>
      <c r="B708" s="64"/>
      <c r="C708" s="64"/>
      <c r="D708" s="64"/>
      <c r="E708" s="64"/>
      <c r="F708" s="64"/>
      <c r="G708" s="64"/>
      <c r="H708" s="64"/>
      <c r="I708" s="64"/>
      <c r="J708" s="64"/>
      <c r="K708" s="64"/>
      <c r="L708" s="64"/>
      <c r="M708" s="64"/>
      <c r="N708" s="64"/>
      <c r="O708" s="64"/>
      <c r="P708" s="64"/>
      <c r="Q708" s="64"/>
      <c r="R708" s="64"/>
      <c r="S708" s="64"/>
      <c r="T708" s="64"/>
      <c r="U708" s="64"/>
      <c r="V708" s="64"/>
      <c r="W708" s="64"/>
      <c r="X708" s="64"/>
      <c r="Y708" s="64"/>
      <c r="Z708" s="64"/>
    </row>
    <row r="709">
      <c r="A709" s="64"/>
      <c r="B709" s="64"/>
      <c r="C709" s="64"/>
      <c r="D709" s="64"/>
      <c r="E709" s="64"/>
      <c r="F709" s="64"/>
      <c r="G709" s="64"/>
      <c r="H709" s="64"/>
      <c r="I709" s="64"/>
      <c r="J709" s="64"/>
      <c r="K709" s="64"/>
      <c r="L709" s="64"/>
      <c r="M709" s="64"/>
      <c r="N709" s="64"/>
      <c r="O709" s="64"/>
      <c r="P709" s="64"/>
      <c r="Q709" s="64"/>
      <c r="R709" s="64"/>
      <c r="S709" s="64"/>
      <c r="T709" s="64"/>
      <c r="U709" s="64"/>
      <c r="V709" s="64"/>
      <c r="W709" s="64"/>
      <c r="X709" s="64"/>
      <c r="Y709" s="64"/>
      <c r="Z709" s="64"/>
    </row>
    <row r="710">
      <c r="A710" s="64"/>
      <c r="B710" s="64"/>
      <c r="C710" s="64"/>
      <c r="D710" s="64"/>
      <c r="E710" s="64"/>
      <c r="F710" s="64"/>
      <c r="G710" s="64"/>
      <c r="H710" s="64"/>
      <c r="I710" s="64"/>
      <c r="J710" s="64"/>
      <c r="K710" s="64"/>
      <c r="L710" s="64"/>
      <c r="M710" s="64"/>
      <c r="N710" s="64"/>
      <c r="O710" s="64"/>
      <c r="P710" s="64"/>
      <c r="Q710" s="64"/>
      <c r="R710" s="64"/>
      <c r="S710" s="64"/>
      <c r="T710" s="64"/>
      <c r="U710" s="64"/>
      <c r="V710" s="64"/>
      <c r="W710" s="64"/>
      <c r="X710" s="64"/>
      <c r="Y710" s="64"/>
      <c r="Z710" s="64"/>
    </row>
    <row r="711">
      <c r="A711" s="64"/>
      <c r="B711" s="64"/>
      <c r="C711" s="64"/>
      <c r="D711" s="64"/>
      <c r="E711" s="64"/>
      <c r="F711" s="64"/>
      <c r="G711" s="64"/>
      <c r="H711" s="64"/>
      <c r="I711" s="64"/>
      <c r="J711" s="64"/>
      <c r="K711" s="64"/>
      <c r="L711" s="64"/>
      <c r="M711" s="64"/>
      <c r="N711" s="64"/>
      <c r="O711" s="64"/>
      <c r="P711" s="64"/>
      <c r="Q711" s="64"/>
      <c r="R711" s="64"/>
      <c r="S711" s="64"/>
      <c r="T711" s="64"/>
      <c r="U711" s="64"/>
      <c r="V711" s="64"/>
      <c r="W711" s="64"/>
      <c r="X711" s="64"/>
      <c r="Y711" s="64"/>
      <c r="Z711" s="64"/>
    </row>
    <row r="712">
      <c r="A712" s="64"/>
      <c r="B712" s="64"/>
      <c r="C712" s="64"/>
      <c r="D712" s="64"/>
      <c r="E712" s="64"/>
      <c r="F712" s="64"/>
      <c r="G712" s="64"/>
      <c r="H712" s="64"/>
      <c r="I712" s="64"/>
      <c r="J712" s="64"/>
      <c r="K712" s="64"/>
      <c r="L712" s="64"/>
      <c r="M712" s="64"/>
      <c r="N712" s="64"/>
      <c r="O712" s="64"/>
      <c r="P712" s="64"/>
      <c r="Q712" s="64"/>
      <c r="R712" s="64"/>
      <c r="S712" s="64"/>
      <c r="T712" s="64"/>
      <c r="U712" s="64"/>
      <c r="V712" s="64"/>
      <c r="W712" s="64"/>
      <c r="X712" s="64"/>
      <c r="Y712" s="64"/>
      <c r="Z712" s="64"/>
    </row>
    <row r="713">
      <c r="A713" s="64"/>
      <c r="B713" s="64"/>
      <c r="C713" s="64"/>
      <c r="D713" s="64"/>
      <c r="E713" s="64"/>
      <c r="F713" s="64"/>
      <c r="G713" s="64"/>
      <c r="H713" s="64"/>
      <c r="I713" s="64"/>
      <c r="J713" s="64"/>
      <c r="K713" s="64"/>
      <c r="L713" s="64"/>
      <c r="M713" s="64"/>
      <c r="N713" s="64"/>
      <c r="O713" s="64"/>
      <c r="P713" s="64"/>
      <c r="Q713" s="64"/>
      <c r="R713" s="64"/>
      <c r="S713" s="64"/>
      <c r="T713" s="64"/>
      <c r="U713" s="64"/>
      <c r="V713" s="64"/>
      <c r="W713" s="64"/>
      <c r="X713" s="64"/>
      <c r="Y713" s="64"/>
      <c r="Z713" s="64"/>
    </row>
    <row r="714">
      <c r="A714" s="64"/>
      <c r="B714" s="64"/>
      <c r="C714" s="64"/>
      <c r="D714" s="64"/>
      <c r="E714" s="64"/>
      <c r="F714" s="64"/>
      <c r="G714" s="64"/>
      <c r="H714" s="64"/>
      <c r="I714" s="64"/>
      <c r="J714" s="64"/>
      <c r="K714" s="64"/>
      <c r="L714" s="64"/>
      <c r="M714" s="64"/>
      <c r="N714" s="64"/>
      <c r="O714" s="64"/>
      <c r="P714" s="64"/>
      <c r="Q714" s="64"/>
      <c r="R714" s="64"/>
      <c r="S714" s="64"/>
      <c r="T714" s="64"/>
      <c r="U714" s="64"/>
      <c r="V714" s="64"/>
      <c r="W714" s="64"/>
      <c r="X714" s="64"/>
      <c r="Y714" s="64"/>
      <c r="Z714" s="64"/>
    </row>
    <row r="715">
      <c r="A715" s="64"/>
      <c r="B715" s="64"/>
      <c r="C715" s="64"/>
      <c r="D715" s="64"/>
      <c r="E715" s="64"/>
      <c r="F715" s="64"/>
      <c r="G715" s="64"/>
      <c r="H715" s="64"/>
      <c r="I715" s="64"/>
      <c r="J715" s="64"/>
      <c r="K715" s="64"/>
      <c r="L715" s="64"/>
      <c r="M715" s="64"/>
      <c r="N715" s="64"/>
      <c r="O715" s="64"/>
      <c r="P715" s="64"/>
      <c r="Q715" s="64"/>
      <c r="R715" s="64"/>
      <c r="S715" s="64"/>
      <c r="T715" s="64"/>
      <c r="U715" s="64"/>
      <c r="V715" s="64"/>
      <c r="W715" s="64"/>
      <c r="X715" s="64"/>
      <c r="Y715" s="64"/>
      <c r="Z715" s="64"/>
    </row>
    <row r="716">
      <c r="A716" s="64"/>
      <c r="B716" s="64"/>
      <c r="C716" s="64"/>
      <c r="D716" s="64"/>
      <c r="E716" s="64"/>
      <c r="F716" s="64"/>
      <c r="G716" s="64"/>
      <c r="H716" s="64"/>
      <c r="I716" s="64"/>
      <c r="J716" s="64"/>
      <c r="K716" s="64"/>
      <c r="L716" s="64"/>
      <c r="M716" s="64"/>
      <c r="N716" s="64"/>
      <c r="O716" s="64"/>
      <c r="P716" s="64"/>
      <c r="Q716" s="64"/>
      <c r="R716" s="64"/>
      <c r="S716" s="64"/>
      <c r="T716" s="64"/>
      <c r="U716" s="64"/>
      <c r="V716" s="64"/>
      <c r="W716" s="64"/>
      <c r="X716" s="64"/>
      <c r="Y716" s="64"/>
      <c r="Z716" s="64"/>
    </row>
    <row r="717">
      <c r="A717" s="64"/>
      <c r="B717" s="64"/>
      <c r="C717" s="64"/>
      <c r="D717" s="64"/>
      <c r="E717" s="64"/>
      <c r="F717" s="64"/>
      <c r="G717" s="64"/>
      <c r="H717" s="64"/>
      <c r="I717" s="64"/>
      <c r="J717" s="64"/>
      <c r="K717" s="64"/>
      <c r="L717" s="64"/>
      <c r="M717" s="64"/>
      <c r="N717" s="64"/>
      <c r="O717" s="64"/>
      <c r="P717" s="64"/>
      <c r="Q717" s="64"/>
      <c r="R717" s="64"/>
      <c r="S717" s="64"/>
      <c r="T717" s="64"/>
      <c r="U717" s="64"/>
      <c r="V717" s="64"/>
      <c r="W717" s="64"/>
      <c r="X717" s="64"/>
      <c r="Y717" s="64"/>
      <c r="Z717" s="64"/>
    </row>
    <row r="718">
      <c r="A718" s="64"/>
      <c r="B718" s="64"/>
      <c r="C718" s="64"/>
      <c r="D718" s="64"/>
      <c r="E718" s="64"/>
      <c r="F718" s="64"/>
      <c r="G718" s="64"/>
      <c r="H718" s="64"/>
      <c r="I718" s="64"/>
      <c r="J718" s="64"/>
      <c r="K718" s="64"/>
      <c r="L718" s="64"/>
      <c r="M718" s="64"/>
      <c r="N718" s="64"/>
      <c r="O718" s="64"/>
      <c r="P718" s="64"/>
      <c r="Q718" s="64"/>
      <c r="R718" s="64"/>
      <c r="S718" s="64"/>
      <c r="T718" s="64"/>
      <c r="U718" s="64"/>
      <c r="V718" s="64"/>
      <c r="W718" s="64"/>
      <c r="X718" s="64"/>
      <c r="Y718" s="64"/>
      <c r="Z718" s="64"/>
    </row>
    <row r="719">
      <c r="A719" s="64"/>
      <c r="B719" s="64"/>
      <c r="C719" s="64"/>
      <c r="D719" s="64"/>
      <c r="E719" s="64"/>
      <c r="F719" s="64"/>
      <c r="G719" s="64"/>
      <c r="H719" s="64"/>
      <c r="I719" s="64"/>
      <c r="J719" s="64"/>
      <c r="K719" s="64"/>
      <c r="L719" s="64"/>
      <c r="M719" s="64"/>
      <c r="N719" s="64"/>
      <c r="O719" s="64"/>
      <c r="P719" s="64"/>
      <c r="Q719" s="64"/>
      <c r="R719" s="64"/>
      <c r="S719" s="64"/>
      <c r="T719" s="64"/>
      <c r="U719" s="64"/>
      <c r="V719" s="64"/>
      <c r="W719" s="64"/>
      <c r="X719" s="64"/>
      <c r="Y719" s="64"/>
      <c r="Z719" s="64"/>
    </row>
    <row r="720">
      <c r="A720" s="64"/>
      <c r="B720" s="64"/>
      <c r="C720" s="64"/>
      <c r="D720" s="64"/>
      <c r="E720" s="64"/>
      <c r="F720" s="64"/>
      <c r="G720" s="64"/>
      <c r="H720" s="64"/>
      <c r="I720" s="64"/>
      <c r="J720" s="64"/>
      <c r="K720" s="64"/>
      <c r="L720" s="64"/>
      <c r="M720" s="64"/>
      <c r="N720" s="64"/>
      <c r="O720" s="64"/>
      <c r="P720" s="64"/>
      <c r="Q720" s="64"/>
      <c r="R720" s="64"/>
      <c r="S720" s="64"/>
      <c r="T720" s="64"/>
      <c r="U720" s="64"/>
      <c r="V720" s="64"/>
      <c r="W720" s="64"/>
      <c r="X720" s="64"/>
      <c r="Y720" s="64"/>
      <c r="Z720" s="64"/>
    </row>
    <row r="721">
      <c r="A721" s="64"/>
      <c r="B721" s="64"/>
      <c r="C721" s="64"/>
      <c r="D721" s="64"/>
      <c r="E721" s="64"/>
      <c r="F721" s="64"/>
      <c r="G721" s="64"/>
      <c r="H721" s="64"/>
      <c r="I721" s="64"/>
      <c r="J721" s="64"/>
      <c r="K721" s="64"/>
      <c r="L721" s="64"/>
      <c r="M721" s="64"/>
      <c r="N721" s="64"/>
      <c r="O721" s="64"/>
      <c r="P721" s="64"/>
      <c r="Q721" s="64"/>
      <c r="R721" s="64"/>
      <c r="S721" s="64"/>
      <c r="T721" s="64"/>
      <c r="U721" s="64"/>
      <c r="V721" s="64"/>
      <c r="W721" s="64"/>
      <c r="X721" s="64"/>
      <c r="Y721" s="64"/>
      <c r="Z721" s="64"/>
    </row>
    <row r="722">
      <c r="A722" s="64"/>
      <c r="B722" s="64"/>
      <c r="C722" s="64"/>
      <c r="D722" s="64"/>
      <c r="E722" s="64"/>
      <c r="F722" s="64"/>
      <c r="G722" s="64"/>
      <c r="H722" s="64"/>
      <c r="I722" s="64"/>
      <c r="J722" s="64"/>
      <c r="K722" s="64"/>
      <c r="L722" s="64"/>
      <c r="M722" s="64"/>
      <c r="N722" s="64"/>
      <c r="O722" s="64"/>
      <c r="P722" s="64"/>
      <c r="Q722" s="64"/>
      <c r="R722" s="64"/>
      <c r="S722" s="64"/>
      <c r="T722" s="64"/>
      <c r="U722" s="64"/>
      <c r="V722" s="64"/>
      <c r="W722" s="64"/>
      <c r="X722" s="64"/>
      <c r="Y722" s="64"/>
      <c r="Z722" s="64"/>
    </row>
    <row r="723">
      <c r="A723" s="64"/>
      <c r="B723" s="64"/>
      <c r="C723" s="64"/>
      <c r="D723" s="64"/>
      <c r="E723" s="64"/>
      <c r="F723" s="64"/>
      <c r="G723" s="64"/>
      <c r="H723" s="64"/>
      <c r="I723" s="64"/>
      <c r="J723" s="64"/>
      <c r="K723" s="64"/>
      <c r="L723" s="64"/>
      <c r="M723" s="64"/>
      <c r="N723" s="64"/>
      <c r="O723" s="64"/>
      <c r="P723" s="64"/>
      <c r="Q723" s="64"/>
      <c r="R723" s="64"/>
      <c r="S723" s="64"/>
      <c r="T723" s="64"/>
      <c r="U723" s="64"/>
      <c r="V723" s="64"/>
      <c r="W723" s="64"/>
      <c r="X723" s="64"/>
      <c r="Y723" s="64"/>
      <c r="Z723" s="64"/>
    </row>
    <row r="724">
      <c r="A724" s="64"/>
      <c r="B724" s="64"/>
      <c r="C724" s="64"/>
      <c r="D724" s="64"/>
      <c r="E724" s="64"/>
      <c r="F724" s="64"/>
      <c r="G724" s="64"/>
      <c r="H724" s="64"/>
      <c r="I724" s="64"/>
      <c r="J724" s="64"/>
      <c r="K724" s="64"/>
      <c r="L724" s="64"/>
      <c r="M724" s="64"/>
      <c r="N724" s="64"/>
      <c r="O724" s="64"/>
      <c r="P724" s="64"/>
      <c r="Q724" s="64"/>
      <c r="R724" s="64"/>
      <c r="S724" s="64"/>
      <c r="T724" s="64"/>
      <c r="U724" s="64"/>
      <c r="V724" s="64"/>
      <c r="W724" s="64"/>
      <c r="X724" s="64"/>
      <c r="Y724" s="64"/>
      <c r="Z724" s="64"/>
    </row>
    <row r="725">
      <c r="A725" s="64"/>
      <c r="B725" s="64"/>
      <c r="C725" s="64"/>
      <c r="D725" s="64"/>
      <c r="E725" s="64"/>
      <c r="F725" s="64"/>
      <c r="G725" s="64"/>
      <c r="H725" s="64"/>
      <c r="I725" s="64"/>
      <c r="J725" s="64"/>
      <c r="K725" s="64"/>
      <c r="L725" s="64"/>
      <c r="M725" s="64"/>
      <c r="N725" s="64"/>
      <c r="O725" s="64"/>
      <c r="P725" s="64"/>
      <c r="Q725" s="64"/>
      <c r="R725" s="64"/>
      <c r="S725" s="64"/>
      <c r="T725" s="64"/>
      <c r="U725" s="64"/>
      <c r="V725" s="64"/>
      <c r="W725" s="64"/>
      <c r="X725" s="64"/>
      <c r="Y725" s="64"/>
      <c r="Z725" s="64"/>
    </row>
    <row r="726">
      <c r="A726" s="64"/>
      <c r="B726" s="64"/>
      <c r="C726" s="64"/>
      <c r="D726" s="64"/>
      <c r="E726" s="64"/>
      <c r="F726" s="64"/>
      <c r="G726" s="64"/>
      <c r="H726" s="64"/>
      <c r="I726" s="64"/>
      <c r="J726" s="64"/>
      <c r="K726" s="64"/>
      <c r="L726" s="64"/>
      <c r="M726" s="64"/>
      <c r="N726" s="64"/>
      <c r="O726" s="64"/>
      <c r="P726" s="64"/>
      <c r="Q726" s="64"/>
      <c r="R726" s="64"/>
      <c r="S726" s="64"/>
      <c r="T726" s="64"/>
      <c r="U726" s="64"/>
      <c r="V726" s="64"/>
      <c r="W726" s="64"/>
      <c r="X726" s="64"/>
      <c r="Y726" s="64"/>
      <c r="Z726" s="64"/>
    </row>
    <row r="727">
      <c r="A727" s="64"/>
      <c r="B727" s="64"/>
      <c r="C727" s="64"/>
      <c r="D727" s="64"/>
      <c r="E727" s="64"/>
      <c r="F727" s="64"/>
      <c r="G727" s="64"/>
      <c r="H727" s="64"/>
      <c r="I727" s="64"/>
      <c r="J727" s="64"/>
      <c r="K727" s="64"/>
      <c r="L727" s="64"/>
      <c r="M727" s="64"/>
      <c r="N727" s="64"/>
      <c r="O727" s="64"/>
      <c r="P727" s="64"/>
      <c r="Q727" s="64"/>
      <c r="R727" s="64"/>
      <c r="S727" s="64"/>
      <c r="T727" s="64"/>
      <c r="U727" s="64"/>
      <c r="V727" s="64"/>
      <c r="W727" s="64"/>
      <c r="X727" s="64"/>
      <c r="Y727" s="64"/>
      <c r="Z727" s="64"/>
    </row>
    <row r="728">
      <c r="A728" s="64"/>
      <c r="B728" s="64"/>
      <c r="C728" s="64"/>
      <c r="D728" s="64"/>
      <c r="E728" s="64"/>
      <c r="F728" s="64"/>
      <c r="G728" s="64"/>
      <c r="H728" s="64"/>
      <c r="I728" s="64"/>
      <c r="J728" s="64"/>
      <c r="K728" s="64"/>
      <c r="L728" s="64"/>
      <c r="M728" s="64"/>
      <c r="N728" s="64"/>
      <c r="O728" s="64"/>
      <c r="P728" s="64"/>
      <c r="Q728" s="64"/>
      <c r="R728" s="64"/>
      <c r="S728" s="64"/>
      <c r="T728" s="64"/>
      <c r="U728" s="64"/>
      <c r="V728" s="64"/>
      <c r="W728" s="64"/>
      <c r="X728" s="64"/>
      <c r="Y728" s="64"/>
      <c r="Z728" s="64"/>
    </row>
    <row r="729">
      <c r="A729" s="64"/>
      <c r="B729" s="64"/>
      <c r="C729" s="64"/>
      <c r="D729" s="64"/>
      <c r="E729" s="64"/>
      <c r="F729" s="64"/>
      <c r="G729" s="64"/>
      <c r="H729" s="64"/>
      <c r="I729" s="64"/>
      <c r="J729" s="64"/>
      <c r="K729" s="64"/>
      <c r="L729" s="64"/>
      <c r="M729" s="64"/>
      <c r="N729" s="64"/>
      <c r="O729" s="64"/>
      <c r="P729" s="64"/>
      <c r="Q729" s="64"/>
      <c r="R729" s="64"/>
      <c r="S729" s="64"/>
      <c r="T729" s="64"/>
      <c r="U729" s="64"/>
      <c r="V729" s="64"/>
      <c r="W729" s="64"/>
      <c r="X729" s="64"/>
      <c r="Y729" s="64"/>
      <c r="Z729" s="64"/>
    </row>
    <row r="730">
      <c r="A730" s="64"/>
      <c r="B730" s="64"/>
      <c r="C730" s="64"/>
      <c r="D730" s="64"/>
      <c r="E730" s="64"/>
      <c r="F730" s="64"/>
      <c r="G730" s="64"/>
      <c r="H730" s="64"/>
      <c r="I730" s="64"/>
      <c r="J730" s="64"/>
      <c r="K730" s="64"/>
      <c r="L730" s="64"/>
      <c r="M730" s="64"/>
      <c r="N730" s="64"/>
      <c r="O730" s="64"/>
      <c r="P730" s="64"/>
      <c r="Q730" s="64"/>
      <c r="R730" s="64"/>
      <c r="S730" s="64"/>
      <c r="T730" s="64"/>
      <c r="U730" s="64"/>
      <c r="V730" s="64"/>
      <c r="W730" s="64"/>
      <c r="X730" s="64"/>
      <c r="Y730" s="64"/>
      <c r="Z730" s="64"/>
    </row>
    <row r="731">
      <c r="A731" s="64"/>
      <c r="B731" s="64"/>
      <c r="C731" s="64"/>
      <c r="D731" s="64"/>
      <c r="E731" s="64"/>
      <c r="F731" s="64"/>
      <c r="G731" s="64"/>
      <c r="H731" s="64"/>
      <c r="I731" s="64"/>
      <c r="J731" s="64"/>
      <c r="K731" s="64"/>
      <c r="L731" s="64"/>
      <c r="M731" s="64"/>
      <c r="N731" s="64"/>
      <c r="O731" s="64"/>
      <c r="P731" s="64"/>
      <c r="Q731" s="64"/>
      <c r="R731" s="64"/>
      <c r="S731" s="64"/>
      <c r="T731" s="64"/>
      <c r="U731" s="64"/>
      <c r="V731" s="64"/>
      <c r="W731" s="64"/>
      <c r="X731" s="64"/>
      <c r="Y731" s="64"/>
      <c r="Z731" s="64"/>
    </row>
    <row r="732">
      <c r="A732" s="64"/>
      <c r="B732" s="64"/>
      <c r="C732" s="64"/>
      <c r="D732" s="64"/>
      <c r="E732" s="64"/>
      <c r="F732" s="64"/>
      <c r="G732" s="64"/>
      <c r="H732" s="64"/>
      <c r="I732" s="64"/>
      <c r="J732" s="64"/>
      <c r="K732" s="64"/>
      <c r="L732" s="64"/>
      <c r="M732" s="64"/>
      <c r="N732" s="64"/>
      <c r="O732" s="64"/>
      <c r="P732" s="64"/>
      <c r="Q732" s="64"/>
      <c r="R732" s="64"/>
      <c r="S732" s="64"/>
      <c r="T732" s="64"/>
      <c r="U732" s="64"/>
      <c r="V732" s="64"/>
      <c r="W732" s="64"/>
      <c r="X732" s="64"/>
      <c r="Y732" s="64"/>
      <c r="Z732" s="64"/>
    </row>
    <row r="733">
      <c r="A733" s="64"/>
      <c r="B733" s="64"/>
      <c r="C733" s="64"/>
      <c r="D733" s="64"/>
      <c r="E733" s="64"/>
      <c r="F733" s="64"/>
      <c r="G733" s="64"/>
      <c r="H733" s="64"/>
      <c r="I733" s="64"/>
      <c r="J733" s="64"/>
      <c r="K733" s="64"/>
      <c r="L733" s="64"/>
      <c r="M733" s="64"/>
      <c r="N733" s="64"/>
      <c r="O733" s="64"/>
      <c r="P733" s="64"/>
      <c r="Q733" s="64"/>
      <c r="R733" s="64"/>
      <c r="S733" s="64"/>
      <c r="T733" s="64"/>
      <c r="U733" s="64"/>
      <c r="V733" s="64"/>
      <c r="W733" s="64"/>
      <c r="X733" s="64"/>
      <c r="Y733" s="64"/>
      <c r="Z733" s="64"/>
    </row>
    <row r="734">
      <c r="A734" s="64"/>
      <c r="B734" s="64"/>
      <c r="C734" s="64"/>
      <c r="D734" s="64"/>
      <c r="E734" s="64"/>
      <c r="F734" s="64"/>
      <c r="G734" s="64"/>
      <c r="H734" s="64"/>
      <c r="I734" s="64"/>
      <c r="J734" s="64"/>
      <c r="K734" s="64"/>
      <c r="L734" s="64"/>
      <c r="M734" s="64"/>
      <c r="N734" s="64"/>
      <c r="O734" s="64"/>
      <c r="P734" s="64"/>
      <c r="Q734" s="64"/>
      <c r="R734" s="64"/>
      <c r="S734" s="64"/>
      <c r="T734" s="64"/>
      <c r="U734" s="64"/>
      <c r="V734" s="64"/>
      <c r="W734" s="64"/>
      <c r="X734" s="64"/>
      <c r="Y734" s="64"/>
      <c r="Z734" s="64"/>
    </row>
    <row r="735">
      <c r="A735" s="64"/>
      <c r="B735" s="64"/>
      <c r="C735" s="64"/>
      <c r="D735" s="64"/>
      <c r="E735" s="64"/>
      <c r="F735" s="64"/>
      <c r="G735" s="64"/>
      <c r="H735" s="64"/>
      <c r="I735" s="64"/>
      <c r="J735" s="64"/>
      <c r="K735" s="64"/>
      <c r="L735" s="64"/>
      <c r="M735" s="64"/>
      <c r="N735" s="64"/>
      <c r="O735" s="64"/>
      <c r="P735" s="64"/>
      <c r="Q735" s="64"/>
      <c r="R735" s="64"/>
      <c r="S735" s="64"/>
      <c r="T735" s="64"/>
      <c r="U735" s="64"/>
      <c r="V735" s="64"/>
      <c r="W735" s="64"/>
      <c r="X735" s="64"/>
      <c r="Y735" s="64"/>
      <c r="Z735" s="64"/>
    </row>
    <row r="736">
      <c r="A736" s="64"/>
      <c r="B736" s="64"/>
      <c r="C736" s="64"/>
      <c r="D736" s="64"/>
      <c r="E736" s="64"/>
      <c r="F736" s="64"/>
      <c r="G736" s="64"/>
      <c r="H736" s="64"/>
      <c r="I736" s="64"/>
      <c r="J736" s="64"/>
      <c r="K736" s="64"/>
      <c r="L736" s="64"/>
      <c r="M736" s="64"/>
      <c r="N736" s="64"/>
      <c r="O736" s="64"/>
      <c r="P736" s="64"/>
      <c r="Q736" s="64"/>
      <c r="R736" s="64"/>
      <c r="S736" s="64"/>
      <c r="T736" s="64"/>
      <c r="U736" s="64"/>
      <c r="V736" s="64"/>
      <c r="W736" s="64"/>
      <c r="X736" s="64"/>
      <c r="Y736" s="64"/>
      <c r="Z736" s="64"/>
    </row>
    <row r="737">
      <c r="A737" s="64"/>
      <c r="B737" s="64"/>
      <c r="C737" s="64"/>
      <c r="D737" s="64"/>
      <c r="E737" s="64"/>
      <c r="F737" s="64"/>
      <c r="G737" s="64"/>
      <c r="H737" s="64"/>
      <c r="I737" s="64"/>
      <c r="J737" s="64"/>
      <c r="K737" s="64"/>
      <c r="L737" s="64"/>
      <c r="M737" s="64"/>
      <c r="N737" s="64"/>
      <c r="O737" s="64"/>
      <c r="P737" s="64"/>
      <c r="Q737" s="64"/>
      <c r="R737" s="64"/>
      <c r="S737" s="64"/>
      <c r="T737" s="64"/>
      <c r="U737" s="64"/>
      <c r="V737" s="64"/>
      <c r="W737" s="64"/>
      <c r="X737" s="64"/>
      <c r="Y737" s="64"/>
      <c r="Z737" s="64"/>
    </row>
    <row r="738">
      <c r="A738" s="64"/>
      <c r="B738" s="64"/>
      <c r="C738" s="64"/>
      <c r="D738" s="64"/>
      <c r="E738" s="64"/>
      <c r="F738" s="64"/>
      <c r="G738" s="64"/>
      <c r="H738" s="64"/>
      <c r="I738" s="64"/>
      <c r="J738" s="64"/>
      <c r="K738" s="64"/>
      <c r="L738" s="64"/>
      <c r="M738" s="64"/>
      <c r="N738" s="64"/>
      <c r="O738" s="64"/>
      <c r="P738" s="64"/>
      <c r="Q738" s="64"/>
      <c r="R738" s="64"/>
      <c r="S738" s="64"/>
      <c r="T738" s="64"/>
      <c r="U738" s="64"/>
      <c r="V738" s="64"/>
      <c r="W738" s="64"/>
      <c r="X738" s="64"/>
      <c r="Y738" s="64"/>
      <c r="Z738" s="64"/>
    </row>
    <row r="739">
      <c r="A739" s="64"/>
      <c r="B739" s="64"/>
      <c r="C739" s="64"/>
      <c r="D739" s="64"/>
      <c r="E739" s="64"/>
      <c r="F739" s="64"/>
      <c r="G739" s="64"/>
      <c r="H739" s="64"/>
      <c r="I739" s="64"/>
      <c r="J739" s="64"/>
      <c r="K739" s="64"/>
      <c r="L739" s="64"/>
      <c r="M739" s="64"/>
      <c r="N739" s="64"/>
      <c r="O739" s="64"/>
      <c r="P739" s="64"/>
      <c r="Q739" s="64"/>
      <c r="R739" s="64"/>
      <c r="S739" s="64"/>
      <c r="T739" s="64"/>
      <c r="U739" s="64"/>
      <c r="V739" s="64"/>
      <c r="W739" s="64"/>
      <c r="X739" s="64"/>
      <c r="Y739" s="64"/>
      <c r="Z739" s="64"/>
    </row>
    <row r="740">
      <c r="A740" s="64"/>
      <c r="B740" s="64"/>
      <c r="C740" s="64"/>
      <c r="D740" s="64"/>
      <c r="E740" s="64"/>
      <c r="F740" s="64"/>
      <c r="G740" s="64"/>
      <c r="H740" s="64"/>
      <c r="I740" s="64"/>
      <c r="J740" s="64"/>
      <c r="K740" s="64"/>
      <c r="L740" s="64"/>
      <c r="M740" s="64"/>
      <c r="N740" s="64"/>
      <c r="O740" s="64"/>
      <c r="P740" s="64"/>
      <c r="Q740" s="64"/>
      <c r="R740" s="64"/>
      <c r="S740" s="64"/>
      <c r="T740" s="64"/>
      <c r="U740" s="64"/>
      <c r="V740" s="64"/>
      <c r="W740" s="64"/>
      <c r="X740" s="64"/>
      <c r="Y740" s="64"/>
      <c r="Z740" s="64"/>
    </row>
    <row r="741">
      <c r="A741" s="64"/>
      <c r="B741" s="64"/>
      <c r="C741" s="64"/>
      <c r="D741" s="64"/>
      <c r="E741" s="64"/>
      <c r="F741" s="64"/>
      <c r="G741" s="64"/>
      <c r="H741" s="64"/>
      <c r="I741" s="64"/>
      <c r="J741" s="64"/>
      <c r="K741" s="64"/>
      <c r="L741" s="64"/>
      <c r="M741" s="64"/>
      <c r="N741" s="64"/>
      <c r="O741" s="64"/>
      <c r="P741" s="64"/>
      <c r="Q741" s="64"/>
      <c r="R741" s="64"/>
      <c r="S741" s="64"/>
      <c r="T741" s="64"/>
      <c r="U741" s="64"/>
      <c r="V741" s="64"/>
      <c r="W741" s="64"/>
      <c r="X741" s="64"/>
      <c r="Y741" s="64"/>
      <c r="Z741" s="64"/>
    </row>
    <row r="742">
      <c r="A742" s="64"/>
      <c r="B742" s="64"/>
      <c r="C742" s="64"/>
      <c r="D742" s="64"/>
      <c r="E742" s="64"/>
      <c r="F742" s="64"/>
      <c r="G742" s="64"/>
      <c r="H742" s="64"/>
      <c r="I742" s="64"/>
      <c r="J742" s="64"/>
      <c r="K742" s="64"/>
      <c r="L742" s="64"/>
      <c r="M742" s="64"/>
      <c r="N742" s="64"/>
      <c r="O742" s="64"/>
      <c r="P742" s="64"/>
      <c r="Q742" s="64"/>
      <c r="R742" s="64"/>
      <c r="S742" s="64"/>
      <c r="T742" s="64"/>
      <c r="U742" s="64"/>
      <c r="V742" s="64"/>
      <c r="W742" s="64"/>
      <c r="X742" s="64"/>
      <c r="Y742" s="64"/>
      <c r="Z742" s="64"/>
    </row>
    <row r="743">
      <c r="A743" s="64"/>
      <c r="B743" s="64"/>
      <c r="C743" s="64"/>
      <c r="D743" s="64"/>
      <c r="E743" s="64"/>
      <c r="F743" s="64"/>
      <c r="G743" s="64"/>
      <c r="H743" s="64"/>
      <c r="I743" s="64"/>
      <c r="J743" s="64"/>
      <c r="K743" s="64"/>
      <c r="L743" s="64"/>
      <c r="M743" s="64"/>
      <c r="N743" s="64"/>
      <c r="O743" s="64"/>
      <c r="P743" s="64"/>
      <c r="Q743" s="64"/>
      <c r="R743" s="64"/>
      <c r="S743" s="64"/>
      <c r="T743" s="64"/>
      <c r="U743" s="64"/>
      <c r="V743" s="64"/>
      <c r="W743" s="64"/>
      <c r="X743" s="64"/>
      <c r="Y743" s="64"/>
      <c r="Z743" s="64"/>
    </row>
    <row r="744">
      <c r="A744" s="64"/>
      <c r="B744" s="64"/>
      <c r="C744" s="64"/>
      <c r="D744" s="64"/>
      <c r="E744" s="64"/>
      <c r="F744" s="64"/>
      <c r="G744" s="64"/>
      <c r="H744" s="64"/>
      <c r="I744" s="64"/>
      <c r="J744" s="64"/>
      <c r="K744" s="64"/>
      <c r="L744" s="64"/>
      <c r="M744" s="64"/>
      <c r="N744" s="64"/>
      <c r="O744" s="64"/>
      <c r="P744" s="64"/>
      <c r="Q744" s="64"/>
      <c r="R744" s="64"/>
      <c r="S744" s="64"/>
      <c r="T744" s="64"/>
      <c r="U744" s="64"/>
      <c r="V744" s="64"/>
      <c r="W744" s="64"/>
      <c r="X744" s="64"/>
      <c r="Y744" s="64"/>
      <c r="Z744" s="64"/>
    </row>
    <row r="745">
      <c r="A745" s="64"/>
      <c r="B745" s="64"/>
      <c r="C745" s="64"/>
      <c r="D745" s="64"/>
      <c r="E745" s="64"/>
      <c r="F745" s="64"/>
      <c r="G745" s="64"/>
      <c r="H745" s="64"/>
      <c r="I745" s="64"/>
      <c r="J745" s="64"/>
      <c r="K745" s="64"/>
      <c r="L745" s="64"/>
      <c r="M745" s="64"/>
      <c r="N745" s="64"/>
      <c r="O745" s="64"/>
      <c r="P745" s="64"/>
      <c r="Q745" s="64"/>
      <c r="R745" s="64"/>
      <c r="S745" s="64"/>
      <c r="T745" s="64"/>
      <c r="U745" s="64"/>
      <c r="V745" s="64"/>
      <c r="W745" s="64"/>
      <c r="X745" s="64"/>
      <c r="Y745" s="64"/>
      <c r="Z745" s="64"/>
    </row>
    <row r="746">
      <c r="A746" s="64"/>
      <c r="B746" s="64"/>
      <c r="C746" s="64"/>
      <c r="D746" s="64"/>
      <c r="E746" s="64"/>
      <c r="F746" s="64"/>
      <c r="G746" s="64"/>
      <c r="H746" s="64"/>
      <c r="I746" s="64"/>
      <c r="J746" s="64"/>
      <c r="K746" s="64"/>
      <c r="L746" s="64"/>
      <c r="M746" s="64"/>
      <c r="N746" s="64"/>
      <c r="O746" s="64"/>
      <c r="P746" s="64"/>
      <c r="Q746" s="64"/>
      <c r="R746" s="64"/>
      <c r="S746" s="64"/>
      <c r="T746" s="64"/>
      <c r="U746" s="64"/>
      <c r="V746" s="64"/>
      <c r="W746" s="64"/>
      <c r="X746" s="64"/>
      <c r="Y746" s="64"/>
      <c r="Z746" s="64"/>
    </row>
    <row r="747">
      <c r="A747" s="64"/>
      <c r="B747" s="64"/>
      <c r="C747" s="64"/>
      <c r="D747" s="64"/>
      <c r="E747" s="64"/>
      <c r="F747" s="64"/>
      <c r="G747" s="64"/>
      <c r="H747" s="64"/>
      <c r="I747" s="64"/>
      <c r="J747" s="64"/>
      <c r="K747" s="64"/>
      <c r="L747" s="64"/>
      <c r="M747" s="64"/>
      <c r="N747" s="64"/>
      <c r="O747" s="64"/>
      <c r="P747" s="64"/>
      <c r="Q747" s="64"/>
      <c r="R747" s="64"/>
      <c r="S747" s="64"/>
      <c r="T747" s="64"/>
      <c r="U747" s="64"/>
      <c r="V747" s="64"/>
      <c r="W747" s="64"/>
      <c r="X747" s="64"/>
      <c r="Y747" s="64"/>
      <c r="Z747" s="64"/>
    </row>
    <row r="748">
      <c r="A748" s="64"/>
      <c r="B748" s="64"/>
      <c r="C748" s="64"/>
      <c r="D748" s="64"/>
      <c r="E748" s="64"/>
      <c r="F748" s="64"/>
      <c r="G748" s="64"/>
      <c r="H748" s="64"/>
      <c r="I748" s="64"/>
      <c r="J748" s="64"/>
      <c r="K748" s="64"/>
      <c r="L748" s="64"/>
      <c r="M748" s="64"/>
      <c r="N748" s="64"/>
      <c r="O748" s="64"/>
      <c r="P748" s="64"/>
      <c r="Q748" s="64"/>
      <c r="R748" s="64"/>
      <c r="S748" s="64"/>
      <c r="T748" s="64"/>
      <c r="U748" s="64"/>
      <c r="V748" s="64"/>
      <c r="W748" s="64"/>
      <c r="X748" s="64"/>
      <c r="Y748" s="64"/>
      <c r="Z748" s="64"/>
    </row>
    <row r="749">
      <c r="A749" s="64"/>
      <c r="B749" s="64"/>
      <c r="C749" s="64"/>
      <c r="D749" s="64"/>
      <c r="E749" s="64"/>
      <c r="F749" s="64"/>
      <c r="G749" s="64"/>
      <c r="H749" s="64"/>
      <c r="I749" s="64"/>
      <c r="J749" s="64"/>
      <c r="K749" s="64"/>
      <c r="L749" s="64"/>
      <c r="M749" s="64"/>
      <c r="N749" s="64"/>
      <c r="O749" s="64"/>
      <c r="P749" s="64"/>
      <c r="Q749" s="64"/>
      <c r="R749" s="64"/>
      <c r="S749" s="64"/>
      <c r="T749" s="64"/>
      <c r="U749" s="64"/>
      <c r="V749" s="64"/>
      <c r="W749" s="64"/>
      <c r="X749" s="64"/>
      <c r="Y749" s="64"/>
      <c r="Z749" s="64"/>
    </row>
    <row r="750">
      <c r="A750" s="64"/>
      <c r="B750" s="64"/>
      <c r="C750" s="64"/>
      <c r="D750" s="64"/>
      <c r="E750" s="64"/>
      <c r="F750" s="64"/>
      <c r="G750" s="64"/>
      <c r="H750" s="64"/>
      <c r="I750" s="64"/>
      <c r="J750" s="64"/>
      <c r="K750" s="64"/>
      <c r="L750" s="64"/>
      <c r="M750" s="64"/>
      <c r="N750" s="64"/>
      <c r="O750" s="64"/>
      <c r="P750" s="64"/>
      <c r="Q750" s="64"/>
      <c r="R750" s="64"/>
      <c r="S750" s="64"/>
      <c r="T750" s="64"/>
      <c r="U750" s="64"/>
      <c r="V750" s="64"/>
      <c r="W750" s="64"/>
      <c r="X750" s="64"/>
      <c r="Y750" s="64"/>
      <c r="Z750" s="64"/>
    </row>
    <row r="751">
      <c r="A751" s="64"/>
      <c r="B751" s="64"/>
      <c r="C751" s="64"/>
      <c r="D751" s="64"/>
      <c r="E751" s="64"/>
      <c r="F751" s="64"/>
      <c r="G751" s="64"/>
      <c r="H751" s="64"/>
      <c r="I751" s="64"/>
      <c r="J751" s="64"/>
      <c r="K751" s="64"/>
      <c r="L751" s="64"/>
      <c r="M751" s="64"/>
      <c r="N751" s="64"/>
      <c r="O751" s="64"/>
      <c r="P751" s="64"/>
      <c r="Q751" s="64"/>
      <c r="R751" s="64"/>
      <c r="S751" s="64"/>
      <c r="T751" s="64"/>
      <c r="U751" s="64"/>
      <c r="V751" s="64"/>
      <c r="W751" s="64"/>
      <c r="X751" s="64"/>
      <c r="Y751" s="64"/>
      <c r="Z751" s="64"/>
    </row>
    <row r="752">
      <c r="A752" s="64"/>
      <c r="B752" s="64"/>
      <c r="C752" s="64"/>
      <c r="D752" s="64"/>
      <c r="E752" s="64"/>
      <c r="F752" s="64"/>
      <c r="G752" s="64"/>
      <c r="H752" s="64"/>
      <c r="I752" s="64"/>
      <c r="J752" s="64"/>
      <c r="K752" s="64"/>
      <c r="L752" s="64"/>
      <c r="M752" s="64"/>
      <c r="N752" s="64"/>
      <c r="O752" s="64"/>
      <c r="P752" s="64"/>
      <c r="Q752" s="64"/>
      <c r="R752" s="64"/>
      <c r="S752" s="64"/>
      <c r="T752" s="64"/>
      <c r="U752" s="64"/>
      <c r="V752" s="64"/>
      <c r="W752" s="64"/>
      <c r="X752" s="64"/>
      <c r="Y752" s="64"/>
      <c r="Z752" s="64"/>
    </row>
    <row r="753">
      <c r="A753" s="64"/>
      <c r="B753" s="64"/>
      <c r="C753" s="64"/>
      <c r="D753" s="64"/>
      <c r="E753" s="64"/>
      <c r="F753" s="64"/>
      <c r="G753" s="64"/>
      <c r="H753" s="64"/>
      <c r="I753" s="64"/>
      <c r="J753" s="64"/>
      <c r="K753" s="64"/>
      <c r="L753" s="64"/>
      <c r="M753" s="64"/>
      <c r="N753" s="64"/>
      <c r="O753" s="64"/>
      <c r="P753" s="64"/>
      <c r="Q753" s="64"/>
      <c r="R753" s="64"/>
      <c r="S753" s="64"/>
      <c r="T753" s="64"/>
      <c r="U753" s="64"/>
      <c r="V753" s="64"/>
      <c r="W753" s="64"/>
      <c r="X753" s="64"/>
      <c r="Y753" s="64"/>
      <c r="Z753" s="64"/>
    </row>
    <row r="754">
      <c r="A754" s="64"/>
      <c r="B754" s="64"/>
      <c r="C754" s="64"/>
      <c r="D754" s="64"/>
      <c r="E754" s="64"/>
      <c r="F754" s="64"/>
      <c r="G754" s="64"/>
      <c r="H754" s="64"/>
      <c r="I754" s="64"/>
      <c r="J754" s="64"/>
      <c r="K754" s="64"/>
      <c r="L754" s="64"/>
      <c r="M754" s="64"/>
      <c r="N754" s="64"/>
      <c r="O754" s="64"/>
      <c r="P754" s="64"/>
      <c r="Q754" s="64"/>
      <c r="R754" s="64"/>
      <c r="S754" s="64"/>
      <c r="T754" s="64"/>
      <c r="U754" s="64"/>
      <c r="V754" s="64"/>
      <c r="W754" s="64"/>
      <c r="X754" s="64"/>
      <c r="Y754" s="64"/>
      <c r="Z754" s="64"/>
    </row>
    <row r="755">
      <c r="A755" s="64"/>
      <c r="B755" s="64"/>
      <c r="C755" s="64"/>
      <c r="D755" s="64"/>
      <c r="E755" s="64"/>
      <c r="F755" s="64"/>
      <c r="G755" s="64"/>
      <c r="H755" s="64"/>
      <c r="I755" s="64"/>
      <c r="J755" s="64"/>
      <c r="K755" s="64"/>
      <c r="L755" s="64"/>
      <c r="M755" s="64"/>
      <c r="N755" s="64"/>
      <c r="O755" s="64"/>
      <c r="P755" s="64"/>
      <c r="Q755" s="64"/>
      <c r="R755" s="64"/>
      <c r="S755" s="64"/>
      <c r="T755" s="64"/>
      <c r="U755" s="64"/>
      <c r="V755" s="64"/>
      <c r="W755" s="64"/>
      <c r="X755" s="64"/>
      <c r="Y755" s="64"/>
      <c r="Z755" s="64"/>
    </row>
    <row r="756">
      <c r="A756" s="64"/>
      <c r="B756" s="64"/>
      <c r="C756" s="64"/>
      <c r="D756" s="64"/>
      <c r="E756" s="64"/>
      <c r="F756" s="64"/>
      <c r="G756" s="64"/>
      <c r="H756" s="64"/>
      <c r="I756" s="64"/>
      <c r="J756" s="64"/>
      <c r="K756" s="64"/>
      <c r="L756" s="64"/>
      <c r="M756" s="64"/>
      <c r="N756" s="64"/>
      <c r="O756" s="64"/>
      <c r="P756" s="64"/>
      <c r="Q756" s="64"/>
      <c r="R756" s="64"/>
      <c r="S756" s="64"/>
      <c r="T756" s="64"/>
      <c r="U756" s="64"/>
      <c r="V756" s="64"/>
      <c r="W756" s="64"/>
      <c r="X756" s="64"/>
      <c r="Y756" s="64"/>
      <c r="Z756" s="64"/>
    </row>
    <row r="757">
      <c r="A757" s="64"/>
      <c r="B757" s="64"/>
      <c r="C757" s="64"/>
      <c r="D757" s="64"/>
      <c r="E757" s="64"/>
      <c r="F757" s="64"/>
      <c r="G757" s="64"/>
      <c r="H757" s="64"/>
      <c r="I757" s="64"/>
      <c r="J757" s="64"/>
      <c r="K757" s="64"/>
      <c r="L757" s="64"/>
      <c r="M757" s="64"/>
      <c r="N757" s="64"/>
      <c r="O757" s="64"/>
      <c r="P757" s="64"/>
      <c r="Q757" s="64"/>
      <c r="R757" s="64"/>
      <c r="S757" s="64"/>
      <c r="T757" s="64"/>
      <c r="U757" s="64"/>
      <c r="V757" s="64"/>
      <c r="W757" s="64"/>
      <c r="X757" s="64"/>
      <c r="Y757" s="64"/>
      <c r="Z757" s="64"/>
    </row>
    <row r="758">
      <c r="A758" s="64"/>
      <c r="B758" s="64"/>
      <c r="C758" s="64"/>
      <c r="D758" s="64"/>
      <c r="E758" s="64"/>
      <c r="F758" s="64"/>
      <c r="G758" s="64"/>
      <c r="H758" s="64"/>
      <c r="I758" s="64"/>
      <c r="J758" s="64"/>
      <c r="K758" s="64"/>
      <c r="L758" s="64"/>
      <c r="M758" s="64"/>
      <c r="N758" s="64"/>
      <c r="O758" s="64"/>
      <c r="P758" s="64"/>
      <c r="Q758" s="64"/>
      <c r="R758" s="64"/>
      <c r="S758" s="64"/>
      <c r="T758" s="64"/>
      <c r="U758" s="64"/>
      <c r="V758" s="64"/>
      <c r="W758" s="64"/>
      <c r="X758" s="64"/>
      <c r="Y758" s="64"/>
      <c r="Z758" s="64"/>
    </row>
    <row r="759">
      <c r="A759" s="64"/>
      <c r="B759" s="64"/>
      <c r="C759" s="64"/>
      <c r="D759" s="64"/>
      <c r="E759" s="64"/>
      <c r="F759" s="64"/>
      <c r="G759" s="64"/>
      <c r="H759" s="64"/>
      <c r="I759" s="64"/>
      <c r="J759" s="64"/>
      <c r="K759" s="64"/>
      <c r="L759" s="64"/>
      <c r="M759" s="64"/>
      <c r="N759" s="64"/>
      <c r="O759" s="64"/>
      <c r="P759" s="64"/>
      <c r="Q759" s="64"/>
      <c r="R759" s="64"/>
      <c r="S759" s="64"/>
      <c r="T759" s="64"/>
      <c r="U759" s="64"/>
      <c r="V759" s="64"/>
      <c r="W759" s="64"/>
      <c r="X759" s="64"/>
      <c r="Y759" s="64"/>
      <c r="Z759" s="64"/>
    </row>
    <row r="760">
      <c r="A760" s="64"/>
      <c r="B760" s="64"/>
      <c r="C760" s="64"/>
      <c r="D760" s="64"/>
      <c r="E760" s="64"/>
      <c r="F760" s="64"/>
      <c r="G760" s="64"/>
      <c r="H760" s="64"/>
      <c r="I760" s="64"/>
      <c r="J760" s="64"/>
      <c r="K760" s="64"/>
      <c r="L760" s="64"/>
      <c r="M760" s="64"/>
      <c r="N760" s="64"/>
      <c r="O760" s="64"/>
      <c r="P760" s="64"/>
      <c r="Q760" s="64"/>
      <c r="R760" s="64"/>
      <c r="S760" s="64"/>
      <c r="T760" s="64"/>
      <c r="U760" s="64"/>
      <c r="V760" s="64"/>
      <c r="W760" s="64"/>
      <c r="X760" s="64"/>
      <c r="Y760" s="64"/>
      <c r="Z760" s="64"/>
    </row>
    <row r="761">
      <c r="A761" s="64"/>
      <c r="B761" s="64"/>
      <c r="C761" s="64"/>
      <c r="D761" s="64"/>
      <c r="E761" s="64"/>
      <c r="F761" s="64"/>
      <c r="G761" s="64"/>
      <c r="H761" s="64"/>
      <c r="I761" s="64"/>
      <c r="J761" s="64"/>
      <c r="K761" s="64"/>
      <c r="L761" s="64"/>
      <c r="M761" s="64"/>
      <c r="N761" s="64"/>
      <c r="O761" s="64"/>
      <c r="P761" s="64"/>
      <c r="Q761" s="64"/>
      <c r="R761" s="64"/>
      <c r="S761" s="64"/>
      <c r="T761" s="64"/>
      <c r="U761" s="64"/>
      <c r="V761" s="64"/>
      <c r="W761" s="64"/>
      <c r="X761" s="64"/>
      <c r="Y761" s="64"/>
      <c r="Z761" s="64"/>
    </row>
    <row r="762">
      <c r="A762" s="64"/>
      <c r="B762" s="64"/>
      <c r="C762" s="64"/>
      <c r="D762" s="64"/>
      <c r="E762" s="64"/>
      <c r="F762" s="64"/>
      <c r="G762" s="64"/>
      <c r="H762" s="64"/>
      <c r="I762" s="64"/>
      <c r="J762" s="64"/>
      <c r="K762" s="64"/>
      <c r="L762" s="64"/>
      <c r="M762" s="64"/>
      <c r="N762" s="64"/>
      <c r="O762" s="64"/>
      <c r="P762" s="64"/>
      <c r="Q762" s="64"/>
      <c r="R762" s="64"/>
      <c r="S762" s="64"/>
      <c r="T762" s="64"/>
      <c r="U762" s="64"/>
      <c r="V762" s="64"/>
      <c r="W762" s="64"/>
      <c r="X762" s="64"/>
      <c r="Y762" s="64"/>
      <c r="Z762" s="64"/>
    </row>
    <row r="763">
      <c r="A763" s="64"/>
      <c r="B763" s="64"/>
      <c r="C763" s="64"/>
      <c r="D763" s="64"/>
      <c r="E763" s="64"/>
      <c r="F763" s="64"/>
      <c r="G763" s="64"/>
      <c r="H763" s="64"/>
      <c r="I763" s="64"/>
      <c r="J763" s="64"/>
      <c r="K763" s="64"/>
      <c r="L763" s="64"/>
      <c r="M763" s="64"/>
      <c r="N763" s="64"/>
      <c r="O763" s="64"/>
      <c r="P763" s="64"/>
      <c r="Q763" s="64"/>
      <c r="R763" s="64"/>
      <c r="S763" s="64"/>
      <c r="T763" s="64"/>
      <c r="U763" s="64"/>
      <c r="V763" s="64"/>
      <c r="W763" s="64"/>
      <c r="X763" s="64"/>
      <c r="Y763" s="64"/>
      <c r="Z763" s="64"/>
    </row>
    <row r="764">
      <c r="A764" s="64"/>
      <c r="B764" s="64"/>
      <c r="C764" s="64"/>
      <c r="D764" s="64"/>
      <c r="E764" s="64"/>
      <c r="F764" s="64"/>
      <c r="G764" s="64"/>
      <c r="H764" s="64"/>
      <c r="I764" s="64"/>
      <c r="J764" s="64"/>
      <c r="K764" s="64"/>
      <c r="L764" s="64"/>
      <c r="M764" s="64"/>
      <c r="N764" s="64"/>
      <c r="O764" s="64"/>
      <c r="P764" s="64"/>
      <c r="Q764" s="64"/>
      <c r="R764" s="64"/>
      <c r="S764" s="64"/>
      <c r="T764" s="64"/>
      <c r="U764" s="64"/>
      <c r="V764" s="64"/>
      <c r="W764" s="64"/>
      <c r="X764" s="64"/>
      <c r="Y764" s="64"/>
      <c r="Z764" s="64"/>
    </row>
    <row r="765">
      <c r="A765" s="64"/>
      <c r="B765" s="64"/>
      <c r="C765" s="64"/>
      <c r="D765" s="64"/>
      <c r="E765" s="64"/>
      <c r="F765" s="64"/>
      <c r="G765" s="64"/>
      <c r="H765" s="64"/>
      <c r="I765" s="64"/>
      <c r="J765" s="64"/>
      <c r="K765" s="64"/>
      <c r="L765" s="64"/>
      <c r="M765" s="64"/>
      <c r="N765" s="64"/>
      <c r="O765" s="64"/>
      <c r="P765" s="64"/>
      <c r="Q765" s="64"/>
      <c r="R765" s="64"/>
      <c r="S765" s="64"/>
      <c r="T765" s="64"/>
      <c r="U765" s="64"/>
      <c r="V765" s="64"/>
      <c r="W765" s="64"/>
      <c r="X765" s="64"/>
      <c r="Y765" s="64"/>
      <c r="Z765" s="64"/>
    </row>
    <row r="766">
      <c r="A766" s="64"/>
      <c r="B766" s="64"/>
      <c r="C766" s="64"/>
      <c r="D766" s="64"/>
      <c r="E766" s="64"/>
      <c r="F766" s="64"/>
      <c r="G766" s="64"/>
      <c r="H766" s="64"/>
      <c r="I766" s="64"/>
      <c r="J766" s="64"/>
      <c r="K766" s="64"/>
      <c r="L766" s="64"/>
      <c r="M766" s="64"/>
      <c r="N766" s="64"/>
      <c r="O766" s="64"/>
      <c r="P766" s="64"/>
      <c r="Q766" s="64"/>
      <c r="R766" s="64"/>
      <c r="S766" s="64"/>
      <c r="T766" s="64"/>
      <c r="U766" s="64"/>
      <c r="V766" s="64"/>
      <c r="W766" s="64"/>
      <c r="X766" s="64"/>
      <c r="Y766" s="64"/>
      <c r="Z766" s="64"/>
    </row>
    <row r="767">
      <c r="A767" s="64"/>
      <c r="B767" s="64"/>
      <c r="C767" s="64"/>
      <c r="D767" s="64"/>
      <c r="E767" s="64"/>
      <c r="F767" s="64"/>
      <c r="G767" s="64"/>
      <c r="H767" s="64"/>
      <c r="I767" s="64"/>
      <c r="J767" s="64"/>
      <c r="K767" s="64"/>
      <c r="L767" s="64"/>
      <c r="M767" s="64"/>
      <c r="N767" s="64"/>
      <c r="O767" s="64"/>
      <c r="P767" s="64"/>
      <c r="Q767" s="64"/>
      <c r="R767" s="64"/>
      <c r="S767" s="64"/>
      <c r="T767" s="64"/>
      <c r="U767" s="64"/>
      <c r="V767" s="64"/>
      <c r="W767" s="64"/>
      <c r="X767" s="64"/>
      <c r="Y767" s="64"/>
      <c r="Z767" s="64"/>
    </row>
    <row r="768">
      <c r="A768" s="64"/>
      <c r="B768" s="64"/>
      <c r="C768" s="64"/>
      <c r="D768" s="64"/>
      <c r="E768" s="64"/>
      <c r="F768" s="64"/>
      <c r="G768" s="64"/>
      <c r="H768" s="64"/>
      <c r="I768" s="64"/>
      <c r="J768" s="64"/>
      <c r="K768" s="64"/>
      <c r="L768" s="64"/>
      <c r="M768" s="64"/>
      <c r="N768" s="64"/>
      <c r="O768" s="64"/>
      <c r="P768" s="64"/>
      <c r="Q768" s="64"/>
      <c r="R768" s="64"/>
      <c r="S768" s="64"/>
      <c r="T768" s="64"/>
      <c r="U768" s="64"/>
      <c r="V768" s="64"/>
      <c r="W768" s="64"/>
      <c r="X768" s="64"/>
      <c r="Y768" s="64"/>
      <c r="Z768" s="64"/>
    </row>
    <row r="769">
      <c r="A769" s="64"/>
      <c r="B769" s="64"/>
      <c r="C769" s="64"/>
      <c r="D769" s="64"/>
      <c r="E769" s="64"/>
      <c r="F769" s="64"/>
      <c r="G769" s="64"/>
      <c r="H769" s="64"/>
      <c r="I769" s="64"/>
      <c r="J769" s="64"/>
      <c r="K769" s="64"/>
      <c r="L769" s="64"/>
      <c r="M769" s="64"/>
      <c r="N769" s="64"/>
      <c r="O769" s="64"/>
      <c r="P769" s="64"/>
      <c r="Q769" s="64"/>
      <c r="R769" s="64"/>
      <c r="S769" s="64"/>
      <c r="T769" s="64"/>
      <c r="U769" s="64"/>
      <c r="V769" s="64"/>
      <c r="W769" s="64"/>
      <c r="X769" s="64"/>
      <c r="Y769" s="64"/>
      <c r="Z769" s="64"/>
    </row>
    <row r="770">
      <c r="A770" s="64"/>
      <c r="B770" s="64"/>
      <c r="C770" s="64"/>
      <c r="D770" s="64"/>
      <c r="E770" s="64"/>
      <c r="F770" s="64"/>
      <c r="G770" s="64"/>
      <c r="H770" s="64"/>
      <c r="I770" s="64"/>
      <c r="J770" s="64"/>
      <c r="K770" s="64"/>
      <c r="L770" s="64"/>
      <c r="M770" s="64"/>
      <c r="N770" s="64"/>
      <c r="O770" s="64"/>
      <c r="P770" s="64"/>
      <c r="Q770" s="64"/>
      <c r="R770" s="64"/>
      <c r="S770" s="64"/>
      <c r="T770" s="64"/>
      <c r="U770" s="64"/>
      <c r="V770" s="64"/>
      <c r="W770" s="64"/>
      <c r="X770" s="64"/>
      <c r="Y770" s="64"/>
      <c r="Z770" s="64"/>
    </row>
    <row r="771">
      <c r="A771" s="64"/>
      <c r="B771" s="64"/>
      <c r="C771" s="64"/>
      <c r="D771" s="64"/>
      <c r="E771" s="64"/>
      <c r="F771" s="64"/>
      <c r="G771" s="64"/>
      <c r="H771" s="64"/>
      <c r="I771" s="64"/>
      <c r="J771" s="64"/>
      <c r="K771" s="64"/>
      <c r="L771" s="64"/>
      <c r="M771" s="64"/>
      <c r="N771" s="64"/>
      <c r="O771" s="64"/>
      <c r="P771" s="64"/>
      <c r="Q771" s="64"/>
      <c r="R771" s="64"/>
      <c r="S771" s="64"/>
      <c r="T771" s="64"/>
      <c r="U771" s="64"/>
      <c r="V771" s="64"/>
      <c r="W771" s="64"/>
      <c r="X771" s="64"/>
      <c r="Y771" s="64"/>
      <c r="Z771" s="64"/>
    </row>
    <row r="772">
      <c r="A772" s="64"/>
      <c r="B772" s="64"/>
      <c r="C772" s="64"/>
      <c r="D772" s="64"/>
      <c r="E772" s="64"/>
      <c r="F772" s="64"/>
      <c r="G772" s="64"/>
      <c r="H772" s="64"/>
      <c r="I772" s="64"/>
      <c r="J772" s="64"/>
      <c r="K772" s="64"/>
      <c r="L772" s="64"/>
      <c r="M772" s="64"/>
      <c r="N772" s="64"/>
      <c r="O772" s="64"/>
      <c r="P772" s="64"/>
      <c r="Q772" s="64"/>
      <c r="R772" s="64"/>
      <c r="S772" s="64"/>
      <c r="T772" s="64"/>
      <c r="U772" s="64"/>
      <c r="V772" s="64"/>
      <c r="W772" s="64"/>
      <c r="X772" s="64"/>
      <c r="Y772" s="64"/>
      <c r="Z772" s="64"/>
    </row>
    <row r="773">
      <c r="A773" s="64"/>
      <c r="B773" s="64"/>
      <c r="C773" s="64"/>
      <c r="D773" s="64"/>
      <c r="E773" s="64"/>
      <c r="F773" s="64"/>
      <c r="G773" s="64"/>
      <c r="H773" s="64"/>
      <c r="I773" s="64"/>
      <c r="J773" s="64"/>
      <c r="K773" s="64"/>
      <c r="L773" s="64"/>
      <c r="M773" s="64"/>
      <c r="N773" s="64"/>
      <c r="O773" s="64"/>
      <c r="P773" s="64"/>
      <c r="Q773" s="64"/>
      <c r="R773" s="64"/>
      <c r="S773" s="64"/>
      <c r="T773" s="64"/>
      <c r="U773" s="64"/>
      <c r="V773" s="64"/>
      <c r="W773" s="64"/>
      <c r="X773" s="64"/>
      <c r="Y773" s="64"/>
      <c r="Z773" s="64"/>
    </row>
    <row r="774">
      <c r="A774" s="64"/>
      <c r="B774" s="64"/>
      <c r="C774" s="64"/>
      <c r="D774" s="64"/>
      <c r="E774" s="64"/>
      <c r="F774" s="64"/>
      <c r="G774" s="64"/>
      <c r="H774" s="64"/>
      <c r="I774" s="64"/>
      <c r="J774" s="64"/>
      <c r="K774" s="64"/>
      <c r="L774" s="64"/>
      <c r="M774" s="64"/>
      <c r="N774" s="64"/>
      <c r="O774" s="64"/>
      <c r="P774" s="64"/>
      <c r="Q774" s="64"/>
      <c r="R774" s="64"/>
      <c r="S774" s="64"/>
      <c r="T774" s="64"/>
      <c r="U774" s="64"/>
      <c r="V774" s="64"/>
      <c r="W774" s="64"/>
      <c r="X774" s="64"/>
      <c r="Y774" s="64"/>
      <c r="Z774" s="64"/>
    </row>
    <row r="775">
      <c r="A775" s="64"/>
      <c r="B775" s="64"/>
      <c r="C775" s="64"/>
      <c r="D775" s="64"/>
      <c r="E775" s="64"/>
      <c r="F775" s="64"/>
      <c r="G775" s="64"/>
      <c r="H775" s="64"/>
      <c r="I775" s="64"/>
      <c r="J775" s="64"/>
      <c r="K775" s="64"/>
      <c r="L775" s="64"/>
      <c r="M775" s="64"/>
      <c r="N775" s="64"/>
      <c r="O775" s="64"/>
      <c r="P775" s="64"/>
      <c r="Q775" s="64"/>
      <c r="R775" s="64"/>
      <c r="S775" s="64"/>
      <c r="T775" s="64"/>
      <c r="U775" s="64"/>
      <c r="V775" s="64"/>
      <c r="W775" s="64"/>
      <c r="X775" s="64"/>
      <c r="Y775" s="64"/>
      <c r="Z775" s="64"/>
    </row>
    <row r="776">
      <c r="A776" s="64"/>
      <c r="B776" s="64"/>
      <c r="C776" s="64"/>
      <c r="D776" s="64"/>
      <c r="E776" s="64"/>
      <c r="F776" s="64"/>
      <c r="G776" s="64"/>
      <c r="H776" s="64"/>
      <c r="I776" s="64"/>
      <c r="J776" s="64"/>
      <c r="K776" s="64"/>
      <c r="L776" s="64"/>
      <c r="M776" s="64"/>
      <c r="N776" s="64"/>
      <c r="O776" s="64"/>
      <c r="P776" s="64"/>
      <c r="Q776" s="64"/>
      <c r="R776" s="64"/>
      <c r="S776" s="64"/>
      <c r="T776" s="64"/>
      <c r="U776" s="64"/>
      <c r="V776" s="64"/>
      <c r="W776" s="64"/>
      <c r="X776" s="64"/>
      <c r="Y776" s="64"/>
      <c r="Z776" s="64"/>
    </row>
    <row r="777">
      <c r="A777" s="64"/>
      <c r="B777" s="64"/>
      <c r="C777" s="64"/>
      <c r="D777" s="64"/>
      <c r="E777" s="64"/>
      <c r="F777" s="64"/>
      <c r="G777" s="64"/>
      <c r="H777" s="64"/>
      <c r="I777" s="64"/>
      <c r="J777" s="64"/>
      <c r="K777" s="64"/>
      <c r="L777" s="64"/>
      <c r="M777" s="64"/>
      <c r="N777" s="64"/>
      <c r="O777" s="64"/>
      <c r="P777" s="64"/>
      <c r="Q777" s="64"/>
      <c r="R777" s="64"/>
      <c r="S777" s="64"/>
      <c r="T777" s="64"/>
      <c r="U777" s="64"/>
      <c r="V777" s="64"/>
      <c r="W777" s="64"/>
      <c r="X777" s="64"/>
      <c r="Y777" s="64"/>
      <c r="Z777" s="64"/>
    </row>
    <row r="778">
      <c r="A778" s="64"/>
      <c r="B778" s="64"/>
      <c r="C778" s="64"/>
      <c r="D778" s="64"/>
      <c r="E778" s="64"/>
      <c r="F778" s="64"/>
      <c r="G778" s="64"/>
      <c r="H778" s="64"/>
      <c r="I778" s="64"/>
      <c r="J778" s="64"/>
      <c r="K778" s="64"/>
      <c r="L778" s="64"/>
      <c r="M778" s="64"/>
      <c r="N778" s="64"/>
      <c r="O778" s="64"/>
      <c r="P778" s="64"/>
      <c r="Q778" s="64"/>
      <c r="R778" s="64"/>
      <c r="S778" s="64"/>
      <c r="T778" s="64"/>
      <c r="U778" s="64"/>
      <c r="V778" s="64"/>
      <c r="W778" s="64"/>
      <c r="X778" s="64"/>
      <c r="Y778" s="64"/>
      <c r="Z778" s="64"/>
    </row>
    <row r="779">
      <c r="A779" s="64"/>
      <c r="B779" s="64"/>
      <c r="C779" s="64"/>
      <c r="D779" s="64"/>
      <c r="E779" s="64"/>
      <c r="F779" s="64"/>
      <c r="G779" s="64"/>
      <c r="H779" s="64"/>
      <c r="I779" s="64"/>
      <c r="J779" s="64"/>
      <c r="K779" s="64"/>
      <c r="L779" s="64"/>
      <c r="M779" s="64"/>
      <c r="N779" s="64"/>
      <c r="O779" s="64"/>
      <c r="P779" s="64"/>
      <c r="Q779" s="64"/>
      <c r="R779" s="64"/>
      <c r="S779" s="64"/>
      <c r="T779" s="64"/>
      <c r="U779" s="64"/>
      <c r="V779" s="64"/>
      <c r="W779" s="64"/>
      <c r="X779" s="64"/>
      <c r="Y779" s="64"/>
      <c r="Z779" s="64"/>
    </row>
    <row r="780">
      <c r="A780" s="64"/>
      <c r="B780" s="64"/>
      <c r="C780" s="64"/>
      <c r="D780" s="64"/>
      <c r="E780" s="64"/>
      <c r="F780" s="64"/>
      <c r="G780" s="64"/>
      <c r="H780" s="64"/>
      <c r="I780" s="64"/>
      <c r="J780" s="64"/>
      <c r="K780" s="64"/>
      <c r="L780" s="64"/>
      <c r="M780" s="64"/>
      <c r="N780" s="64"/>
      <c r="O780" s="64"/>
      <c r="P780" s="64"/>
      <c r="Q780" s="64"/>
      <c r="R780" s="64"/>
      <c r="S780" s="64"/>
      <c r="T780" s="64"/>
      <c r="U780" s="64"/>
      <c r="V780" s="64"/>
      <c r="W780" s="64"/>
      <c r="X780" s="64"/>
      <c r="Y780" s="64"/>
      <c r="Z780" s="64"/>
    </row>
    <row r="781">
      <c r="A781" s="64"/>
      <c r="B781" s="64"/>
      <c r="C781" s="64"/>
      <c r="D781" s="64"/>
      <c r="E781" s="64"/>
      <c r="F781" s="64"/>
      <c r="G781" s="64"/>
      <c r="H781" s="64"/>
      <c r="I781" s="64"/>
      <c r="J781" s="64"/>
      <c r="K781" s="64"/>
      <c r="L781" s="64"/>
      <c r="M781" s="64"/>
      <c r="N781" s="64"/>
      <c r="O781" s="64"/>
      <c r="P781" s="64"/>
      <c r="Q781" s="64"/>
      <c r="R781" s="64"/>
      <c r="S781" s="64"/>
      <c r="T781" s="64"/>
      <c r="U781" s="64"/>
      <c r="V781" s="64"/>
      <c r="W781" s="64"/>
      <c r="X781" s="64"/>
      <c r="Y781" s="64"/>
      <c r="Z781" s="64"/>
    </row>
    <row r="782">
      <c r="A782" s="64"/>
      <c r="B782" s="64"/>
      <c r="C782" s="64"/>
      <c r="D782" s="64"/>
      <c r="E782" s="64"/>
      <c r="F782" s="64"/>
      <c r="G782" s="64"/>
      <c r="H782" s="64"/>
      <c r="I782" s="64"/>
      <c r="J782" s="64"/>
      <c r="K782" s="64"/>
      <c r="L782" s="64"/>
      <c r="M782" s="64"/>
      <c r="N782" s="64"/>
      <c r="O782" s="64"/>
      <c r="P782" s="64"/>
      <c r="Q782" s="64"/>
      <c r="R782" s="64"/>
      <c r="S782" s="64"/>
      <c r="T782" s="64"/>
      <c r="U782" s="64"/>
      <c r="V782" s="64"/>
      <c r="W782" s="64"/>
      <c r="X782" s="64"/>
      <c r="Y782" s="64"/>
      <c r="Z782" s="64"/>
    </row>
    <row r="783">
      <c r="A783" s="64"/>
      <c r="B783" s="64"/>
      <c r="C783" s="64"/>
      <c r="D783" s="64"/>
      <c r="E783" s="64"/>
      <c r="F783" s="64"/>
      <c r="G783" s="64"/>
      <c r="H783" s="64"/>
      <c r="I783" s="64"/>
      <c r="J783" s="64"/>
      <c r="K783" s="64"/>
      <c r="L783" s="64"/>
      <c r="M783" s="64"/>
      <c r="N783" s="64"/>
      <c r="O783" s="64"/>
      <c r="P783" s="64"/>
      <c r="Q783" s="64"/>
      <c r="R783" s="64"/>
      <c r="S783" s="64"/>
      <c r="T783" s="64"/>
      <c r="U783" s="64"/>
      <c r="V783" s="64"/>
      <c r="W783" s="64"/>
      <c r="X783" s="64"/>
      <c r="Y783" s="64"/>
      <c r="Z783" s="64"/>
    </row>
    <row r="784">
      <c r="A784" s="64"/>
      <c r="B784" s="64"/>
      <c r="C784" s="64"/>
      <c r="D784" s="64"/>
      <c r="E784" s="64"/>
      <c r="F784" s="64"/>
      <c r="G784" s="64"/>
      <c r="H784" s="64"/>
      <c r="I784" s="64"/>
      <c r="J784" s="64"/>
      <c r="K784" s="64"/>
      <c r="L784" s="64"/>
      <c r="M784" s="64"/>
      <c r="N784" s="64"/>
      <c r="O784" s="64"/>
      <c r="P784" s="64"/>
      <c r="Q784" s="64"/>
      <c r="R784" s="64"/>
      <c r="S784" s="64"/>
      <c r="T784" s="64"/>
      <c r="U784" s="64"/>
      <c r="V784" s="64"/>
      <c r="W784" s="64"/>
      <c r="X784" s="64"/>
      <c r="Y784" s="64"/>
      <c r="Z784" s="64"/>
    </row>
    <row r="785">
      <c r="A785" s="64"/>
      <c r="B785" s="64"/>
      <c r="C785" s="64"/>
      <c r="D785" s="64"/>
      <c r="E785" s="64"/>
      <c r="F785" s="64"/>
      <c r="G785" s="64"/>
      <c r="H785" s="64"/>
      <c r="I785" s="64"/>
      <c r="J785" s="64"/>
      <c r="K785" s="64"/>
      <c r="L785" s="64"/>
      <c r="M785" s="64"/>
      <c r="N785" s="64"/>
      <c r="O785" s="64"/>
      <c r="P785" s="64"/>
      <c r="Q785" s="64"/>
      <c r="R785" s="64"/>
      <c r="S785" s="64"/>
      <c r="T785" s="64"/>
      <c r="U785" s="64"/>
      <c r="V785" s="64"/>
      <c r="W785" s="64"/>
      <c r="X785" s="64"/>
      <c r="Y785" s="64"/>
      <c r="Z785" s="64"/>
    </row>
    <row r="786">
      <c r="A786" s="64"/>
      <c r="B786" s="64"/>
      <c r="C786" s="64"/>
      <c r="D786" s="64"/>
      <c r="E786" s="64"/>
      <c r="F786" s="64"/>
      <c r="G786" s="64"/>
      <c r="H786" s="64"/>
      <c r="I786" s="64"/>
      <c r="J786" s="64"/>
      <c r="K786" s="64"/>
      <c r="L786" s="64"/>
      <c r="M786" s="64"/>
      <c r="N786" s="64"/>
      <c r="O786" s="64"/>
      <c r="P786" s="64"/>
      <c r="Q786" s="64"/>
      <c r="R786" s="64"/>
      <c r="S786" s="64"/>
      <c r="T786" s="64"/>
      <c r="U786" s="64"/>
      <c r="V786" s="64"/>
      <c r="W786" s="64"/>
      <c r="X786" s="64"/>
      <c r="Y786" s="64"/>
      <c r="Z786" s="64"/>
    </row>
    <row r="787">
      <c r="A787" s="64"/>
      <c r="B787" s="64"/>
      <c r="C787" s="64"/>
      <c r="D787" s="64"/>
      <c r="E787" s="64"/>
      <c r="F787" s="64"/>
      <c r="G787" s="64"/>
      <c r="H787" s="64"/>
      <c r="I787" s="64"/>
      <c r="J787" s="64"/>
      <c r="K787" s="64"/>
      <c r="L787" s="64"/>
      <c r="M787" s="64"/>
      <c r="N787" s="64"/>
      <c r="O787" s="64"/>
      <c r="P787" s="64"/>
      <c r="Q787" s="64"/>
      <c r="R787" s="64"/>
      <c r="S787" s="64"/>
      <c r="T787" s="64"/>
      <c r="U787" s="64"/>
      <c r="V787" s="64"/>
      <c r="W787" s="64"/>
      <c r="X787" s="64"/>
      <c r="Y787" s="64"/>
      <c r="Z787" s="64"/>
    </row>
    <row r="788">
      <c r="A788" s="64"/>
      <c r="B788" s="64"/>
      <c r="C788" s="64"/>
      <c r="D788" s="64"/>
      <c r="E788" s="64"/>
      <c r="F788" s="64"/>
      <c r="G788" s="64"/>
      <c r="H788" s="64"/>
      <c r="I788" s="64"/>
      <c r="J788" s="64"/>
      <c r="K788" s="64"/>
      <c r="L788" s="64"/>
      <c r="M788" s="64"/>
      <c r="N788" s="64"/>
      <c r="O788" s="64"/>
      <c r="P788" s="64"/>
      <c r="Q788" s="64"/>
      <c r="R788" s="64"/>
      <c r="S788" s="64"/>
      <c r="T788" s="64"/>
      <c r="U788" s="64"/>
      <c r="V788" s="64"/>
      <c r="W788" s="64"/>
      <c r="X788" s="64"/>
      <c r="Y788" s="64"/>
      <c r="Z788" s="64"/>
    </row>
    <row r="789">
      <c r="A789" s="64"/>
      <c r="B789" s="64"/>
      <c r="C789" s="64"/>
      <c r="D789" s="64"/>
      <c r="E789" s="64"/>
      <c r="F789" s="64"/>
      <c r="G789" s="64"/>
      <c r="H789" s="64"/>
      <c r="I789" s="64"/>
      <c r="J789" s="64"/>
      <c r="K789" s="64"/>
      <c r="L789" s="64"/>
      <c r="M789" s="64"/>
      <c r="N789" s="64"/>
      <c r="O789" s="64"/>
      <c r="P789" s="64"/>
      <c r="Q789" s="64"/>
      <c r="R789" s="64"/>
      <c r="S789" s="64"/>
      <c r="T789" s="64"/>
      <c r="U789" s="64"/>
      <c r="V789" s="64"/>
      <c r="W789" s="64"/>
      <c r="X789" s="64"/>
      <c r="Y789" s="64"/>
      <c r="Z789" s="64"/>
    </row>
    <row r="790">
      <c r="A790" s="64"/>
      <c r="B790" s="64"/>
      <c r="C790" s="64"/>
      <c r="D790" s="64"/>
      <c r="E790" s="64"/>
      <c r="F790" s="64"/>
      <c r="G790" s="64"/>
      <c r="H790" s="64"/>
      <c r="I790" s="64"/>
      <c r="J790" s="64"/>
      <c r="K790" s="64"/>
      <c r="L790" s="64"/>
      <c r="M790" s="64"/>
      <c r="N790" s="64"/>
      <c r="O790" s="64"/>
      <c r="P790" s="64"/>
      <c r="Q790" s="64"/>
      <c r="R790" s="64"/>
      <c r="S790" s="64"/>
      <c r="T790" s="64"/>
      <c r="U790" s="64"/>
      <c r="V790" s="64"/>
      <c r="W790" s="64"/>
      <c r="X790" s="64"/>
      <c r="Y790" s="64"/>
      <c r="Z790" s="64"/>
    </row>
    <row r="791">
      <c r="A791" s="64"/>
      <c r="B791" s="64"/>
      <c r="C791" s="64"/>
      <c r="D791" s="64"/>
      <c r="E791" s="64"/>
      <c r="F791" s="64"/>
      <c r="G791" s="64"/>
      <c r="H791" s="64"/>
      <c r="I791" s="64"/>
      <c r="J791" s="64"/>
      <c r="K791" s="64"/>
      <c r="L791" s="64"/>
      <c r="M791" s="64"/>
      <c r="N791" s="64"/>
      <c r="O791" s="64"/>
      <c r="P791" s="64"/>
      <c r="Q791" s="64"/>
      <c r="R791" s="64"/>
      <c r="S791" s="64"/>
      <c r="T791" s="64"/>
      <c r="U791" s="64"/>
      <c r="V791" s="64"/>
      <c r="W791" s="64"/>
      <c r="X791" s="64"/>
      <c r="Y791" s="64"/>
      <c r="Z791" s="64"/>
    </row>
    <row r="792">
      <c r="A792" s="64"/>
      <c r="B792" s="64"/>
      <c r="C792" s="64"/>
      <c r="D792" s="64"/>
      <c r="E792" s="64"/>
      <c r="F792" s="64"/>
      <c r="G792" s="64"/>
      <c r="H792" s="64"/>
      <c r="I792" s="64"/>
      <c r="J792" s="64"/>
      <c r="K792" s="64"/>
      <c r="L792" s="64"/>
      <c r="M792" s="64"/>
      <c r="N792" s="64"/>
      <c r="O792" s="64"/>
      <c r="P792" s="64"/>
      <c r="Q792" s="64"/>
      <c r="R792" s="64"/>
      <c r="S792" s="64"/>
      <c r="T792" s="64"/>
      <c r="U792" s="64"/>
      <c r="V792" s="64"/>
      <c r="W792" s="64"/>
      <c r="X792" s="64"/>
      <c r="Y792" s="64"/>
      <c r="Z792" s="64"/>
    </row>
    <row r="793">
      <c r="A793" s="64"/>
      <c r="B793" s="64"/>
      <c r="C793" s="64"/>
      <c r="D793" s="64"/>
      <c r="E793" s="64"/>
      <c r="F793" s="64"/>
      <c r="G793" s="64"/>
      <c r="H793" s="64"/>
      <c r="I793" s="64"/>
      <c r="J793" s="64"/>
      <c r="K793" s="64"/>
      <c r="L793" s="64"/>
      <c r="M793" s="64"/>
      <c r="N793" s="64"/>
      <c r="O793" s="64"/>
      <c r="P793" s="64"/>
      <c r="Q793" s="64"/>
      <c r="R793" s="64"/>
      <c r="S793" s="64"/>
      <c r="T793" s="64"/>
      <c r="U793" s="64"/>
      <c r="V793" s="64"/>
      <c r="W793" s="64"/>
      <c r="X793" s="64"/>
      <c r="Y793" s="64"/>
      <c r="Z793" s="64"/>
    </row>
    <row r="794">
      <c r="A794" s="64"/>
      <c r="B794" s="64"/>
      <c r="C794" s="64"/>
      <c r="D794" s="64"/>
      <c r="E794" s="64"/>
      <c r="F794" s="64"/>
      <c r="G794" s="64"/>
      <c r="H794" s="64"/>
      <c r="I794" s="64"/>
      <c r="J794" s="64"/>
      <c r="K794" s="64"/>
      <c r="L794" s="64"/>
      <c r="M794" s="64"/>
      <c r="N794" s="64"/>
      <c r="O794" s="64"/>
      <c r="P794" s="64"/>
      <c r="Q794" s="64"/>
      <c r="R794" s="64"/>
      <c r="S794" s="64"/>
      <c r="T794" s="64"/>
      <c r="U794" s="64"/>
      <c r="V794" s="64"/>
      <c r="W794" s="64"/>
      <c r="X794" s="64"/>
      <c r="Y794" s="64"/>
      <c r="Z794" s="64"/>
    </row>
    <row r="795">
      <c r="A795" s="64"/>
      <c r="B795" s="64"/>
      <c r="C795" s="64"/>
      <c r="D795" s="64"/>
      <c r="E795" s="64"/>
      <c r="F795" s="64"/>
      <c r="G795" s="64"/>
      <c r="H795" s="64"/>
      <c r="I795" s="64"/>
      <c r="J795" s="64"/>
      <c r="K795" s="64"/>
      <c r="L795" s="64"/>
      <c r="M795" s="64"/>
      <c r="N795" s="64"/>
      <c r="O795" s="64"/>
      <c r="P795" s="64"/>
      <c r="Q795" s="64"/>
      <c r="R795" s="64"/>
      <c r="S795" s="64"/>
      <c r="T795" s="64"/>
      <c r="U795" s="64"/>
      <c r="V795" s="64"/>
      <c r="W795" s="64"/>
      <c r="X795" s="64"/>
      <c r="Y795" s="64"/>
      <c r="Z795" s="64"/>
    </row>
    <row r="796">
      <c r="A796" s="64"/>
      <c r="B796" s="64"/>
      <c r="C796" s="64"/>
      <c r="D796" s="64"/>
      <c r="E796" s="64"/>
      <c r="F796" s="64"/>
      <c r="G796" s="64"/>
      <c r="H796" s="64"/>
      <c r="I796" s="64"/>
      <c r="J796" s="64"/>
      <c r="K796" s="64"/>
      <c r="L796" s="64"/>
      <c r="M796" s="64"/>
      <c r="N796" s="64"/>
      <c r="O796" s="64"/>
      <c r="P796" s="64"/>
      <c r="Q796" s="64"/>
      <c r="R796" s="64"/>
      <c r="S796" s="64"/>
      <c r="T796" s="64"/>
      <c r="U796" s="64"/>
      <c r="V796" s="64"/>
      <c r="W796" s="64"/>
      <c r="X796" s="64"/>
      <c r="Y796" s="64"/>
      <c r="Z796" s="64"/>
    </row>
    <row r="797">
      <c r="A797" s="64"/>
      <c r="B797" s="64"/>
      <c r="C797" s="64"/>
      <c r="D797" s="64"/>
      <c r="E797" s="64"/>
      <c r="F797" s="64"/>
      <c r="G797" s="64"/>
      <c r="H797" s="64"/>
      <c r="I797" s="64"/>
      <c r="J797" s="64"/>
      <c r="K797" s="64"/>
      <c r="L797" s="64"/>
      <c r="M797" s="64"/>
      <c r="N797" s="64"/>
      <c r="O797" s="64"/>
      <c r="P797" s="64"/>
      <c r="Q797" s="64"/>
      <c r="R797" s="64"/>
      <c r="S797" s="64"/>
      <c r="T797" s="64"/>
      <c r="U797" s="64"/>
      <c r="V797" s="64"/>
      <c r="W797" s="64"/>
      <c r="X797" s="64"/>
      <c r="Y797" s="64"/>
      <c r="Z797" s="64"/>
    </row>
    <row r="798">
      <c r="A798" s="64"/>
      <c r="B798" s="64"/>
      <c r="C798" s="64"/>
      <c r="D798" s="64"/>
      <c r="E798" s="64"/>
      <c r="F798" s="64"/>
      <c r="G798" s="64"/>
      <c r="H798" s="64"/>
      <c r="I798" s="64"/>
      <c r="J798" s="64"/>
      <c r="K798" s="64"/>
      <c r="L798" s="64"/>
      <c r="M798" s="64"/>
      <c r="N798" s="64"/>
      <c r="O798" s="64"/>
      <c r="P798" s="64"/>
      <c r="Q798" s="64"/>
      <c r="R798" s="64"/>
      <c r="S798" s="64"/>
      <c r="T798" s="64"/>
      <c r="U798" s="64"/>
      <c r="V798" s="64"/>
      <c r="W798" s="64"/>
      <c r="X798" s="64"/>
      <c r="Y798" s="64"/>
      <c r="Z798" s="64"/>
    </row>
    <row r="799">
      <c r="A799" s="64"/>
      <c r="B799" s="64"/>
      <c r="C799" s="64"/>
      <c r="D799" s="64"/>
      <c r="E799" s="64"/>
      <c r="F799" s="64"/>
      <c r="G799" s="64"/>
      <c r="H799" s="64"/>
      <c r="I799" s="64"/>
      <c r="J799" s="64"/>
      <c r="K799" s="64"/>
      <c r="L799" s="64"/>
      <c r="M799" s="64"/>
      <c r="N799" s="64"/>
      <c r="O799" s="64"/>
      <c r="P799" s="64"/>
      <c r="Q799" s="64"/>
      <c r="R799" s="64"/>
      <c r="S799" s="64"/>
      <c r="T799" s="64"/>
      <c r="U799" s="64"/>
      <c r="V799" s="64"/>
      <c r="W799" s="64"/>
      <c r="X799" s="64"/>
      <c r="Y799" s="64"/>
      <c r="Z799" s="64"/>
    </row>
    <row r="800">
      <c r="A800" s="64"/>
      <c r="B800" s="64"/>
      <c r="C800" s="64"/>
      <c r="D800" s="64"/>
      <c r="E800" s="64"/>
      <c r="F800" s="64"/>
      <c r="G800" s="64"/>
      <c r="H800" s="64"/>
      <c r="I800" s="64"/>
      <c r="J800" s="64"/>
      <c r="K800" s="64"/>
      <c r="L800" s="64"/>
      <c r="M800" s="64"/>
      <c r="N800" s="64"/>
      <c r="O800" s="64"/>
      <c r="P800" s="64"/>
      <c r="Q800" s="64"/>
      <c r="R800" s="64"/>
      <c r="S800" s="64"/>
      <c r="T800" s="64"/>
      <c r="U800" s="64"/>
      <c r="V800" s="64"/>
      <c r="W800" s="64"/>
      <c r="X800" s="64"/>
      <c r="Y800" s="64"/>
      <c r="Z800" s="64"/>
    </row>
    <row r="801">
      <c r="A801" s="64"/>
      <c r="B801" s="64"/>
      <c r="C801" s="64"/>
      <c r="D801" s="64"/>
      <c r="E801" s="64"/>
      <c r="F801" s="64"/>
      <c r="G801" s="64"/>
      <c r="H801" s="64"/>
      <c r="I801" s="64"/>
      <c r="J801" s="64"/>
      <c r="K801" s="64"/>
      <c r="L801" s="64"/>
      <c r="M801" s="64"/>
      <c r="N801" s="64"/>
      <c r="O801" s="64"/>
      <c r="P801" s="64"/>
      <c r="Q801" s="64"/>
      <c r="R801" s="64"/>
      <c r="S801" s="64"/>
      <c r="T801" s="64"/>
      <c r="U801" s="64"/>
      <c r="V801" s="64"/>
      <c r="W801" s="64"/>
      <c r="X801" s="64"/>
      <c r="Y801" s="64"/>
      <c r="Z801" s="64"/>
    </row>
    <row r="802">
      <c r="A802" s="64"/>
      <c r="B802" s="64"/>
      <c r="C802" s="64"/>
      <c r="D802" s="64"/>
      <c r="E802" s="64"/>
      <c r="F802" s="64"/>
      <c r="G802" s="64"/>
      <c r="H802" s="64"/>
      <c r="I802" s="64"/>
      <c r="J802" s="64"/>
      <c r="K802" s="64"/>
      <c r="L802" s="64"/>
      <c r="M802" s="64"/>
      <c r="N802" s="64"/>
      <c r="O802" s="64"/>
      <c r="P802" s="64"/>
      <c r="Q802" s="64"/>
      <c r="R802" s="64"/>
      <c r="S802" s="64"/>
      <c r="T802" s="64"/>
      <c r="U802" s="64"/>
      <c r="V802" s="64"/>
      <c r="W802" s="64"/>
      <c r="X802" s="64"/>
      <c r="Y802" s="64"/>
      <c r="Z802" s="64"/>
    </row>
    <row r="803">
      <c r="A803" s="64"/>
      <c r="B803" s="64"/>
      <c r="C803" s="64"/>
      <c r="D803" s="64"/>
      <c r="E803" s="64"/>
      <c r="F803" s="64"/>
      <c r="G803" s="64"/>
      <c r="H803" s="64"/>
      <c r="I803" s="64"/>
      <c r="J803" s="64"/>
      <c r="K803" s="64"/>
      <c r="L803" s="64"/>
      <c r="M803" s="64"/>
      <c r="N803" s="64"/>
      <c r="O803" s="64"/>
      <c r="P803" s="64"/>
      <c r="Q803" s="64"/>
      <c r="R803" s="64"/>
      <c r="S803" s="64"/>
      <c r="T803" s="64"/>
      <c r="U803" s="64"/>
      <c r="V803" s="64"/>
      <c r="W803" s="64"/>
      <c r="X803" s="64"/>
      <c r="Y803" s="64"/>
      <c r="Z803" s="64"/>
    </row>
    <row r="804">
      <c r="A804" s="64"/>
      <c r="B804" s="64"/>
      <c r="C804" s="64"/>
      <c r="D804" s="64"/>
      <c r="E804" s="64"/>
      <c r="F804" s="64"/>
      <c r="G804" s="64"/>
      <c r="H804" s="64"/>
      <c r="I804" s="64"/>
      <c r="J804" s="64"/>
      <c r="K804" s="64"/>
      <c r="L804" s="64"/>
      <c r="M804" s="64"/>
      <c r="N804" s="64"/>
      <c r="O804" s="64"/>
      <c r="P804" s="64"/>
      <c r="Q804" s="64"/>
      <c r="R804" s="64"/>
      <c r="S804" s="64"/>
      <c r="T804" s="64"/>
      <c r="U804" s="64"/>
      <c r="V804" s="64"/>
      <c r="W804" s="64"/>
      <c r="X804" s="64"/>
      <c r="Y804" s="64"/>
      <c r="Z804" s="64"/>
    </row>
    <row r="805">
      <c r="A805" s="64"/>
      <c r="B805" s="64"/>
      <c r="C805" s="64"/>
      <c r="D805" s="64"/>
      <c r="E805" s="64"/>
      <c r="F805" s="64"/>
      <c r="G805" s="64"/>
      <c r="H805" s="64"/>
      <c r="I805" s="64"/>
      <c r="J805" s="64"/>
      <c r="K805" s="64"/>
      <c r="L805" s="64"/>
      <c r="M805" s="64"/>
      <c r="N805" s="64"/>
      <c r="O805" s="64"/>
      <c r="P805" s="64"/>
      <c r="Q805" s="64"/>
      <c r="R805" s="64"/>
      <c r="S805" s="64"/>
      <c r="T805" s="64"/>
      <c r="U805" s="64"/>
      <c r="V805" s="64"/>
      <c r="W805" s="64"/>
      <c r="X805" s="64"/>
      <c r="Y805" s="64"/>
      <c r="Z805" s="64"/>
    </row>
    <row r="806">
      <c r="A806" s="64"/>
      <c r="B806" s="64"/>
      <c r="C806" s="64"/>
      <c r="D806" s="64"/>
      <c r="E806" s="64"/>
      <c r="F806" s="64"/>
      <c r="G806" s="64"/>
      <c r="H806" s="64"/>
      <c r="I806" s="64"/>
      <c r="J806" s="64"/>
      <c r="K806" s="64"/>
      <c r="L806" s="64"/>
      <c r="M806" s="64"/>
      <c r="N806" s="64"/>
      <c r="O806" s="64"/>
      <c r="P806" s="64"/>
      <c r="Q806" s="64"/>
      <c r="R806" s="64"/>
      <c r="S806" s="64"/>
      <c r="T806" s="64"/>
      <c r="U806" s="64"/>
      <c r="V806" s="64"/>
      <c r="W806" s="64"/>
      <c r="X806" s="64"/>
      <c r="Y806" s="64"/>
      <c r="Z806" s="64"/>
    </row>
    <row r="807">
      <c r="A807" s="64"/>
      <c r="B807" s="64"/>
      <c r="C807" s="64"/>
      <c r="D807" s="64"/>
      <c r="E807" s="64"/>
      <c r="F807" s="64"/>
      <c r="G807" s="64"/>
      <c r="H807" s="64"/>
      <c r="I807" s="64"/>
      <c r="J807" s="64"/>
      <c r="K807" s="64"/>
      <c r="L807" s="64"/>
      <c r="M807" s="64"/>
      <c r="N807" s="64"/>
      <c r="O807" s="64"/>
      <c r="P807" s="64"/>
      <c r="Q807" s="64"/>
      <c r="R807" s="64"/>
      <c r="S807" s="64"/>
      <c r="T807" s="64"/>
      <c r="U807" s="64"/>
      <c r="V807" s="64"/>
      <c r="W807" s="64"/>
      <c r="X807" s="64"/>
      <c r="Y807" s="64"/>
      <c r="Z807" s="64"/>
    </row>
    <row r="808">
      <c r="A808" s="64"/>
      <c r="B808" s="64"/>
      <c r="C808" s="64"/>
      <c r="D808" s="64"/>
      <c r="E808" s="64"/>
      <c r="F808" s="64"/>
      <c r="G808" s="64"/>
      <c r="H808" s="64"/>
      <c r="I808" s="64"/>
      <c r="J808" s="64"/>
      <c r="K808" s="64"/>
      <c r="L808" s="64"/>
      <c r="M808" s="64"/>
      <c r="N808" s="64"/>
      <c r="O808" s="64"/>
      <c r="P808" s="64"/>
      <c r="Q808" s="64"/>
      <c r="R808" s="64"/>
      <c r="S808" s="64"/>
      <c r="T808" s="64"/>
      <c r="U808" s="64"/>
      <c r="V808" s="64"/>
      <c r="W808" s="64"/>
      <c r="X808" s="64"/>
      <c r="Y808" s="64"/>
      <c r="Z808" s="64"/>
    </row>
    <row r="809">
      <c r="A809" s="64"/>
      <c r="B809" s="64"/>
      <c r="C809" s="64"/>
      <c r="D809" s="64"/>
      <c r="E809" s="64"/>
      <c r="F809" s="64"/>
      <c r="G809" s="64"/>
      <c r="H809" s="64"/>
      <c r="I809" s="64"/>
      <c r="J809" s="64"/>
      <c r="K809" s="64"/>
      <c r="L809" s="64"/>
      <c r="M809" s="64"/>
      <c r="N809" s="64"/>
      <c r="O809" s="64"/>
      <c r="P809" s="64"/>
      <c r="Q809" s="64"/>
      <c r="R809" s="64"/>
      <c r="S809" s="64"/>
      <c r="T809" s="64"/>
      <c r="U809" s="64"/>
      <c r="V809" s="64"/>
      <c r="W809" s="64"/>
      <c r="X809" s="64"/>
      <c r="Y809" s="64"/>
      <c r="Z809" s="64"/>
    </row>
    <row r="810">
      <c r="A810" s="64"/>
      <c r="B810" s="64"/>
      <c r="C810" s="64"/>
      <c r="D810" s="64"/>
      <c r="E810" s="64"/>
      <c r="F810" s="64"/>
      <c r="G810" s="64"/>
      <c r="H810" s="64"/>
      <c r="I810" s="64"/>
      <c r="J810" s="64"/>
      <c r="K810" s="64"/>
      <c r="L810" s="64"/>
      <c r="M810" s="64"/>
      <c r="N810" s="64"/>
      <c r="O810" s="64"/>
      <c r="P810" s="64"/>
      <c r="Q810" s="64"/>
      <c r="R810" s="64"/>
      <c r="S810" s="64"/>
      <c r="T810" s="64"/>
      <c r="U810" s="64"/>
      <c r="V810" s="64"/>
      <c r="W810" s="64"/>
      <c r="X810" s="64"/>
      <c r="Y810" s="64"/>
      <c r="Z810" s="64"/>
    </row>
    <row r="811">
      <c r="A811" s="64"/>
      <c r="B811" s="64"/>
      <c r="C811" s="64"/>
      <c r="D811" s="64"/>
      <c r="E811" s="64"/>
      <c r="F811" s="64"/>
      <c r="G811" s="64"/>
      <c r="H811" s="64"/>
      <c r="I811" s="64"/>
      <c r="J811" s="64"/>
      <c r="K811" s="64"/>
      <c r="L811" s="64"/>
      <c r="M811" s="64"/>
      <c r="N811" s="64"/>
      <c r="O811" s="64"/>
      <c r="P811" s="64"/>
      <c r="Q811" s="64"/>
      <c r="R811" s="64"/>
      <c r="S811" s="64"/>
      <c r="T811" s="64"/>
      <c r="U811" s="64"/>
      <c r="V811" s="64"/>
      <c r="W811" s="64"/>
      <c r="X811" s="64"/>
      <c r="Y811" s="64"/>
      <c r="Z811" s="64"/>
    </row>
    <row r="812">
      <c r="A812" s="64"/>
      <c r="B812" s="64"/>
      <c r="C812" s="64"/>
      <c r="D812" s="64"/>
      <c r="E812" s="64"/>
      <c r="F812" s="64"/>
      <c r="G812" s="64"/>
      <c r="H812" s="64"/>
      <c r="I812" s="64"/>
      <c r="J812" s="64"/>
      <c r="K812" s="64"/>
      <c r="L812" s="64"/>
      <c r="M812" s="64"/>
      <c r="N812" s="64"/>
      <c r="O812" s="64"/>
      <c r="P812" s="64"/>
      <c r="Q812" s="64"/>
      <c r="R812" s="64"/>
      <c r="S812" s="64"/>
      <c r="T812" s="64"/>
      <c r="U812" s="64"/>
      <c r="V812" s="64"/>
      <c r="W812" s="64"/>
      <c r="X812" s="64"/>
      <c r="Y812" s="64"/>
      <c r="Z812" s="64"/>
    </row>
    <row r="813">
      <c r="A813" s="64"/>
      <c r="B813" s="64"/>
      <c r="C813" s="64"/>
      <c r="D813" s="64"/>
      <c r="E813" s="64"/>
      <c r="F813" s="64"/>
      <c r="G813" s="64"/>
      <c r="H813" s="64"/>
      <c r="I813" s="64"/>
      <c r="J813" s="64"/>
      <c r="K813" s="64"/>
      <c r="L813" s="64"/>
      <c r="M813" s="64"/>
      <c r="N813" s="64"/>
      <c r="O813" s="64"/>
      <c r="P813" s="64"/>
      <c r="Q813" s="64"/>
      <c r="R813" s="64"/>
      <c r="S813" s="64"/>
      <c r="T813" s="64"/>
      <c r="U813" s="64"/>
      <c r="V813" s="64"/>
      <c r="W813" s="64"/>
      <c r="X813" s="64"/>
      <c r="Y813" s="64"/>
      <c r="Z813" s="64"/>
    </row>
    <row r="814">
      <c r="A814" s="64"/>
      <c r="B814" s="64"/>
      <c r="C814" s="64"/>
      <c r="D814" s="64"/>
      <c r="E814" s="64"/>
      <c r="F814" s="64"/>
      <c r="G814" s="64"/>
      <c r="H814" s="64"/>
      <c r="I814" s="64"/>
      <c r="J814" s="64"/>
      <c r="K814" s="64"/>
      <c r="L814" s="64"/>
      <c r="M814" s="64"/>
      <c r="N814" s="64"/>
      <c r="O814" s="64"/>
      <c r="P814" s="64"/>
      <c r="Q814" s="64"/>
      <c r="R814" s="64"/>
      <c r="S814" s="64"/>
      <c r="T814" s="64"/>
      <c r="U814" s="64"/>
      <c r="V814" s="64"/>
      <c r="W814" s="64"/>
      <c r="X814" s="64"/>
      <c r="Y814" s="64"/>
      <c r="Z814" s="64"/>
    </row>
    <row r="815">
      <c r="A815" s="64"/>
      <c r="B815" s="64"/>
      <c r="C815" s="64"/>
      <c r="D815" s="64"/>
      <c r="E815" s="64"/>
      <c r="F815" s="64"/>
      <c r="G815" s="64"/>
      <c r="H815" s="64"/>
      <c r="I815" s="64"/>
      <c r="J815" s="64"/>
      <c r="K815" s="64"/>
      <c r="L815" s="64"/>
      <c r="M815" s="64"/>
      <c r="N815" s="64"/>
      <c r="O815" s="64"/>
      <c r="P815" s="64"/>
      <c r="Q815" s="64"/>
      <c r="R815" s="64"/>
      <c r="S815" s="64"/>
      <c r="T815" s="64"/>
      <c r="U815" s="64"/>
      <c r="V815" s="64"/>
      <c r="W815" s="64"/>
      <c r="X815" s="64"/>
      <c r="Y815" s="64"/>
      <c r="Z815" s="64"/>
    </row>
    <row r="816">
      <c r="A816" s="64"/>
      <c r="B816" s="64"/>
      <c r="C816" s="64"/>
      <c r="D816" s="64"/>
      <c r="E816" s="64"/>
      <c r="F816" s="64"/>
      <c r="G816" s="64"/>
      <c r="H816" s="64"/>
      <c r="I816" s="64"/>
      <c r="J816" s="64"/>
      <c r="K816" s="64"/>
      <c r="L816" s="64"/>
      <c r="M816" s="64"/>
      <c r="N816" s="64"/>
      <c r="O816" s="64"/>
      <c r="P816" s="64"/>
      <c r="Q816" s="64"/>
      <c r="R816" s="64"/>
      <c r="S816" s="64"/>
      <c r="T816" s="64"/>
      <c r="U816" s="64"/>
      <c r="V816" s="64"/>
      <c r="W816" s="64"/>
      <c r="X816" s="64"/>
      <c r="Y816" s="64"/>
      <c r="Z816" s="64"/>
    </row>
    <row r="817">
      <c r="A817" s="64"/>
      <c r="B817" s="64"/>
      <c r="C817" s="64"/>
      <c r="D817" s="64"/>
      <c r="E817" s="64"/>
      <c r="F817" s="64"/>
      <c r="G817" s="64"/>
      <c r="H817" s="64"/>
      <c r="I817" s="64"/>
      <c r="J817" s="64"/>
      <c r="K817" s="64"/>
      <c r="L817" s="64"/>
      <c r="M817" s="64"/>
      <c r="N817" s="64"/>
      <c r="O817" s="64"/>
      <c r="P817" s="64"/>
      <c r="Q817" s="64"/>
      <c r="R817" s="64"/>
      <c r="S817" s="64"/>
      <c r="T817" s="64"/>
      <c r="U817" s="64"/>
      <c r="V817" s="64"/>
      <c r="W817" s="64"/>
      <c r="X817" s="64"/>
      <c r="Y817" s="64"/>
      <c r="Z817" s="64"/>
    </row>
    <row r="818">
      <c r="A818" s="64"/>
      <c r="B818" s="64"/>
      <c r="C818" s="64"/>
      <c r="D818" s="64"/>
      <c r="E818" s="64"/>
      <c r="F818" s="64"/>
      <c r="G818" s="64"/>
      <c r="H818" s="64"/>
      <c r="I818" s="64"/>
      <c r="J818" s="64"/>
      <c r="K818" s="64"/>
      <c r="L818" s="64"/>
      <c r="M818" s="64"/>
      <c r="N818" s="64"/>
      <c r="O818" s="64"/>
      <c r="P818" s="64"/>
      <c r="Q818" s="64"/>
      <c r="R818" s="64"/>
      <c r="S818" s="64"/>
      <c r="T818" s="64"/>
      <c r="U818" s="64"/>
      <c r="V818" s="64"/>
      <c r="W818" s="64"/>
      <c r="X818" s="64"/>
      <c r="Y818" s="64"/>
      <c r="Z818" s="64"/>
    </row>
    <row r="819">
      <c r="A819" s="64"/>
      <c r="B819" s="64"/>
      <c r="C819" s="64"/>
      <c r="D819" s="64"/>
      <c r="E819" s="64"/>
      <c r="F819" s="64"/>
      <c r="G819" s="64"/>
      <c r="H819" s="64"/>
      <c r="I819" s="64"/>
      <c r="J819" s="64"/>
      <c r="K819" s="64"/>
      <c r="L819" s="64"/>
      <c r="M819" s="64"/>
      <c r="N819" s="64"/>
      <c r="O819" s="64"/>
      <c r="P819" s="64"/>
      <c r="Q819" s="64"/>
      <c r="R819" s="64"/>
      <c r="S819" s="64"/>
      <c r="T819" s="64"/>
      <c r="U819" s="64"/>
      <c r="V819" s="64"/>
      <c r="W819" s="64"/>
      <c r="X819" s="64"/>
      <c r="Y819" s="64"/>
      <c r="Z819" s="64"/>
    </row>
    <row r="820">
      <c r="A820" s="64"/>
      <c r="B820" s="64"/>
      <c r="C820" s="64"/>
      <c r="D820" s="64"/>
      <c r="E820" s="64"/>
      <c r="F820" s="64"/>
      <c r="G820" s="64"/>
      <c r="H820" s="64"/>
      <c r="I820" s="64"/>
      <c r="J820" s="64"/>
      <c r="K820" s="64"/>
      <c r="L820" s="64"/>
      <c r="M820" s="64"/>
      <c r="N820" s="64"/>
      <c r="O820" s="64"/>
      <c r="P820" s="64"/>
      <c r="Q820" s="64"/>
      <c r="R820" s="64"/>
      <c r="S820" s="64"/>
      <c r="T820" s="64"/>
      <c r="U820" s="64"/>
      <c r="V820" s="64"/>
      <c r="W820" s="64"/>
      <c r="X820" s="64"/>
      <c r="Y820" s="64"/>
      <c r="Z820" s="64"/>
    </row>
    <row r="821">
      <c r="A821" s="64"/>
      <c r="B821" s="64"/>
      <c r="C821" s="64"/>
      <c r="D821" s="64"/>
      <c r="E821" s="64"/>
      <c r="F821" s="64"/>
      <c r="G821" s="64"/>
      <c r="H821" s="64"/>
      <c r="I821" s="64"/>
      <c r="J821" s="64"/>
      <c r="K821" s="64"/>
      <c r="L821" s="64"/>
      <c r="M821" s="64"/>
      <c r="N821" s="64"/>
      <c r="O821" s="64"/>
      <c r="P821" s="64"/>
      <c r="Q821" s="64"/>
      <c r="R821" s="64"/>
      <c r="S821" s="64"/>
      <c r="T821" s="64"/>
      <c r="U821" s="64"/>
      <c r="V821" s="64"/>
      <c r="W821" s="64"/>
      <c r="X821" s="64"/>
      <c r="Y821" s="64"/>
      <c r="Z821" s="64"/>
    </row>
    <row r="822">
      <c r="A822" s="64"/>
      <c r="B822" s="64"/>
      <c r="C822" s="64"/>
      <c r="D822" s="64"/>
      <c r="E822" s="64"/>
      <c r="F822" s="64"/>
      <c r="G822" s="64"/>
      <c r="H822" s="64"/>
      <c r="I822" s="64"/>
      <c r="J822" s="64"/>
      <c r="K822" s="64"/>
      <c r="L822" s="64"/>
      <c r="M822" s="64"/>
      <c r="N822" s="64"/>
      <c r="O822" s="64"/>
      <c r="P822" s="64"/>
      <c r="Q822" s="64"/>
      <c r="R822" s="64"/>
      <c r="S822" s="64"/>
      <c r="T822" s="64"/>
      <c r="U822" s="64"/>
      <c r="V822" s="64"/>
      <c r="W822" s="64"/>
      <c r="X822" s="64"/>
      <c r="Y822" s="64"/>
      <c r="Z822" s="64"/>
    </row>
    <row r="823">
      <c r="A823" s="64"/>
      <c r="B823" s="64"/>
      <c r="C823" s="64"/>
      <c r="D823" s="64"/>
      <c r="E823" s="64"/>
      <c r="F823" s="64"/>
      <c r="G823" s="64"/>
      <c r="H823" s="64"/>
      <c r="I823" s="64"/>
      <c r="J823" s="64"/>
      <c r="K823" s="64"/>
      <c r="L823" s="64"/>
      <c r="M823" s="64"/>
      <c r="N823" s="64"/>
      <c r="O823" s="64"/>
      <c r="P823" s="64"/>
      <c r="Q823" s="64"/>
      <c r="R823" s="64"/>
      <c r="S823" s="64"/>
      <c r="T823" s="64"/>
      <c r="U823" s="64"/>
      <c r="V823" s="64"/>
      <c r="W823" s="64"/>
      <c r="X823" s="64"/>
      <c r="Y823" s="64"/>
      <c r="Z823" s="64"/>
    </row>
    <row r="824">
      <c r="A824" s="64"/>
      <c r="B824" s="64"/>
      <c r="C824" s="64"/>
      <c r="D824" s="64"/>
      <c r="E824" s="64"/>
      <c r="F824" s="64"/>
      <c r="G824" s="64"/>
      <c r="H824" s="64"/>
      <c r="I824" s="64"/>
      <c r="J824" s="64"/>
      <c r="K824" s="64"/>
      <c r="L824" s="64"/>
      <c r="M824" s="64"/>
      <c r="N824" s="64"/>
      <c r="O824" s="64"/>
      <c r="P824" s="64"/>
      <c r="Q824" s="64"/>
      <c r="R824" s="64"/>
      <c r="S824" s="64"/>
      <c r="T824" s="64"/>
      <c r="U824" s="64"/>
      <c r="V824" s="64"/>
      <c r="W824" s="64"/>
      <c r="X824" s="64"/>
      <c r="Y824" s="64"/>
      <c r="Z824" s="64"/>
    </row>
    <row r="825">
      <c r="A825" s="64"/>
      <c r="B825" s="64"/>
      <c r="C825" s="64"/>
      <c r="D825" s="64"/>
      <c r="E825" s="64"/>
      <c r="F825" s="64"/>
      <c r="G825" s="64"/>
      <c r="H825" s="64"/>
      <c r="I825" s="64"/>
      <c r="J825" s="64"/>
      <c r="K825" s="64"/>
      <c r="L825" s="64"/>
      <c r="M825" s="64"/>
      <c r="N825" s="64"/>
      <c r="O825" s="64"/>
      <c r="P825" s="64"/>
      <c r="Q825" s="64"/>
      <c r="R825" s="64"/>
      <c r="S825" s="64"/>
      <c r="T825" s="64"/>
      <c r="U825" s="64"/>
      <c r="V825" s="64"/>
      <c r="W825" s="64"/>
      <c r="X825" s="64"/>
      <c r="Y825" s="64"/>
      <c r="Z825" s="64"/>
    </row>
    <row r="826">
      <c r="A826" s="64"/>
      <c r="B826" s="64"/>
      <c r="C826" s="64"/>
      <c r="D826" s="64"/>
      <c r="E826" s="64"/>
      <c r="F826" s="64"/>
      <c r="G826" s="64"/>
      <c r="H826" s="64"/>
      <c r="I826" s="64"/>
      <c r="J826" s="64"/>
      <c r="K826" s="64"/>
      <c r="L826" s="64"/>
      <c r="M826" s="64"/>
      <c r="N826" s="64"/>
      <c r="O826" s="64"/>
      <c r="P826" s="64"/>
      <c r="Q826" s="64"/>
      <c r="R826" s="64"/>
      <c r="S826" s="64"/>
      <c r="T826" s="64"/>
      <c r="U826" s="64"/>
      <c r="V826" s="64"/>
      <c r="W826" s="64"/>
      <c r="X826" s="64"/>
      <c r="Y826" s="64"/>
      <c r="Z826" s="64"/>
    </row>
    <row r="827">
      <c r="A827" s="64"/>
      <c r="B827" s="64"/>
      <c r="C827" s="64"/>
      <c r="D827" s="64"/>
      <c r="E827" s="64"/>
      <c r="F827" s="64"/>
      <c r="G827" s="64"/>
      <c r="H827" s="64"/>
      <c r="I827" s="64"/>
      <c r="J827" s="64"/>
      <c r="K827" s="64"/>
      <c r="L827" s="64"/>
      <c r="M827" s="64"/>
      <c r="N827" s="64"/>
      <c r="O827" s="64"/>
      <c r="P827" s="64"/>
      <c r="Q827" s="64"/>
      <c r="R827" s="64"/>
      <c r="S827" s="64"/>
      <c r="T827" s="64"/>
      <c r="U827" s="64"/>
      <c r="V827" s="64"/>
      <c r="W827" s="64"/>
      <c r="X827" s="64"/>
      <c r="Y827" s="64"/>
      <c r="Z827" s="64"/>
    </row>
    <row r="828">
      <c r="A828" s="64"/>
      <c r="B828" s="64"/>
      <c r="C828" s="64"/>
      <c r="D828" s="64"/>
      <c r="E828" s="64"/>
      <c r="F828" s="64"/>
      <c r="G828" s="64"/>
      <c r="H828" s="64"/>
      <c r="I828" s="64"/>
      <c r="J828" s="64"/>
      <c r="K828" s="64"/>
      <c r="L828" s="64"/>
      <c r="M828" s="64"/>
      <c r="N828" s="64"/>
      <c r="O828" s="64"/>
      <c r="P828" s="64"/>
      <c r="Q828" s="64"/>
      <c r="R828" s="64"/>
      <c r="S828" s="64"/>
      <c r="T828" s="64"/>
      <c r="U828" s="64"/>
      <c r="V828" s="64"/>
      <c r="W828" s="64"/>
      <c r="X828" s="64"/>
      <c r="Y828" s="64"/>
      <c r="Z828" s="64"/>
    </row>
    <row r="829">
      <c r="A829" s="64"/>
      <c r="B829" s="64"/>
      <c r="C829" s="64"/>
      <c r="D829" s="64"/>
      <c r="E829" s="64"/>
      <c r="F829" s="64"/>
      <c r="G829" s="64"/>
      <c r="H829" s="64"/>
      <c r="I829" s="64"/>
      <c r="J829" s="64"/>
      <c r="K829" s="64"/>
      <c r="L829" s="64"/>
      <c r="M829" s="64"/>
      <c r="N829" s="64"/>
      <c r="O829" s="64"/>
      <c r="P829" s="64"/>
      <c r="Q829" s="64"/>
      <c r="R829" s="64"/>
      <c r="S829" s="64"/>
      <c r="T829" s="64"/>
      <c r="U829" s="64"/>
      <c r="V829" s="64"/>
      <c r="W829" s="64"/>
      <c r="X829" s="64"/>
      <c r="Y829" s="64"/>
      <c r="Z829" s="64"/>
    </row>
    <row r="830">
      <c r="A830" s="64"/>
      <c r="B830" s="64"/>
      <c r="C830" s="64"/>
      <c r="D830" s="64"/>
      <c r="E830" s="64"/>
      <c r="F830" s="64"/>
      <c r="G830" s="64"/>
      <c r="H830" s="64"/>
      <c r="I830" s="64"/>
      <c r="J830" s="64"/>
      <c r="K830" s="64"/>
      <c r="L830" s="64"/>
      <c r="M830" s="64"/>
      <c r="N830" s="64"/>
      <c r="O830" s="64"/>
      <c r="P830" s="64"/>
      <c r="Q830" s="64"/>
      <c r="R830" s="64"/>
      <c r="S830" s="64"/>
      <c r="T830" s="64"/>
      <c r="U830" s="64"/>
      <c r="V830" s="64"/>
      <c r="W830" s="64"/>
      <c r="X830" s="64"/>
      <c r="Y830" s="64"/>
      <c r="Z830" s="64"/>
    </row>
    <row r="831">
      <c r="A831" s="64"/>
      <c r="B831" s="64"/>
      <c r="C831" s="64"/>
      <c r="D831" s="64"/>
      <c r="E831" s="64"/>
      <c r="F831" s="64"/>
      <c r="G831" s="64"/>
      <c r="H831" s="64"/>
      <c r="I831" s="64"/>
      <c r="J831" s="64"/>
      <c r="K831" s="64"/>
      <c r="L831" s="64"/>
      <c r="M831" s="64"/>
      <c r="N831" s="64"/>
      <c r="O831" s="64"/>
      <c r="P831" s="64"/>
      <c r="Q831" s="64"/>
      <c r="R831" s="64"/>
      <c r="S831" s="64"/>
      <c r="T831" s="64"/>
      <c r="U831" s="64"/>
      <c r="V831" s="64"/>
      <c r="W831" s="64"/>
      <c r="X831" s="64"/>
      <c r="Y831" s="64"/>
      <c r="Z831" s="64"/>
    </row>
    <row r="832">
      <c r="A832" s="64"/>
      <c r="B832" s="64"/>
      <c r="C832" s="64"/>
      <c r="D832" s="64"/>
      <c r="E832" s="64"/>
      <c r="F832" s="64"/>
      <c r="G832" s="64"/>
      <c r="H832" s="64"/>
      <c r="I832" s="64"/>
      <c r="J832" s="64"/>
      <c r="K832" s="64"/>
      <c r="L832" s="64"/>
      <c r="M832" s="64"/>
      <c r="N832" s="64"/>
      <c r="O832" s="64"/>
      <c r="P832" s="64"/>
      <c r="Q832" s="64"/>
      <c r="R832" s="64"/>
      <c r="S832" s="64"/>
      <c r="T832" s="64"/>
      <c r="U832" s="64"/>
      <c r="V832" s="64"/>
      <c r="W832" s="64"/>
      <c r="X832" s="64"/>
      <c r="Y832" s="64"/>
      <c r="Z832" s="64"/>
    </row>
    <row r="833">
      <c r="A833" s="64"/>
      <c r="B833" s="64"/>
      <c r="C833" s="64"/>
      <c r="D833" s="64"/>
      <c r="E833" s="64"/>
      <c r="F833" s="64"/>
      <c r="G833" s="64"/>
      <c r="H833" s="64"/>
      <c r="I833" s="64"/>
      <c r="J833" s="64"/>
      <c r="K833" s="64"/>
      <c r="L833" s="64"/>
      <c r="M833" s="64"/>
      <c r="N833" s="64"/>
      <c r="O833" s="64"/>
      <c r="P833" s="64"/>
      <c r="Q833" s="64"/>
      <c r="R833" s="64"/>
      <c r="S833" s="64"/>
      <c r="T833" s="64"/>
      <c r="U833" s="64"/>
      <c r="V833" s="64"/>
      <c r="W833" s="64"/>
      <c r="X833" s="64"/>
      <c r="Y833" s="64"/>
      <c r="Z833" s="64"/>
    </row>
    <row r="834">
      <c r="A834" s="64"/>
      <c r="B834" s="64"/>
      <c r="C834" s="64"/>
      <c r="D834" s="64"/>
      <c r="E834" s="64"/>
      <c r="F834" s="64"/>
      <c r="G834" s="64"/>
      <c r="H834" s="64"/>
      <c r="I834" s="64"/>
      <c r="J834" s="64"/>
      <c r="K834" s="64"/>
      <c r="L834" s="64"/>
      <c r="M834" s="64"/>
      <c r="N834" s="64"/>
      <c r="O834" s="64"/>
      <c r="P834" s="64"/>
      <c r="Q834" s="64"/>
      <c r="R834" s="64"/>
      <c r="S834" s="64"/>
      <c r="T834" s="64"/>
      <c r="U834" s="64"/>
      <c r="V834" s="64"/>
      <c r="W834" s="64"/>
      <c r="X834" s="64"/>
      <c r="Y834" s="64"/>
      <c r="Z834" s="64"/>
    </row>
    <row r="835">
      <c r="A835" s="64"/>
      <c r="B835" s="64"/>
      <c r="C835" s="64"/>
      <c r="D835" s="64"/>
      <c r="E835" s="64"/>
      <c r="F835" s="64"/>
      <c r="G835" s="64"/>
      <c r="H835" s="64"/>
      <c r="I835" s="64"/>
      <c r="J835" s="64"/>
      <c r="K835" s="64"/>
      <c r="L835" s="64"/>
      <c r="M835" s="64"/>
      <c r="N835" s="64"/>
      <c r="O835" s="64"/>
      <c r="P835" s="64"/>
      <c r="Q835" s="64"/>
      <c r="R835" s="64"/>
      <c r="S835" s="64"/>
      <c r="T835" s="64"/>
      <c r="U835" s="64"/>
      <c r="V835" s="64"/>
      <c r="W835" s="64"/>
      <c r="X835" s="64"/>
      <c r="Y835" s="64"/>
      <c r="Z835" s="64"/>
    </row>
    <row r="836">
      <c r="A836" s="64"/>
      <c r="B836" s="64"/>
      <c r="C836" s="64"/>
      <c r="D836" s="64"/>
      <c r="E836" s="64"/>
      <c r="F836" s="64"/>
      <c r="G836" s="64"/>
      <c r="H836" s="64"/>
      <c r="I836" s="64"/>
      <c r="J836" s="64"/>
      <c r="K836" s="64"/>
      <c r="L836" s="64"/>
      <c r="M836" s="64"/>
      <c r="N836" s="64"/>
      <c r="O836" s="64"/>
      <c r="P836" s="64"/>
      <c r="Q836" s="64"/>
      <c r="R836" s="64"/>
      <c r="S836" s="64"/>
      <c r="T836" s="64"/>
      <c r="U836" s="64"/>
      <c r="V836" s="64"/>
      <c r="W836" s="64"/>
      <c r="X836" s="64"/>
      <c r="Y836" s="64"/>
      <c r="Z836" s="64"/>
    </row>
    <row r="837">
      <c r="A837" s="64"/>
      <c r="B837" s="64"/>
      <c r="C837" s="64"/>
      <c r="D837" s="64"/>
      <c r="E837" s="64"/>
      <c r="F837" s="64"/>
      <c r="G837" s="64"/>
      <c r="H837" s="64"/>
      <c r="I837" s="64"/>
      <c r="J837" s="64"/>
      <c r="K837" s="64"/>
      <c r="L837" s="64"/>
      <c r="M837" s="64"/>
      <c r="N837" s="64"/>
      <c r="O837" s="64"/>
      <c r="P837" s="64"/>
      <c r="Q837" s="64"/>
      <c r="R837" s="64"/>
      <c r="S837" s="64"/>
      <c r="T837" s="64"/>
      <c r="U837" s="64"/>
      <c r="V837" s="64"/>
      <c r="W837" s="64"/>
      <c r="X837" s="64"/>
      <c r="Y837" s="64"/>
      <c r="Z837" s="64"/>
    </row>
    <row r="838">
      <c r="A838" s="64"/>
      <c r="B838" s="64"/>
      <c r="C838" s="64"/>
      <c r="D838" s="64"/>
      <c r="E838" s="64"/>
      <c r="F838" s="64"/>
      <c r="G838" s="64"/>
      <c r="H838" s="64"/>
      <c r="I838" s="64"/>
      <c r="J838" s="64"/>
      <c r="K838" s="64"/>
      <c r="L838" s="64"/>
      <c r="M838" s="64"/>
      <c r="N838" s="64"/>
      <c r="O838" s="64"/>
      <c r="P838" s="64"/>
      <c r="Q838" s="64"/>
      <c r="R838" s="64"/>
      <c r="S838" s="64"/>
      <c r="T838" s="64"/>
      <c r="U838" s="64"/>
      <c r="V838" s="64"/>
      <c r="W838" s="64"/>
      <c r="X838" s="64"/>
      <c r="Y838" s="64"/>
      <c r="Z838" s="64"/>
    </row>
    <row r="839">
      <c r="A839" s="64"/>
      <c r="B839" s="64"/>
      <c r="C839" s="64"/>
      <c r="D839" s="64"/>
      <c r="E839" s="64"/>
      <c r="F839" s="64"/>
      <c r="G839" s="64"/>
      <c r="H839" s="64"/>
      <c r="I839" s="64"/>
      <c r="J839" s="64"/>
      <c r="K839" s="64"/>
      <c r="L839" s="64"/>
      <c r="M839" s="64"/>
      <c r="N839" s="64"/>
      <c r="O839" s="64"/>
      <c r="P839" s="64"/>
      <c r="Q839" s="64"/>
      <c r="R839" s="64"/>
      <c r="S839" s="64"/>
      <c r="T839" s="64"/>
      <c r="U839" s="64"/>
      <c r="V839" s="64"/>
      <c r="W839" s="64"/>
      <c r="X839" s="64"/>
      <c r="Y839" s="64"/>
      <c r="Z839" s="64"/>
    </row>
    <row r="840">
      <c r="A840" s="64"/>
      <c r="B840" s="64"/>
      <c r="C840" s="64"/>
      <c r="D840" s="64"/>
      <c r="E840" s="64"/>
      <c r="F840" s="64"/>
      <c r="G840" s="64"/>
      <c r="H840" s="64"/>
      <c r="I840" s="64"/>
      <c r="J840" s="64"/>
      <c r="K840" s="64"/>
      <c r="L840" s="64"/>
      <c r="M840" s="64"/>
      <c r="N840" s="64"/>
      <c r="O840" s="64"/>
      <c r="P840" s="64"/>
      <c r="Q840" s="64"/>
      <c r="R840" s="64"/>
      <c r="S840" s="64"/>
      <c r="T840" s="64"/>
      <c r="U840" s="64"/>
      <c r="V840" s="64"/>
      <c r="W840" s="64"/>
      <c r="X840" s="64"/>
      <c r="Y840" s="64"/>
      <c r="Z840" s="64"/>
    </row>
    <row r="841">
      <c r="A841" s="64"/>
      <c r="B841" s="64"/>
      <c r="C841" s="64"/>
      <c r="D841" s="64"/>
      <c r="E841" s="64"/>
      <c r="F841" s="64"/>
      <c r="G841" s="64"/>
      <c r="H841" s="64"/>
      <c r="I841" s="64"/>
      <c r="J841" s="64"/>
      <c r="K841" s="64"/>
      <c r="L841" s="64"/>
      <c r="M841" s="64"/>
      <c r="N841" s="64"/>
      <c r="O841" s="64"/>
      <c r="P841" s="64"/>
      <c r="Q841" s="64"/>
      <c r="R841" s="64"/>
      <c r="S841" s="64"/>
      <c r="T841" s="64"/>
      <c r="U841" s="64"/>
      <c r="V841" s="64"/>
      <c r="W841" s="64"/>
      <c r="X841" s="64"/>
      <c r="Y841" s="64"/>
      <c r="Z841" s="64"/>
    </row>
    <row r="842">
      <c r="A842" s="64"/>
      <c r="B842" s="64"/>
      <c r="C842" s="64"/>
      <c r="D842" s="64"/>
      <c r="E842" s="64"/>
      <c r="F842" s="64"/>
      <c r="G842" s="64"/>
      <c r="H842" s="64"/>
      <c r="I842" s="64"/>
      <c r="J842" s="64"/>
      <c r="K842" s="64"/>
      <c r="L842" s="64"/>
      <c r="M842" s="64"/>
      <c r="N842" s="64"/>
      <c r="O842" s="64"/>
      <c r="P842" s="64"/>
      <c r="Q842" s="64"/>
      <c r="R842" s="64"/>
      <c r="S842" s="64"/>
      <c r="T842" s="64"/>
      <c r="U842" s="64"/>
      <c r="V842" s="64"/>
      <c r="W842" s="64"/>
      <c r="X842" s="64"/>
      <c r="Y842" s="64"/>
      <c r="Z842" s="64"/>
    </row>
    <row r="843">
      <c r="A843" s="64"/>
      <c r="B843" s="64"/>
      <c r="C843" s="64"/>
      <c r="D843" s="64"/>
      <c r="E843" s="64"/>
      <c r="F843" s="64"/>
      <c r="G843" s="64"/>
      <c r="H843" s="64"/>
      <c r="I843" s="64"/>
      <c r="J843" s="64"/>
      <c r="K843" s="64"/>
      <c r="L843" s="64"/>
      <c r="M843" s="64"/>
      <c r="N843" s="64"/>
      <c r="O843" s="64"/>
      <c r="P843" s="64"/>
      <c r="Q843" s="64"/>
      <c r="R843" s="64"/>
      <c r="S843" s="64"/>
      <c r="T843" s="64"/>
      <c r="U843" s="64"/>
      <c r="V843" s="64"/>
      <c r="W843" s="64"/>
      <c r="X843" s="64"/>
      <c r="Y843" s="64"/>
      <c r="Z843" s="64"/>
    </row>
    <row r="844">
      <c r="A844" s="64"/>
      <c r="B844" s="64"/>
      <c r="C844" s="64"/>
      <c r="D844" s="64"/>
      <c r="E844" s="64"/>
      <c r="F844" s="64"/>
      <c r="G844" s="64"/>
      <c r="H844" s="64"/>
      <c r="I844" s="64"/>
      <c r="J844" s="64"/>
      <c r="K844" s="64"/>
      <c r="L844" s="64"/>
      <c r="M844" s="64"/>
      <c r="N844" s="64"/>
      <c r="O844" s="64"/>
      <c r="P844" s="64"/>
      <c r="Q844" s="64"/>
      <c r="R844" s="64"/>
      <c r="S844" s="64"/>
      <c r="T844" s="64"/>
      <c r="U844" s="64"/>
      <c r="V844" s="64"/>
      <c r="W844" s="64"/>
      <c r="X844" s="64"/>
      <c r="Y844" s="64"/>
      <c r="Z844" s="64"/>
    </row>
    <row r="845">
      <c r="A845" s="64"/>
      <c r="B845" s="64"/>
      <c r="C845" s="64"/>
      <c r="D845" s="64"/>
      <c r="E845" s="64"/>
      <c r="F845" s="64"/>
      <c r="G845" s="64"/>
      <c r="H845" s="64"/>
      <c r="I845" s="64"/>
      <c r="J845" s="64"/>
      <c r="K845" s="64"/>
      <c r="L845" s="64"/>
      <c r="M845" s="64"/>
      <c r="N845" s="64"/>
      <c r="O845" s="64"/>
      <c r="P845" s="64"/>
      <c r="Q845" s="64"/>
      <c r="R845" s="64"/>
      <c r="S845" s="64"/>
      <c r="T845" s="64"/>
      <c r="U845" s="64"/>
      <c r="V845" s="64"/>
      <c r="W845" s="64"/>
      <c r="X845" s="64"/>
      <c r="Y845" s="64"/>
      <c r="Z845" s="64"/>
    </row>
    <row r="846">
      <c r="A846" s="64"/>
      <c r="B846" s="64"/>
      <c r="C846" s="64"/>
      <c r="D846" s="64"/>
      <c r="E846" s="64"/>
      <c r="F846" s="64"/>
      <c r="G846" s="64"/>
      <c r="H846" s="64"/>
      <c r="I846" s="64"/>
      <c r="J846" s="64"/>
      <c r="K846" s="64"/>
      <c r="L846" s="64"/>
      <c r="M846" s="64"/>
      <c r="N846" s="64"/>
      <c r="O846" s="64"/>
      <c r="P846" s="64"/>
      <c r="Q846" s="64"/>
      <c r="R846" s="64"/>
      <c r="S846" s="64"/>
      <c r="T846" s="64"/>
      <c r="U846" s="64"/>
      <c r="V846" s="64"/>
      <c r="W846" s="64"/>
      <c r="X846" s="64"/>
      <c r="Y846" s="64"/>
      <c r="Z846" s="64"/>
    </row>
    <row r="847">
      <c r="A847" s="64"/>
      <c r="B847" s="64"/>
      <c r="C847" s="64"/>
      <c r="D847" s="64"/>
      <c r="E847" s="64"/>
      <c r="F847" s="64"/>
      <c r="G847" s="64"/>
      <c r="H847" s="64"/>
      <c r="I847" s="64"/>
      <c r="J847" s="64"/>
      <c r="K847" s="64"/>
      <c r="L847" s="64"/>
      <c r="M847" s="64"/>
      <c r="N847" s="64"/>
      <c r="O847" s="64"/>
      <c r="P847" s="64"/>
      <c r="Q847" s="64"/>
      <c r="R847" s="64"/>
      <c r="S847" s="64"/>
      <c r="T847" s="64"/>
      <c r="U847" s="64"/>
      <c r="V847" s="64"/>
      <c r="W847" s="64"/>
      <c r="X847" s="64"/>
      <c r="Y847" s="64"/>
      <c r="Z847" s="64"/>
    </row>
    <row r="848">
      <c r="A848" s="64"/>
      <c r="B848" s="64"/>
      <c r="C848" s="64"/>
      <c r="D848" s="64"/>
      <c r="E848" s="64"/>
      <c r="F848" s="64"/>
      <c r="G848" s="64"/>
      <c r="H848" s="64"/>
      <c r="I848" s="64"/>
      <c r="J848" s="64"/>
      <c r="K848" s="64"/>
      <c r="L848" s="64"/>
      <c r="M848" s="64"/>
      <c r="N848" s="64"/>
      <c r="O848" s="64"/>
      <c r="P848" s="64"/>
      <c r="Q848" s="64"/>
      <c r="R848" s="64"/>
      <c r="S848" s="64"/>
      <c r="T848" s="64"/>
      <c r="U848" s="64"/>
      <c r="V848" s="64"/>
      <c r="W848" s="64"/>
      <c r="X848" s="64"/>
      <c r="Y848" s="64"/>
      <c r="Z848" s="64"/>
    </row>
    <row r="849">
      <c r="A849" s="64"/>
      <c r="B849" s="64"/>
      <c r="C849" s="64"/>
      <c r="D849" s="64"/>
      <c r="E849" s="64"/>
      <c r="F849" s="64"/>
      <c r="G849" s="64"/>
      <c r="H849" s="64"/>
      <c r="I849" s="64"/>
      <c r="J849" s="64"/>
      <c r="K849" s="64"/>
      <c r="L849" s="64"/>
      <c r="M849" s="64"/>
      <c r="N849" s="64"/>
      <c r="O849" s="64"/>
      <c r="P849" s="64"/>
      <c r="Q849" s="64"/>
      <c r="R849" s="64"/>
      <c r="S849" s="64"/>
      <c r="T849" s="64"/>
      <c r="U849" s="64"/>
      <c r="V849" s="64"/>
      <c r="W849" s="64"/>
      <c r="X849" s="64"/>
      <c r="Y849" s="64"/>
      <c r="Z849" s="64"/>
    </row>
    <row r="850">
      <c r="A850" s="64"/>
      <c r="B850" s="64"/>
      <c r="C850" s="64"/>
      <c r="D850" s="64"/>
      <c r="E850" s="64"/>
      <c r="F850" s="64"/>
      <c r="G850" s="64"/>
      <c r="H850" s="64"/>
      <c r="I850" s="64"/>
      <c r="J850" s="64"/>
      <c r="K850" s="64"/>
      <c r="L850" s="64"/>
      <c r="M850" s="64"/>
      <c r="N850" s="64"/>
      <c r="O850" s="64"/>
      <c r="P850" s="64"/>
      <c r="Q850" s="64"/>
      <c r="R850" s="64"/>
      <c r="S850" s="64"/>
      <c r="T850" s="64"/>
      <c r="U850" s="64"/>
      <c r="V850" s="64"/>
      <c r="W850" s="64"/>
      <c r="X850" s="64"/>
      <c r="Y850" s="64"/>
      <c r="Z850" s="64"/>
    </row>
    <row r="851">
      <c r="A851" s="64"/>
      <c r="B851" s="64"/>
      <c r="C851" s="64"/>
      <c r="D851" s="64"/>
      <c r="E851" s="64"/>
      <c r="F851" s="64"/>
      <c r="G851" s="64"/>
      <c r="H851" s="64"/>
      <c r="I851" s="64"/>
      <c r="J851" s="64"/>
      <c r="K851" s="64"/>
      <c r="L851" s="64"/>
      <c r="M851" s="64"/>
      <c r="N851" s="64"/>
      <c r="O851" s="64"/>
      <c r="P851" s="64"/>
      <c r="Q851" s="64"/>
      <c r="R851" s="64"/>
      <c r="S851" s="64"/>
      <c r="T851" s="64"/>
      <c r="U851" s="64"/>
      <c r="V851" s="64"/>
      <c r="W851" s="64"/>
      <c r="X851" s="64"/>
      <c r="Y851" s="64"/>
      <c r="Z851" s="64"/>
    </row>
    <row r="852">
      <c r="A852" s="64"/>
      <c r="B852" s="64"/>
      <c r="C852" s="64"/>
      <c r="D852" s="64"/>
      <c r="E852" s="64"/>
      <c r="F852" s="64"/>
      <c r="G852" s="64"/>
      <c r="H852" s="64"/>
      <c r="I852" s="64"/>
      <c r="J852" s="64"/>
      <c r="K852" s="64"/>
      <c r="L852" s="64"/>
      <c r="M852" s="64"/>
      <c r="N852" s="64"/>
      <c r="O852" s="64"/>
      <c r="P852" s="64"/>
      <c r="Q852" s="64"/>
      <c r="R852" s="64"/>
      <c r="S852" s="64"/>
      <c r="T852" s="64"/>
      <c r="U852" s="64"/>
      <c r="V852" s="64"/>
      <c r="W852" s="64"/>
      <c r="X852" s="64"/>
      <c r="Y852" s="64"/>
      <c r="Z852" s="64"/>
    </row>
    <row r="853">
      <c r="A853" s="64"/>
      <c r="B853" s="64"/>
      <c r="C853" s="64"/>
      <c r="D853" s="64"/>
      <c r="E853" s="64"/>
      <c r="F853" s="64"/>
      <c r="G853" s="64"/>
      <c r="H853" s="64"/>
      <c r="I853" s="64"/>
      <c r="J853" s="64"/>
      <c r="K853" s="64"/>
      <c r="L853" s="64"/>
      <c r="M853" s="64"/>
      <c r="N853" s="64"/>
      <c r="O853" s="64"/>
      <c r="P853" s="64"/>
      <c r="Q853" s="64"/>
      <c r="R853" s="64"/>
      <c r="S853" s="64"/>
      <c r="T853" s="64"/>
      <c r="U853" s="64"/>
      <c r="V853" s="64"/>
      <c r="W853" s="64"/>
      <c r="X853" s="64"/>
      <c r="Y853" s="64"/>
      <c r="Z853" s="64"/>
    </row>
    <row r="854">
      <c r="A854" s="64"/>
      <c r="B854" s="64"/>
      <c r="C854" s="64"/>
      <c r="D854" s="64"/>
      <c r="E854" s="64"/>
      <c r="F854" s="64"/>
      <c r="G854" s="64"/>
      <c r="H854" s="64"/>
      <c r="I854" s="64"/>
      <c r="J854" s="64"/>
      <c r="K854" s="64"/>
      <c r="L854" s="64"/>
      <c r="M854" s="64"/>
      <c r="N854" s="64"/>
      <c r="O854" s="64"/>
      <c r="P854" s="64"/>
      <c r="Q854" s="64"/>
      <c r="R854" s="64"/>
      <c r="S854" s="64"/>
      <c r="T854" s="64"/>
      <c r="U854" s="64"/>
      <c r="V854" s="64"/>
      <c r="W854" s="64"/>
      <c r="X854" s="64"/>
      <c r="Y854" s="64"/>
      <c r="Z854" s="64"/>
    </row>
    <row r="855">
      <c r="A855" s="64"/>
      <c r="B855" s="64"/>
      <c r="C855" s="64"/>
      <c r="D855" s="64"/>
      <c r="E855" s="64"/>
      <c r="F855" s="64"/>
      <c r="G855" s="64"/>
      <c r="H855" s="64"/>
      <c r="I855" s="64"/>
      <c r="J855" s="64"/>
      <c r="K855" s="64"/>
      <c r="L855" s="64"/>
      <c r="M855" s="64"/>
      <c r="N855" s="64"/>
      <c r="O855" s="64"/>
      <c r="P855" s="64"/>
      <c r="Q855" s="64"/>
      <c r="R855" s="64"/>
      <c r="S855" s="64"/>
      <c r="T855" s="64"/>
      <c r="U855" s="64"/>
      <c r="V855" s="64"/>
      <c r="W855" s="64"/>
      <c r="X855" s="64"/>
      <c r="Y855" s="64"/>
      <c r="Z855" s="64"/>
    </row>
    <row r="856">
      <c r="A856" s="64"/>
      <c r="B856" s="64"/>
      <c r="C856" s="64"/>
      <c r="D856" s="64"/>
      <c r="E856" s="64"/>
      <c r="F856" s="64"/>
      <c r="G856" s="64"/>
      <c r="H856" s="64"/>
      <c r="I856" s="64"/>
      <c r="J856" s="64"/>
      <c r="K856" s="64"/>
      <c r="L856" s="64"/>
      <c r="M856" s="64"/>
      <c r="N856" s="64"/>
      <c r="O856" s="64"/>
      <c r="P856" s="64"/>
      <c r="Q856" s="64"/>
      <c r="R856" s="64"/>
      <c r="S856" s="64"/>
      <c r="T856" s="64"/>
      <c r="U856" s="64"/>
      <c r="V856" s="64"/>
      <c r="W856" s="64"/>
      <c r="X856" s="64"/>
      <c r="Y856" s="64"/>
      <c r="Z856" s="64"/>
    </row>
    <row r="857">
      <c r="A857" s="64"/>
      <c r="B857" s="64"/>
      <c r="C857" s="64"/>
      <c r="D857" s="64"/>
      <c r="E857" s="64"/>
      <c r="F857" s="64"/>
      <c r="G857" s="64"/>
      <c r="H857" s="64"/>
      <c r="I857" s="64"/>
      <c r="J857" s="64"/>
      <c r="K857" s="64"/>
      <c r="L857" s="64"/>
      <c r="M857" s="64"/>
      <c r="N857" s="64"/>
      <c r="O857" s="64"/>
      <c r="P857" s="64"/>
      <c r="Q857" s="64"/>
      <c r="R857" s="64"/>
      <c r="S857" s="64"/>
      <c r="T857" s="64"/>
      <c r="U857" s="64"/>
      <c r="V857" s="64"/>
      <c r="W857" s="64"/>
      <c r="X857" s="64"/>
      <c r="Y857" s="64"/>
      <c r="Z857" s="64"/>
    </row>
    <row r="858">
      <c r="A858" s="64"/>
      <c r="B858" s="64"/>
      <c r="C858" s="64"/>
      <c r="D858" s="64"/>
      <c r="E858" s="64"/>
      <c r="F858" s="64"/>
      <c r="G858" s="64"/>
      <c r="H858" s="64"/>
      <c r="I858" s="64"/>
      <c r="J858" s="64"/>
      <c r="K858" s="64"/>
      <c r="L858" s="64"/>
      <c r="M858" s="64"/>
      <c r="N858" s="64"/>
      <c r="O858" s="64"/>
      <c r="P858" s="64"/>
      <c r="Q858" s="64"/>
      <c r="R858" s="64"/>
      <c r="S858" s="64"/>
      <c r="T858" s="64"/>
      <c r="U858" s="64"/>
      <c r="V858" s="64"/>
      <c r="W858" s="64"/>
      <c r="X858" s="64"/>
      <c r="Y858" s="64"/>
      <c r="Z858" s="64"/>
    </row>
    <row r="859">
      <c r="A859" s="64"/>
      <c r="B859" s="64"/>
      <c r="C859" s="64"/>
      <c r="D859" s="64"/>
      <c r="E859" s="64"/>
      <c r="F859" s="64"/>
      <c r="G859" s="64"/>
      <c r="H859" s="64"/>
      <c r="I859" s="64"/>
      <c r="J859" s="64"/>
      <c r="K859" s="64"/>
      <c r="L859" s="64"/>
      <c r="M859" s="64"/>
      <c r="N859" s="64"/>
      <c r="O859" s="64"/>
      <c r="P859" s="64"/>
      <c r="Q859" s="64"/>
      <c r="R859" s="64"/>
      <c r="S859" s="64"/>
      <c r="T859" s="64"/>
      <c r="U859" s="64"/>
      <c r="V859" s="64"/>
      <c r="W859" s="64"/>
      <c r="X859" s="64"/>
      <c r="Y859" s="64"/>
      <c r="Z859" s="64"/>
    </row>
    <row r="860">
      <c r="A860" s="64"/>
      <c r="B860" s="64"/>
      <c r="C860" s="64"/>
      <c r="D860" s="64"/>
      <c r="E860" s="64"/>
      <c r="F860" s="64"/>
      <c r="G860" s="64"/>
      <c r="H860" s="64"/>
      <c r="I860" s="64"/>
      <c r="J860" s="64"/>
      <c r="K860" s="64"/>
      <c r="L860" s="64"/>
      <c r="M860" s="64"/>
      <c r="N860" s="64"/>
      <c r="O860" s="64"/>
      <c r="P860" s="64"/>
      <c r="Q860" s="64"/>
      <c r="R860" s="64"/>
      <c r="S860" s="64"/>
      <c r="T860" s="64"/>
      <c r="U860" s="64"/>
      <c r="V860" s="64"/>
      <c r="W860" s="64"/>
      <c r="X860" s="64"/>
      <c r="Y860" s="64"/>
      <c r="Z860" s="64"/>
    </row>
    <row r="861">
      <c r="A861" s="64"/>
      <c r="B861" s="64"/>
      <c r="C861" s="64"/>
      <c r="D861" s="64"/>
      <c r="E861" s="64"/>
      <c r="F861" s="64"/>
      <c r="G861" s="64"/>
      <c r="H861" s="64"/>
      <c r="I861" s="64"/>
      <c r="J861" s="64"/>
      <c r="K861" s="64"/>
      <c r="L861" s="64"/>
      <c r="M861" s="64"/>
      <c r="N861" s="64"/>
      <c r="O861" s="64"/>
      <c r="P861" s="64"/>
      <c r="Q861" s="64"/>
      <c r="R861" s="64"/>
      <c r="S861" s="64"/>
      <c r="T861" s="64"/>
      <c r="U861" s="64"/>
      <c r="V861" s="64"/>
      <c r="W861" s="64"/>
      <c r="X861" s="64"/>
      <c r="Y861" s="64"/>
      <c r="Z861" s="64"/>
    </row>
    <row r="862">
      <c r="A862" s="64"/>
      <c r="B862" s="64"/>
      <c r="C862" s="64"/>
      <c r="D862" s="64"/>
      <c r="E862" s="64"/>
      <c r="F862" s="64"/>
      <c r="G862" s="64"/>
      <c r="H862" s="64"/>
      <c r="I862" s="64"/>
      <c r="J862" s="64"/>
      <c r="K862" s="64"/>
      <c r="L862" s="64"/>
      <c r="M862" s="64"/>
      <c r="N862" s="64"/>
      <c r="O862" s="64"/>
      <c r="P862" s="64"/>
      <c r="Q862" s="64"/>
      <c r="R862" s="64"/>
      <c r="S862" s="64"/>
      <c r="T862" s="64"/>
      <c r="U862" s="64"/>
      <c r="V862" s="64"/>
      <c r="W862" s="64"/>
      <c r="X862" s="64"/>
      <c r="Y862" s="64"/>
      <c r="Z862" s="64"/>
    </row>
    <row r="863">
      <c r="A863" s="64"/>
      <c r="B863" s="64"/>
      <c r="C863" s="64"/>
      <c r="D863" s="64"/>
      <c r="E863" s="64"/>
      <c r="F863" s="64"/>
      <c r="G863" s="64"/>
      <c r="H863" s="64"/>
      <c r="I863" s="64"/>
      <c r="J863" s="64"/>
      <c r="K863" s="64"/>
      <c r="L863" s="64"/>
      <c r="M863" s="64"/>
      <c r="N863" s="64"/>
      <c r="O863" s="64"/>
      <c r="P863" s="64"/>
      <c r="Q863" s="64"/>
      <c r="R863" s="64"/>
      <c r="S863" s="64"/>
      <c r="T863" s="64"/>
      <c r="U863" s="64"/>
      <c r="V863" s="64"/>
      <c r="W863" s="64"/>
      <c r="X863" s="64"/>
      <c r="Y863" s="64"/>
      <c r="Z863" s="64"/>
    </row>
    <row r="864">
      <c r="A864" s="64"/>
      <c r="B864" s="64"/>
      <c r="C864" s="64"/>
      <c r="D864" s="64"/>
      <c r="E864" s="64"/>
      <c r="F864" s="64"/>
      <c r="G864" s="64"/>
      <c r="H864" s="64"/>
      <c r="I864" s="64"/>
      <c r="J864" s="64"/>
      <c r="K864" s="64"/>
      <c r="L864" s="64"/>
      <c r="M864" s="64"/>
      <c r="N864" s="64"/>
      <c r="O864" s="64"/>
      <c r="P864" s="64"/>
      <c r="Q864" s="64"/>
      <c r="R864" s="64"/>
      <c r="S864" s="64"/>
      <c r="T864" s="64"/>
      <c r="U864" s="64"/>
      <c r="V864" s="64"/>
      <c r="W864" s="64"/>
      <c r="X864" s="64"/>
      <c r="Y864" s="64"/>
      <c r="Z864" s="64"/>
    </row>
    <row r="865">
      <c r="A865" s="64"/>
      <c r="B865" s="64"/>
      <c r="C865" s="64"/>
      <c r="D865" s="64"/>
      <c r="E865" s="64"/>
      <c r="F865" s="64"/>
      <c r="G865" s="64"/>
      <c r="H865" s="64"/>
      <c r="I865" s="64"/>
      <c r="J865" s="64"/>
      <c r="K865" s="64"/>
      <c r="L865" s="64"/>
      <c r="M865" s="64"/>
      <c r="N865" s="64"/>
      <c r="O865" s="64"/>
      <c r="P865" s="64"/>
      <c r="Q865" s="64"/>
      <c r="R865" s="64"/>
      <c r="S865" s="64"/>
      <c r="T865" s="64"/>
      <c r="U865" s="64"/>
      <c r="V865" s="64"/>
      <c r="W865" s="64"/>
      <c r="X865" s="64"/>
      <c r="Y865" s="64"/>
      <c r="Z865" s="64"/>
    </row>
    <row r="866">
      <c r="A866" s="64"/>
      <c r="B866" s="64"/>
      <c r="C866" s="64"/>
      <c r="D866" s="64"/>
      <c r="E866" s="64"/>
      <c r="F866" s="64"/>
      <c r="G866" s="64"/>
      <c r="H866" s="64"/>
      <c r="I866" s="64"/>
      <c r="J866" s="64"/>
      <c r="K866" s="64"/>
      <c r="L866" s="64"/>
      <c r="M866" s="64"/>
      <c r="N866" s="64"/>
      <c r="O866" s="64"/>
      <c r="P866" s="64"/>
      <c r="Q866" s="64"/>
      <c r="R866" s="64"/>
      <c r="S866" s="64"/>
      <c r="T866" s="64"/>
      <c r="U866" s="64"/>
      <c r="V866" s="64"/>
      <c r="W866" s="64"/>
      <c r="X866" s="64"/>
      <c r="Y866" s="64"/>
      <c r="Z866" s="64"/>
    </row>
    <row r="867">
      <c r="A867" s="64"/>
      <c r="B867" s="64"/>
      <c r="C867" s="64"/>
      <c r="D867" s="64"/>
      <c r="E867" s="64"/>
      <c r="F867" s="64"/>
      <c r="G867" s="64"/>
      <c r="H867" s="64"/>
      <c r="I867" s="64"/>
      <c r="J867" s="64"/>
      <c r="K867" s="64"/>
      <c r="L867" s="64"/>
      <c r="M867" s="64"/>
      <c r="N867" s="64"/>
      <c r="O867" s="64"/>
      <c r="P867" s="64"/>
      <c r="Q867" s="64"/>
      <c r="R867" s="64"/>
      <c r="S867" s="64"/>
      <c r="T867" s="64"/>
      <c r="U867" s="64"/>
      <c r="V867" s="64"/>
      <c r="W867" s="64"/>
      <c r="X867" s="64"/>
      <c r="Y867" s="64"/>
      <c r="Z867" s="64"/>
    </row>
    <row r="868">
      <c r="A868" s="64"/>
      <c r="B868" s="64"/>
      <c r="C868" s="64"/>
      <c r="D868" s="64"/>
      <c r="E868" s="64"/>
      <c r="F868" s="64"/>
      <c r="G868" s="64"/>
      <c r="H868" s="64"/>
      <c r="I868" s="64"/>
      <c r="J868" s="64"/>
      <c r="K868" s="64"/>
      <c r="L868" s="64"/>
      <c r="M868" s="64"/>
      <c r="N868" s="64"/>
      <c r="O868" s="64"/>
      <c r="P868" s="64"/>
      <c r="Q868" s="64"/>
      <c r="R868" s="64"/>
      <c r="S868" s="64"/>
      <c r="T868" s="64"/>
      <c r="U868" s="64"/>
      <c r="V868" s="64"/>
      <c r="W868" s="64"/>
      <c r="X868" s="64"/>
      <c r="Y868" s="64"/>
      <c r="Z868" s="64"/>
    </row>
    <row r="869">
      <c r="A869" s="64"/>
      <c r="B869" s="64"/>
      <c r="C869" s="64"/>
      <c r="D869" s="64"/>
      <c r="E869" s="64"/>
      <c r="F869" s="64"/>
      <c r="G869" s="64"/>
      <c r="H869" s="64"/>
      <c r="I869" s="64"/>
      <c r="J869" s="64"/>
      <c r="K869" s="64"/>
      <c r="L869" s="64"/>
      <c r="M869" s="64"/>
      <c r="N869" s="64"/>
      <c r="O869" s="64"/>
      <c r="P869" s="64"/>
      <c r="Q869" s="64"/>
      <c r="R869" s="64"/>
      <c r="S869" s="64"/>
      <c r="T869" s="64"/>
      <c r="U869" s="64"/>
      <c r="V869" s="64"/>
      <c r="W869" s="64"/>
      <c r="X869" s="64"/>
      <c r="Y869" s="64"/>
      <c r="Z869" s="64"/>
    </row>
    <row r="870">
      <c r="A870" s="64"/>
      <c r="B870" s="64"/>
      <c r="C870" s="64"/>
      <c r="D870" s="64"/>
      <c r="E870" s="64"/>
      <c r="F870" s="64"/>
      <c r="G870" s="64"/>
      <c r="H870" s="64"/>
      <c r="I870" s="64"/>
      <c r="J870" s="64"/>
      <c r="K870" s="64"/>
      <c r="L870" s="64"/>
      <c r="M870" s="64"/>
      <c r="N870" s="64"/>
      <c r="O870" s="64"/>
      <c r="P870" s="64"/>
      <c r="Q870" s="64"/>
      <c r="R870" s="64"/>
      <c r="S870" s="64"/>
      <c r="T870" s="64"/>
      <c r="U870" s="64"/>
      <c r="V870" s="64"/>
      <c r="W870" s="64"/>
      <c r="X870" s="64"/>
      <c r="Y870" s="64"/>
      <c r="Z870" s="64"/>
    </row>
    <row r="871">
      <c r="A871" s="64"/>
      <c r="B871" s="64"/>
      <c r="C871" s="64"/>
      <c r="D871" s="64"/>
      <c r="E871" s="64"/>
      <c r="F871" s="64"/>
      <c r="G871" s="64"/>
      <c r="H871" s="64"/>
      <c r="I871" s="64"/>
      <c r="J871" s="64"/>
      <c r="K871" s="64"/>
      <c r="L871" s="64"/>
      <c r="M871" s="64"/>
      <c r="N871" s="64"/>
      <c r="O871" s="64"/>
      <c r="P871" s="64"/>
      <c r="Q871" s="64"/>
      <c r="R871" s="64"/>
      <c r="S871" s="64"/>
      <c r="T871" s="64"/>
      <c r="U871" s="64"/>
      <c r="V871" s="64"/>
      <c r="W871" s="64"/>
      <c r="X871" s="64"/>
      <c r="Y871" s="64"/>
      <c r="Z871" s="64"/>
    </row>
    <row r="872">
      <c r="A872" s="64"/>
      <c r="B872" s="64"/>
      <c r="C872" s="64"/>
      <c r="D872" s="64"/>
      <c r="E872" s="64"/>
      <c r="F872" s="64"/>
      <c r="G872" s="64"/>
      <c r="H872" s="64"/>
      <c r="I872" s="64"/>
      <c r="J872" s="64"/>
      <c r="K872" s="64"/>
      <c r="L872" s="64"/>
      <c r="M872" s="64"/>
      <c r="N872" s="64"/>
      <c r="O872" s="64"/>
      <c r="P872" s="64"/>
      <c r="Q872" s="64"/>
      <c r="R872" s="64"/>
      <c r="S872" s="64"/>
      <c r="T872" s="64"/>
      <c r="U872" s="64"/>
      <c r="V872" s="64"/>
      <c r="W872" s="64"/>
      <c r="X872" s="64"/>
      <c r="Y872" s="64"/>
      <c r="Z872" s="64"/>
    </row>
    <row r="873">
      <c r="A873" s="64"/>
      <c r="B873" s="64"/>
      <c r="C873" s="64"/>
      <c r="D873" s="64"/>
      <c r="E873" s="64"/>
      <c r="F873" s="64"/>
      <c r="G873" s="64"/>
      <c r="H873" s="64"/>
      <c r="I873" s="64"/>
      <c r="J873" s="64"/>
      <c r="K873" s="64"/>
      <c r="L873" s="64"/>
      <c r="M873" s="64"/>
      <c r="N873" s="64"/>
      <c r="O873" s="64"/>
      <c r="P873" s="64"/>
      <c r="Q873" s="64"/>
      <c r="R873" s="64"/>
      <c r="S873" s="64"/>
      <c r="T873" s="64"/>
      <c r="U873" s="64"/>
      <c r="V873" s="64"/>
      <c r="W873" s="64"/>
      <c r="X873" s="64"/>
      <c r="Y873" s="64"/>
      <c r="Z873" s="64"/>
    </row>
    <row r="874">
      <c r="A874" s="64"/>
      <c r="B874" s="64"/>
      <c r="C874" s="64"/>
      <c r="D874" s="64"/>
      <c r="E874" s="64"/>
      <c r="F874" s="64"/>
      <c r="G874" s="64"/>
      <c r="H874" s="64"/>
      <c r="I874" s="64"/>
      <c r="J874" s="64"/>
      <c r="K874" s="64"/>
      <c r="L874" s="64"/>
      <c r="M874" s="64"/>
      <c r="N874" s="64"/>
      <c r="O874" s="64"/>
      <c r="P874" s="64"/>
      <c r="Q874" s="64"/>
      <c r="R874" s="64"/>
      <c r="S874" s="64"/>
      <c r="T874" s="64"/>
      <c r="U874" s="64"/>
      <c r="V874" s="64"/>
      <c r="W874" s="64"/>
      <c r="X874" s="64"/>
      <c r="Y874" s="64"/>
      <c r="Z874" s="64"/>
    </row>
    <row r="875">
      <c r="A875" s="64"/>
      <c r="B875" s="64"/>
      <c r="C875" s="64"/>
      <c r="D875" s="64"/>
      <c r="E875" s="64"/>
      <c r="F875" s="64"/>
      <c r="G875" s="64"/>
      <c r="H875" s="64"/>
      <c r="I875" s="64"/>
      <c r="J875" s="64"/>
      <c r="K875" s="64"/>
      <c r="L875" s="64"/>
      <c r="M875" s="64"/>
      <c r="N875" s="64"/>
      <c r="O875" s="64"/>
      <c r="P875" s="64"/>
      <c r="Q875" s="64"/>
      <c r="R875" s="64"/>
      <c r="S875" s="64"/>
      <c r="T875" s="64"/>
      <c r="U875" s="64"/>
      <c r="V875" s="64"/>
      <c r="W875" s="64"/>
      <c r="X875" s="64"/>
      <c r="Y875" s="64"/>
      <c r="Z875" s="64"/>
    </row>
    <row r="876">
      <c r="A876" s="64"/>
      <c r="B876" s="64"/>
      <c r="C876" s="64"/>
      <c r="D876" s="64"/>
      <c r="E876" s="64"/>
      <c r="F876" s="64"/>
      <c r="G876" s="64"/>
      <c r="H876" s="64"/>
      <c r="I876" s="64"/>
      <c r="J876" s="64"/>
      <c r="K876" s="64"/>
      <c r="L876" s="64"/>
      <c r="M876" s="64"/>
      <c r="N876" s="64"/>
      <c r="O876" s="64"/>
      <c r="P876" s="64"/>
      <c r="Q876" s="64"/>
      <c r="R876" s="64"/>
      <c r="S876" s="64"/>
      <c r="T876" s="64"/>
      <c r="U876" s="64"/>
      <c r="V876" s="64"/>
      <c r="W876" s="64"/>
      <c r="X876" s="64"/>
      <c r="Y876" s="64"/>
      <c r="Z876" s="64"/>
    </row>
    <row r="877">
      <c r="A877" s="64"/>
      <c r="B877" s="64"/>
      <c r="C877" s="64"/>
      <c r="D877" s="64"/>
      <c r="E877" s="64"/>
      <c r="F877" s="64"/>
      <c r="G877" s="64"/>
      <c r="H877" s="64"/>
      <c r="I877" s="64"/>
      <c r="J877" s="64"/>
      <c r="K877" s="64"/>
      <c r="L877" s="64"/>
      <c r="M877" s="64"/>
      <c r="N877" s="64"/>
      <c r="O877" s="64"/>
      <c r="P877" s="64"/>
      <c r="Q877" s="64"/>
      <c r="R877" s="64"/>
      <c r="S877" s="64"/>
      <c r="T877" s="64"/>
      <c r="U877" s="64"/>
      <c r="V877" s="64"/>
      <c r="W877" s="64"/>
      <c r="X877" s="64"/>
      <c r="Y877" s="64"/>
      <c r="Z877" s="64"/>
    </row>
    <row r="878">
      <c r="A878" s="64"/>
      <c r="B878" s="64"/>
      <c r="C878" s="64"/>
      <c r="D878" s="64"/>
      <c r="E878" s="64"/>
      <c r="F878" s="64"/>
      <c r="G878" s="64"/>
      <c r="H878" s="64"/>
      <c r="I878" s="64"/>
      <c r="J878" s="64"/>
      <c r="K878" s="64"/>
      <c r="L878" s="64"/>
      <c r="M878" s="64"/>
      <c r="N878" s="64"/>
      <c r="O878" s="64"/>
      <c r="P878" s="64"/>
      <c r="Q878" s="64"/>
      <c r="R878" s="64"/>
      <c r="S878" s="64"/>
      <c r="T878" s="64"/>
      <c r="U878" s="64"/>
      <c r="V878" s="64"/>
      <c r="W878" s="64"/>
      <c r="X878" s="64"/>
      <c r="Y878" s="64"/>
      <c r="Z878" s="64"/>
    </row>
    <row r="879">
      <c r="A879" s="64"/>
      <c r="B879" s="64"/>
      <c r="C879" s="64"/>
      <c r="D879" s="64"/>
      <c r="E879" s="64"/>
      <c r="F879" s="64"/>
      <c r="G879" s="64"/>
      <c r="H879" s="64"/>
      <c r="I879" s="64"/>
      <c r="J879" s="64"/>
      <c r="K879" s="64"/>
      <c r="L879" s="64"/>
      <c r="M879" s="64"/>
      <c r="N879" s="64"/>
      <c r="O879" s="64"/>
      <c r="P879" s="64"/>
      <c r="Q879" s="64"/>
      <c r="R879" s="64"/>
      <c r="S879" s="64"/>
      <c r="T879" s="64"/>
      <c r="U879" s="64"/>
      <c r="V879" s="64"/>
      <c r="W879" s="64"/>
      <c r="X879" s="64"/>
      <c r="Y879" s="64"/>
      <c r="Z879" s="64"/>
    </row>
    <row r="880">
      <c r="A880" s="64"/>
      <c r="B880" s="64"/>
      <c r="C880" s="64"/>
      <c r="D880" s="64"/>
      <c r="E880" s="64"/>
      <c r="F880" s="64"/>
      <c r="G880" s="64"/>
      <c r="H880" s="64"/>
      <c r="I880" s="64"/>
      <c r="J880" s="64"/>
      <c r="K880" s="64"/>
      <c r="L880" s="64"/>
      <c r="M880" s="64"/>
      <c r="N880" s="64"/>
      <c r="O880" s="64"/>
      <c r="P880" s="64"/>
      <c r="Q880" s="64"/>
      <c r="R880" s="64"/>
      <c r="S880" s="64"/>
      <c r="T880" s="64"/>
      <c r="U880" s="64"/>
      <c r="V880" s="64"/>
      <c r="W880" s="64"/>
      <c r="X880" s="64"/>
      <c r="Y880" s="64"/>
      <c r="Z880" s="64"/>
    </row>
    <row r="881">
      <c r="A881" s="64"/>
      <c r="B881" s="64"/>
      <c r="C881" s="64"/>
      <c r="D881" s="64"/>
      <c r="E881" s="64"/>
      <c r="F881" s="64"/>
      <c r="G881" s="64"/>
      <c r="H881" s="64"/>
      <c r="I881" s="64"/>
      <c r="J881" s="64"/>
      <c r="K881" s="64"/>
      <c r="L881" s="64"/>
      <c r="M881" s="64"/>
      <c r="N881" s="64"/>
      <c r="O881" s="64"/>
      <c r="P881" s="64"/>
      <c r="Q881" s="64"/>
      <c r="R881" s="64"/>
      <c r="S881" s="64"/>
      <c r="T881" s="64"/>
      <c r="U881" s="64"/>
      <c r="V881" s="64"/>
      <c r="W881" s="64"/>
      <c r="X881" s="64"/>
      <c r="Y881" s="64"/>
      <c r="Z881" s="64"/>
    </row>
    <row r="882">
      <c r="A882" s="64"/>
      <c r="B882" s="64"/>
      <c r="C882" s="64"/>
      <c r="D882" s="64"/>
      <c r="E882" s="64"/>
      <c r="F882" s="64"/>
      <c r="G882" s="64"/>
      <c r="H882" s="64"/>
      <c r="I882" s="64"/>
      <c r="J882" s="64"/>
      <c r="K882" s="64"/>
      <c r="L882" s="64"/>
      <c r="M882" s="64"/>
      <c r="N882" s="64"/>
      <c r="O882" s="64"/>
      <c r="P882" s="64"/>
      <c r="Q882" s="64"/>
      <c r="R882" s="64"/>
      <c r="S882" s="64"/>
      <c r="T882" s="64"/>
      <c r="U882" s="64"/>
      <c r="V882" s="64"/>
      <c r="W882" s="64"/>
      <c r="X882" s="64"/>
      <c r="Y882" s="64"/>
      <c r="Z882" s="64"/>
    </row>
    <row r="883">
      <c r="A883" s="64"/>
      <c r="B883" s="64"/>
      <c r="C883" s="64"/>
      <c r="D883" s="64"/>
      <c r="E883" s="64"/>
      <c r="F883" s="64"/>
      <c r="G883" s="64"/>
      <c r="H883" s="64"/>
      <c r="I883" s="64"/>
      <c r="J883" s="64"/>
      <c r="K883" s="64"/>
      <c r="L883" s="64"/>
      <c r="M883" s="64"/>
      <c r="N883" s="64"/>
      <c r="O883" s="64"/>
      <c r="P883" s="64"/>
      <c r="Q883" s="64"/>
      <c r="R883" s="64"/>
      <c r="S883" s="64"/>
      <c r="T883" s="64"/>
      <c r="U883" s="64"/>
      <c r="V883" s="64"/>
      <c r="W883" s="64"/>
      <c r="X883" s="64"/>
      <c r="Y883" s="64"/>
      <c r="Z883" s="64"/>
    </row>
    <row r="884">
      <c r="A884" s="64"/>
      <c r="B884" s="64"/>
      <c r="C884" s="64"/>
      <c r="D884" s="64"/>
      <c r="E884" s="64"/>
      <c r="F884" s="64"/>
      <c r="G884" s="64"/>
      <c r="H884" s="64"/>
      <c r="I884" s="64"/>
      <c r="J884" s="64"/>
      <c r="K884" s="64"/>
      <c r="L884" s="64"/>
      <c r="M884" s="64"/>
      <c r="N884" s="64"/>
      <c r="O884" s="64"/>
      <c r="P884" s="64"/>
      <c r="Q884" s="64"/>
      <c r="R884" s="64"/>
      <c r="S884" s="64"/>
      <c r="T884" s="64"/>
      <c r="U884" s="64"/>
      <c r="V884" s="64"/>
      <c r="W884" s="64"/>
      <c r="X884" s="64"/>
      <c r="Y884" s="64"/>
      <c r="Z884" s="64"/>
    </row>
    <row r="885">
      <c r="A885" s="64"/>
      <c r="B885" s="64"/>
      <c r="C885" s="64"/>
      <c r="D885" s="64"/>
      <c r="E885" s="64"/>
      <c r="F885" s="64"/>
      <c r="G885" s="64"/>
      <c r="H885" s="64"/>
      <c r="I885" s="64"/>
      <c r="J885" s="64"/>
      <c r="K885" s="64"/>
      <c r="L885" s="64"/>
      <c r="M885" s="64"/>
      <c r="N885" s="64"/>
      <c r="O885" s="64"/>
      <c r="P885" s="64"/>
      <c r="Q885" s="64"/>
      <c r="R885" s="64"/>
      <c r="S885" s="64"/>
      <c r="T885" s="64"/>
      <c r="U885" s="64"/>
      <c r="V885" s="64"/>
      <c r="W885" s="64"/>
      <c r="X885" s="64"/>
      <c r="Y885" s="64"/>
      <c r="Z885" s="64"/>
    </row>
    <row r="886">
      <c r="A886" s="64"/>
      <c r="B886" s="64"/>
      <c r="C886" s="64"/>
      <c r="D886" s="64"/>
      <c r="E886" s="64"/>
      <c r="F886" s="64"/>
      <c r="G886" s="64"/>
      <c r="H886" s="64"/>
      <c r="I886" s="64"/>
      <c r="J886" s="64"/>
      <c r="K886" s="64"/>
      <c r="L886" s="64"/>
      <c r="M886" s="64"/>
      <c r="N886" s="64"/>
      <c r="O886" s="64"/>
      <c r="P886" s="64"/>
      <c r="Q886" s="64"/>
      <c r="R886" s="64"/>
      <c r="S886" s="64"/>
      <c r="T886" s="64"/>
      <c r="U886" s="64"/>
      <c r="V886" s="64"/>
      <c r="W886" s="64"/>
      <c r="X886" s="64"/>
      <c r="Y886" s="64"/>
      <c r="Z886" s="64"/>
    </row>
    <row r="887">
      <c r="A887" s="64"/>
      <c r="B887" s="64"/>
      <c r="C887" s="64"/>
      <c r="D887" s="64"/>
      <c r="E887" s="64"/>
      <c r="F887" s="64"/>
      <c r="G887" s="64"/>
      <c r="H887" s="64"/>
      <c r="I887" s="64"/>
      <c r="J887" s="64"/>
      <c r="K887" s="64"/>
      <c r="L887" s="64"/>
      <c r="M887" s="64"/>
      <c r="N887" s="64"/>
      <c r="O887" s="64"/>
      <c r="P887" s="64"/>
      <c r="Q887" s="64"/>
      <c r="R887" s="64"/>
      <c r="S887" s="64"/>
      <c r="T887" s="64"/>
      <c r="U887" s="64"/>
      <c r="V887" s="64"/>
      <c r="W887" s="64"/>
      <c r="X887" s="64"/>
      <c r="Y887" s="64"/>
      <c r="Z887" s="64"/>
    </row>
    <row r="888">
      <c r="A888" s="64"/>
      <c r="B888" s="64"/>
      <c r="C888" s="64"/>
      <c r="D888" s="64"/>
      <c r="E888" s="64"/>
      <c r="F888" s="64"/>
      <c r="G888" s="64"/>
      <c r="H888" s="64"/>
      <c r="I888" s="64"/>
      <c r="J888" s="64"/>
      <c r="K888" s="64"/>
      <c r="L888" s="64"/>
      <c r="M888" s="64"/>
      <c r="N888" s="64"/>
      <c r="O888" s="64"/>
      <c r="P888" s="64"/>
      <c r="Q888" s="64"/>
      <c r="R888" s="64"/>
      <c r="S888" s="64"/>
      <c r="T888" s="64"/>
      <c r="U888" s="64"/>
      <c r="V888" s="64"/>
      <c r="W888" s="64"/>
      <c r="X888" s="64"/>
      <c r="Y888" s="64"/>
      <c r="Z888" s="64"/>
    </row>
    <row r="889">
      <c r="A889" s="64"/>
      <c r="B889" s="64"/>
      <c r="C889" s="64"/>
      <c r="D889" s="64"/>
      <c r="E889" s="64"/>
      <c r="F889" s="64"/>
      <c r="G889" s="64"/>
      <c r="H889" s="64"/>
      <c r="I889" s="64"/>
      <c r="J889" s="64"/>
      <c r="K889" s="64"/>
      <c r="L889" s="64"/>
      <c r="M889" s="64"/>
      <c r="N889" s="64"/>
      <c r="O889" s="64"/>
      <c r="P889" s="64"/>
      <c r="Q889" s="64"/>
      <c r="R889" s="64"/>
      <c r="S889" s="64"/>
      <c r="T889" s="64"/>
      <c r="U889" s="64"/>
      <c r="V889" s="64"/>
      <c r="W889" s="64"/>
      <c r="X889" s="64"/>
      <c r="Y889" s="64"/>
      <c r="Z889" s="64"/>
    </row>
    <row r="890">
      <c r="A890" s="64"/>
      <c r="B890" s="64"/>
      <c r="C890" s="64"/>
      <c r="D890" s="64"/>
      <c r="E890" s="64"/>
      <c r="F890" s="64"/>
      <c r="G890" s="64"/>
      <c r="H890" s="64"/>
      <c r="I890" s="64"/>
      <c r="J890" s="64"/>
      <c r="K890" s="64"/>
      <c r="L890" s="64"/>
      <c r="M890" s="64"/>
      <c r="N890" s="64"/>
      <c r="O890" s="64"/>
      <c r="P890" s="64"/>
      <c r="Q890" s="64"/>
      <c r="R890" s="64"/>
      <c r="S890" s="64"/>
      <c r="T890" s="64"/>
      <c r="U890" s="64"/>
      <c r="V890" s="64"/>
      <c r="W890" s="64"/>
      <c r="X890" s="64"/>
      <c r="Y890" s="64"/>
      <c r="Z890" s="64"/>
    </row>
    <row r="891">
      <c r="A891" s="64"/>
      <c r="B891" s="64"/>
      <c r="C891" s="64"/>
      <c r="D891" s="64"/>
      <c r="E891" s="64"/>
      <c r="F891" s="64"/>
      <c r="G891" s="64"/>
      <c r="H891" s="64"/>
      <c r="I891" s="64"/>
      <c r="J891" s="64"/>
      <c r="K891" s="64"/>
      <c r="L891" s="64"/>
      <c r="M891" s="64"/>
      <c r="N891" s="64"/>
      <c r="O891" s="64"/>
      <c r="P891" s="64"/>
      <c r="Q891" s="64"/>
      <c r="R891" s="64"/>
      <c r="S891" s="64"/>
      <c r="T891" s="64"/>
      <c r="U891" s="64"/>
      <c r="V891" s="64"/>
      <c r="W891" s="64"/>
      <c r="X891" s="64"/>
      <c r="Y891" s="64"/>
      <c r="Z891" s="64"/>
    </row>
    <row r="892">
      <c r="A892" s="64"/>
      <c r="B892" s="64"/>
      <c r="C892" s="64"/>
      <c r="D892" s="64"/>
      <c r="E892" s="64"/>
      <c r="F892" s="64"/>
      <c r="G892" s="64"/>
      <c r="H892" s="64"/>
      <c r="I892" s="64"/>
      <c r="J892" s="64"/>
      <c r="K892" s="64"/>
      <c r="L892" s="64"/>
      <c r="M892" s="64"/>
      <c r="N892" s="64"/>
      <c r="O892" s="64"/>
      <c r="P892" s="64"/>
      <c r="Q892" s="64"/>
      <c r="R892" s="64"/>
      <c r="S892" s="64"/>
      <c r="T892" s="64"/>
      <c r="U892" s="64"/>
      <c r="V892" s="64"/>
      <c r="W892" s="64"/>
      <c r="X892" s="64"/>
      <c r="Y892" s="64"/>
      <c r="Z892" s="64"/>
    </row>
    <row r="893">
      <c r="A893" s="64"/>
      <c r="B893" s="64"/>
      <c r="C893" s="64"/>
      <c r="D893" s="64"/>
      <c r="E893" s="64"/>
      <c r="F893" s="64"/>
      <c r="G893" s="64"/>
      <c r="H893" s="64"/>
      <c r="I893" s="64"/>
      <c r="J893" s="64"/>
      <c r="K893" s="64"/>
      <c r="L893" s="64"/>
      <c r="M893" s="64"/>
      <c r="N893" s="64"/>
      <c r="O893" s="64"/>
      <c r="P893" s="64"/>
      <c r="Q893" s="64"/>
      <c r="R893" s="64"/>
      <c r="S893" s="64"/>
      <c r="T893" s="64"/>
      <c r="U893" s="64"/>
      <c r="V893" s="64"/>
      <c r="W893" s="64"/>
      <c r="X893" s="64"/>
      <c r="Y893" s="64"/>
      <c r="Z893" s="64"/>
    </row>
    <row r="894">
      <c r="A894" s="64"/>
      <c r="B894" s="64"/>
      <c r="C894" s="64"/>
      <c r="D894" s="64"/>
      <c r="E894" s="64"/>
      <c r="F894" s="64"/>
      <c r="G894" s="64"/>
      <c r="H894" s="64"/>
      <c r="I894" s="64"/>
      <c r="J894" s="64"/>
      <c r="K894" s="64"/>
      <c r="L894" s="64"/>
      <c r="M894" s="64"/>
      <c r="N894" s="64"/>
      <c r="O894" s="64"/>
      <c r="P894" s="64"/>
      <c r="Q894" s="64"/>
      <c r="R894" s="64"/>
      <c r="S894" s="64"/>
      <c r="T894" s="64"/>
      <c r="U894" s="64"/>
      <c r="V894" s="64"/>
      <c r="W894" s="64"/>
      <c r="X894" s="64"/>
      <c r="Y894" s="64"/>
      <c r="Z894" s="64"/>
    </row>
    <row r="895">
      <c r="A895" s="64"/>
      <c r="B895" s="64"/>
      <c r="C895" s="64"/>
      <c r="D895" s="64"/>
      <c r="E895" s="64"/>
      <c r="F895" s="64"/>
      <c r="G895" s="64"/>
      <c r="H895" s="64"/>
      <c r="I895" s="64"/>
      <c r="J895" s="64"/>
      <c r="K895" s="64"/>
      <c r="L895" s="64"/>
      <c r="M895" s="64"/>
      <c r="N895" s="64"/>
      <c r="O895" s="64"/>
      <c r="P895" s="64"/>
      <c r="Q895" s="64"/>
      <c r="R895" s="64"/>
      <c r="S895" s="64"/>
      <c r="T895" s="64"/>
      <c r="U895" s="64"/>
      <c r="V895" s="64"/>
      <c r="W895" s="64"/>
      <c r="X895" s="64"/>
      <c r="Y895" s="64"/>
      <c r="Z895" s="64"/>
    </row>
    <row r="896">
      <c r="A896" s="64"/>
      <c r="B896" s="64"/>
      <c r="C896" s="64"/>
      <c r="D896" s="64"/>
      <c r="E896" s="64"/>
      <c r="F896" s="64"/>
      <c r="G896" s="64"/>
      <c r="H896" s="64"/>
      <c r="I896" s="64"/>
      <c r="J896" s="64"/>
      <c r="K896" s="64"/>
      <c r="L896" s="64"/>
      <c r="M896" s="64"/>
      <c r="N896" s="64"/>
      <c r="O896" s="64"/>
      <c r="P896" s="64"/>
      <c r="Q896" s="64"/>
      <c r="R896" s="64"/>
      <c r="S896" s="64"/>
      <c r="T896" s="64"/>
      <c r="U896" s="64"/>
      <c r="V896" s="64"/>
      <c r="W896" s="64"/>
      <c r="X896" s="64"/>
      <c r="Y896" s="64"/>
      <c r="Z896" s="64"/>
    </row>
    <row r="897">
      <c r="A897" s="64"/>
      <c r="B897" s="64"/>
      <c r="C897" s="64"/>
      <c r="D897" s="64"/>
      <c r="E897" s="64"/>
      <c r="F897" s="64"/>
      <c r="G897" s="64"/>
      <c r="H897" s="64"/>
      <c r="I897" s="64"/>
      <c r="J897" s="64"/>
      <c r="K897" s="64"/>
      <c r="L897" s="64"/>
      <c r="M897" s="64"/>
      <c r="N897" s="64"/>
      <c r="O897" s="64"/>
      <c r="P897" s="64"/>
      <c r="Q897" s="64"/>
      <c r="R897" s="64"/>
      <c r="S897" s="64"/>
      <c r="T897" s="64"/>
      <c r="U897" s="64"/>
      <c r="V897" s="64"/>
      <c r="W897" s="64"/>
      <c r="X897" s="64"/>
      <c r="Y897" s="64"/>
      <c r="Z897" s="64"/>
    </row>
    <row r="898">
      <c r="A898" s="64"/>
      <c r="B898" s="64"/>
      <c r="C898" s="64"/>
      <c r="D898" s="64"/>
      <c r="E898" s="64"/>
      <c r="F898" s="64"/>
      <c r="G898" s="64"/>
      <c r="H898" s="64"/>
      <c r="I898" s="64"/>
      <c r="J898" s="64"/>
      <c r="K898" s="64"/>
      <c r="L898" s="64"/>
      <c r="M898" s="64"/>
      <c r="N898" s="64"/>
      <c r="O898" s="64"/>
      <c r="P898" s="64"/>
      <c r="Q898" s="64"/>
      <c r="R898" s="64"/>
      <c r="S898" s="64"/>
      <c r="T898" s="64"/>
      <c r="U898" s="64"/>
      <c r="V898" s="64"/>
      <c r="W898" s="64"/>
      <c r="X898" s="64"/>
      <c r="Y898" s="64"/>
      <c r="Z898" s="64"/>
    </row>
    <row r="899">
      <c r="A899" s="64"/>
      <c r="B899" s="64"/>
      <c r="C899" s="64"/>
      <c r="D899" s="64"/>
      <c r="E899" s="64"/>
      <c r="F899" s="64"/>
      <c r="G899" s="64"/>
      <c r="H899" s="64"/>
      <c r="I899" s="64"/>
      <c r="J899" s="64"/>
      <c r="K899" s="64"/>
      <c r="L899" s="64"/>
      <c r="M899" s="64"/>
      <c r="N899" s="64"/>
      <c r="O899" s="64"/>
      <c r="P899" s="64"/>
      <c r="Q899" s="64"/>
      <c r="R899" s="64"/>
      <c r="S899" s="64"/>
      <c r="T899" s="64"/>
      <c r="U899" s="64"/>
      <c r="V899" s="64"/>
      <c r="W899" s="64"/>
      <c r="X899" s="64"/>
      <c r="Y899" s="64"/>
      <c r="Z899" s="64"/>
    </row>
    <row r="900">
      <c r="A900" s="64"/>
      <c r="B900" s="64"/>
      <c r="C900" s="64"/>
      <c r="D900" s="64"/>
      <c r="E900" s="64"/>
      <c r="F900" s="64"/>
      <c r="G900" s="64"/>
      <c r="H900" s="64"/>
      <c r="I900" s="64"/>
      <c r="J900" s="64"/>
      <c r="K900" s="64"/>
      <c r="L900" s="64"/>
      <c r="M900" s="64"/>
      <c r="N900" s="64"/>
      <c r="O900" s="64"/>
      <c r="P900" s="64"/>
      <c r="Q900" s="64"/>
      <c r="R900" s="64"/>
      <c r="S900" s="64"/>
      <c r="T900" s="64"/>
      <c r="U900" s="64"/>
      <c r="V900" s="64"/>
      <c r="W900" s="64"/>
      <c r="X900" s="64"/>
      <c r="Y900" s="64"/>
      <c r="Z900" s="64"/>
    </row>
    <row r="901">
      <c r="A901" s="64"/>
      <c r="B901" s="64"/>
      <c r="C901" s="64"/>
      <c r="D901" s="64"/>
      <c r="E901" s="64"/>
      <c r="F901" s="64"/>
      <c r="G901" s="64"/>
      <c r="H901" s="64"/>
      <c r="I901" s="64"/>
      <c r="J901" s="64"/>
      <c r="K901" s="64"/>
      <c r="L901" s="64"/>
      <c r="M901" s="64"/>
      <c r="N901" s="64"/>
      <c r="O901" s="64"/>
      <c r="P901" s="64"/>
      <c r="Q901" s="64"/>
      <c r="R901" s="64"/>
      <c r="S901" s="64"/>
      <c r="T901" s="64"/>
      <c r="U901" s="64"/>
      <c r="V901" s="64"/>
      <c r="W901" s="64"/>
      <c r="X901" s="64"/>
      <c r="Y901" s="64"/>
      <c r="Z901" s="64"/>
    </row>
    <row r="902">
      <c r="A902" s="64"/>
      <c r="B902" s="64"/>
      <c r="C902" s="64"/>
      <c r="D902" s="64"/>
      <c r="E902" s="64"/>
      <c r="F902" s="64"/>
      <c r="G902" s="64"/>
      <c r="H902" s="64"/>
      <c r="I902" s="64"/>
      <c r="J902" s="64"/>
      <c r="K902" s="64"/>
      <c r="L902" s="64"/>
      <c r="M902" s="64"/>
      <c r="N902" s="64"/>
      <c r="O902" s="64"/>
      <c r="P902" s="64"/>
      <c r="Q902" s="64"/>
      <c r="R902" s="64"/>
      <c r="S902" s="64"/>
      <c r="T902" s="64"/>
      <c r="U902" s="64"/>
      <c r="V902" s="64"/>
      <c r="W902" s="64"/>
      <c r="X902" s="64"/>
      <c r="Y902" s="64"/>
      <c r="Z902" s="64"/>
    </row>
    <row r="903">
      <c r="A903" s="64"/>
      <c r="B903" s="64"/>
      <c r="C903" s="64"/>
      <c r="D903" s="64"/>
      <c r="E903" s="64"/>
      <c r="F903" s="64"/>
      <c r="G903" s="64"/>
      <c r="H903" s="64"/>
      <c r="I903" s="64"/>
      <c r="J903" s="64"/>
      <c r="K903" s="64"/>
      <c r="L903" s="64"/>
      <c r="M903" s="64"/>
      <c r="N903" s="64"/>
      <c r="O903" s="64"/>
      <c r="P903" s="64"/>
      <c r="Q903" s="64"/>
      <c r="R903" s="64"/>
      <c r="S903" s="64"/>
      <c r="T903" s="64"/>
      <c r="U903" s="64"/>
      <c r="V903" s="64"/>
      <c r="W903" s="64"/>
      <c r="X903" s="64"/>
      <c r="Y903" s="64"/>
      <c r="Z903" s="64"/>
    </row>
    <row r="904">
      <c r="A904" s="64"/>
      <c r="B904" s="64"/>
      <c r="C904" s="64"/>
      <c r="D904" s="64"/>
      <c r="E904" s="64"/>
      <c r="F904" s="64"/>
      <c r="G904" s="64"/>
      <c r="H904" s="64"/>
      <c r="I904" s="64"/>
      <c r="J904" s="64"/>
      <c r="K904" s="64"/>
      <c r="L904" s="64"/>
      <c r="M904" s="64"/>
      <c r="N904" s="64"/>
      <c r="O904" s="64"/>
      <c r="P904" s="64"/>
      <c r="Q904" s="64"/>
      <c r="R904" s="64"/>
      <c r="S904" s="64"/>
      <c r="T904" s="64"/>
      <c r="U904" s="64"/>
      <c r="V904" s="64"/>
      <c r="W904" s="64"/>
      <c r="X904" s="64"/>
      <c r="Y904" s="64"/>
      <c r="Z904" s="64"/>
    </row>
    <row r="905">
      <c r="A905" s="64"/>
      <c r="B905" s="64"/>
      <c r="C905" s="64"/>
      <c r="D905" s="64"/>
      <c r="E905" s="64"/>
      <c r="F905" s="64"/>
      <c r="G905" s="64"/>
      <c r="H905" s="64"/>
      <c r="I905" s="64"/>
      <c r="J905" s="64"/>
      <c r="K905" s="64"/>
      <c r="L905" s="64"/>
      <c r="M905" s="64"/>
      <c r="N905" s="64"/>
      <c r="O905" s="64"/>
      <c r="P905" s="64"/>
      <c r="Q905" s="64"/>
      <c r="R905" s="64"/>
      <c r="S905" s="64"/>
      <c r="T905" s="64"/>
      <c r="U905" s="64"/>
      <c r="V905" s="64"/>
      <c r="W905" s="64"/>
      <c r="X905" s="64"/>
      <c r="Y905" s="64"/>
      <c r="Z905" s="64"/>
    </row>
    <row r="906">
      <c r="A906" s="64"/>
      <c r="B906" s="64"/>
      <c r="C906" s="64"/>
      <c r="D906" s="64"/>
      <c r="E906" s="64"/>
      <c r="F906" s="64"/>
      <c r="G906" s="64"/>
      <c r="H906" s="64"/>
      <c r="I906" s="64"/>
      <c r="J906" s="64"/>
      <c r="K906" s="64"/>
      <c r="L906" s="64"/>
      <c r="M906" s="64"/>
      <c r="N906" s="64"/>
      <c r="O906" s="64"/>
      <c r="P906" s="64"/>
      <c r="Q906" s="64"/>
      <c r="R906" s="64"/>
      <c r="S906" s="64"/>
      <c r="T906" s="64"/>
      <c r="U906" s="64"/>
      <c r="V906" s="64"/>
      <c r="W906" s="64"/>
      <c r="X906" s="64"/>
      <c r="Y906" s="64"/>
      <c r="Z906" s="64"/>
    </row>
    <row r="907">
      <c r="A907" s="64"/>
      <c r="B907" s="64"/>
      <c r="C907" s="64"/>
      <c r="D907" s="64"/>
      <c r="E907" s="64"/>
      <c r="F907" s="64"/>
      <c r="G907" s="64"/>
      <c r="H907" s="64"/>
      <c r="I907" s="64"/>
      <c r="J907" s="64"/>
      <c r="K907" s="64"/>
      <c r="L907" s="64"/>
      <c r="M907" s="64"/>
      <c r="N907" s="64"/>
      <c r="O907" s="64"/>
      <c r="P907" s="64"/>
      <c r="Q907" s="64"/>
      <c r="R907" s="64"/>
      <c r="S907" s="64"/>
      <c r="T907" s="64"/>
      <c r="U907" s="64"/>
      <c r="V907" s="64"/>
      <c r="W907" s="64"/>
      <c r="X907" s="64"/>
      <c r="Y907" s="64"/>
      <c r="Z907" s="64"/>
    </row>
    <row r="908">
      <c r="A908" s="64"/>
      <c r="B908" s="64"/>
      <c r="C908" s="64"/>
      <c r="D908" s="64"/>
      <c r="E908" s="64"/>
      <c r="F908" s="64"/>
      <c r="G908" s="64"/>
      <c r="H908" s="64"/>
      <c r="I908" s="64"/>
      <c r="J908" s="64"/>
      <c r="K908" s="64"/>
      <c r="L908" s="64"/>
      <c r="M908" s="64"/>
      <c r="N908" s="64"/>
      <c r="O908" s="64"/>
      <c r="P908" s="64"/>
      <c r="Q908" s="64"/>
      <c r="R908" s="64"/>
      <c r="S908" s="64"/>
      <c r="T908" s="64"/>
      <c r="U908" s="64"/>
      <c r="V908" s="64"/>
      <c r="W908" s="64"/>
      <c r="X908" s="64"/>
      <c r="Y908" s="64"/>
      <c r="Z908" s="64"/>
    </row>
    <row r="909">
      <c r="A909" s="64"/>
      <c r="B909" s="64"/>
      <c r="C909" s="64"/>
      <c r="D909" s="64"/>
      <c r="E909" s="64"/>
      <c r="F909" s="64"/>
      <c r="G909" s="64"/>
      <c r="H909" s="64"/>
      <c r="I909" s="64"/>
      <c r="J909" s="64"/>
      <c r="K909" s="64"/>
      <c r="L909" s="64"/>
      <c r="M909" s="64"/>
      <c r="N909" s="64"/>
      <c r="O909" s="64"/>
      <c r="P909" s="64"/>
      <c r="Q909" s="64"/>
      <c r="R909" s="64"/>
      <c r="S909" s="64"/>
      <c r="T909" s="64"/>
      <c r="U909" s="64"/>
      <c r="V909" s="64"/>
      <c r="W909" s="64"/>
      <c r="X909" s="64"/>
      <c r="Y909" s="64"/>
      <c r="Z909" s="64"/>
    </row>
    <row r="910">
      <c r="A910" s="64"/>
      <c r="B910" s="64"/>
      <c r="C910" s="64"/>
      <c r="D910" s="64"/>
      <c r="E910" s="64"/>
      <c r="F910" s="64"/>
      <c r="G910" s="64"/>
      <c r="H910" s="64"/>
      <c r="I910" s="64"/>
      <c r="J910" s="64"/>
      <c r="K910" s="64"/>
      <c r="L910" s="64"/>
      <c r="M910" s="64"/>
      <c r="N910" s="64"/>
      <c r="O910" s="64"/>
      <c r="P910" s="64"/>
      <c r="Q910" s="64"/>
      <c r="R910" s="64"/>
      <c r="S910" s="64"/>
      <c r="T910" s="64"/>
      <c r="U910" s="64"/>
      <c r="V910" s="64"/>
      <c r="W910" s="64"/>
      <c r="X910" s="64"/>
      <c r="Y910" s="64"/>
      <c r="Z910" s="64"/>
    </row>
    <row r="911">
      <c r="A911" s="64"/>
      <c r="B911" s="64"/>
      <c r="C911" s="64"/>
      <c r="D911" s="64"/>
      <c r="E911" s="64"/>
      <c r="F911" s="64"/>
      <c r="G911" s="64"/>
      <c r="H911" s="64"/>
      <c r="I911" s="64"/>
      <c r="J911" s="64"/>
      <c r="K911" s="64"/>
      <c r="L911" s="64"/>
      <c r="M911" s="64"/>
      <c r="N911" s="64"/>
      <c r="O911" s="64"/>
      <c r="P911" s="64"/>
      <c r="Q911" s="64"/>
      <c r="R911" s="64"/>
      <c r="S911" s="64"/>
      <c r="T911" s="64"/>
      <c r="U911" s="64"/>
      <c r="V911" s="64"/>
      <c r="W911" s="64"/>
      <c r="X911" s="64"/>
      <c r="Y911" s="64"/>
      <c r="Z911" s="64"/>
    </row>
    <row r="912">
      <c r="A912" s="64"/>
      <c r="B912" s="64"/>
      <c r="C912" s="64"/>
      <c r="D912" s="64"/>
      <c r="E912" s="64"/>
      <c r="F912" s="64"/>
      <c r="G912" s="64"/>
      <c r="H912" s="64"/>
      <c r="I912" s="64"/>
      <c r="J912" s="64"/>
      <c r="K912" s="64"/>
      <c r="L912" s="64"/>
      <c r="M912" s="64"/>
      <c r="N912" s="64"/>
      <c r="O912" s="64"/>
      <c r="P912" s="64"/>
      <c r="Q912" s="64"/>
      <c r="R912" s="64"/>
      <c r="S912" s="64"/>
      <c r="T912" s="64"/>
      <c r="U912" s="64"/>
      <c r="V912" s="64"/>
      <c r="W912" s="64"/>
      <c r="X912" s="64"/>
      <c r="Y912" s="64"/>
      <c r="Z912" s="64"/>
    </row>
    <row r="913">
      <c r="A913" s="64"/>
      <c r="B913" s="64"/>
      <c r="C913" s="64"/>
      <c r="D913" s="64"/>
      <c r="E913" s="64"/>
      <c r="F913" s="64"/>
      <c r="G913" s="64"/>
      <c r="H913" s="64"/>
      <c r="I913" s="64"/>
      <c r="J913" s="64"/>
      <c r="K913" s="64"/>
      <c r="L913" s="64"/>
      <c r="M913" s="64"/>
      <c r="N913" s="64"/>
      <c r="O913" s="64"/>
      <c r="P913" s="64"/>
      <c r="Q913" s="64"/>
      <c r="R913" s="64"/>
      <c r="S913" s="64"/>
      <c r="T913" s="64"/>
      <c r="U913" s="64"/>
      <c r="V913" s="64"/>
      <c r="W913" s="64"/>
      <c r="X913" s="64"/>
      <c r="Y913" s="64"/>
      <c r="Z913" s="64"/>
    </row>
    <row r="914">
      <c r="A914" s="64"/>
      <c r="B914" s="64"/>
      <c r="C914" s="64"/>
      <c r="D914" s="64"/>
      <c r="E914" s="64"/>
      <c r="F914" s="64"/>
      <c r="G914" s="64"/>
      <c r="H914" s="64"/>
      <c r="I914" s="64"/>
      <c r="J914" s="64"/>
      <c r="K914" s="64"/>
      <c r="L914" s="64"/>
      <c r="M914" s="64"/>
      <c r="N914" s="64"/>
      <c r="O914" s="64"/>
      <c r="P914" s="64"/>
      <c r="Q914" s="64"/>
      <c r="R914" s="64"/>
      <c r="S914" s="64"/>
      <c r="T914" s="64"/>
      <c r="U914" s="64"/>
      <c r="V914" s="64"/>
      <c r="W914" s="64"/>
      <c r="X914" s="64"/>
      <c r="Y914" s="64"/>
      <c r="Z914" s="64"/>
    </row>
    <row r="915">
      <c r="A915" s="64"/>
      <c r="B915" s="64"/>
      <c r="C915" s="64"/>
      <c r="D915" s="64"/>
      <c r="E915" s="64"/>
      <c r="F915" s="64"/>
      <c r="G915" s="64"/>
      <c r="H915" s="64"/>
      <c r="I915" s="64"/>
      <c r="J915" s="64"/>
      <c r="K915" s="64"/>
      <c r="L915" s="64"/>
      <c r="M915" s="64"/>
      <c r="N915" s="64"/>
      <c r="O915" s="64"/>
      <c r="P915" s="64"/>
      <c r="Q915" s="64"/>
      <c r="R915" s="64"/>
      <c r="S915" s="64"/>
      <c r="T915" s="64"/>
      <c r="U915" s="64"/>
      <c r="V915" s="64"/>
      <c r="W915" s="64"/>
      <c r="X915" s="64"/>
      <c r="Y915" s="64"/>
      <c r="Z915" s="64"/>
    </row>
    <row r="916">
      <c r="A916" s="64"/>
      <c r="B916" s="64"/>
      <c r="C916" s="64"/>
      <c r="D916" s="64"/>
      <c r="E916" s="64"/>
      <c r="F916" s="64"/>
      <c r="G916" s="64"/>
      <c r="H916" s="64"/>
      <c r="I916" s="64"/>
      <c r="J916" s="64"/>
      <c r="K916" s="64"/>
      <c r="L916" s="64"/>
      <c r="M916" s="64"/>
      <c r="N916" s="64"/>
      <c r="O916" s="64"/>
      <c r="P916" s="64"/>
      <c r="Q916" s="64"/>
      <c r="R916" s="64"/>
      <c r="S916" s="64"/>
      <c r="T916" s="64"/>
      <c r="U916" s="64"/>
      <c r="V916" s="64"/>
      <c r="W916" s="64"/>
      <c r="X916" s="64"/>
      <c r="Y916" s="64"/>
      <c r="Z916" s="64"/>
    </row>
    <row r="917">
      <c r="A917" s="64"/>
      <c r="B917" s="64"/>
      <c r="C917" s="64"/>
      <c r="D917" s="64"/>
      <c r="E917" s="64"/>
      <c r="F917" s="64"/>
      <c r="G917" s="64"/>
      <c r="H917" s="64"/>
      <c r="I917" s="64"/>
      <c r="J917" s="64"/>
      <c r="K917" s="64"/>
      <c r="L917" s="64"/>
      <c r="M917" s="64"/>
      <c r="N917" s="64"/>
      <c r="O917" s="64"/>
      <c r="P917" s="64"/>
      <c r="Q917" s="64"/>
      <c r="R917" s="64"/>
      <c r="S917" s="64"/>
      <c r="T917" s="64"/>
      <c r="U917" s="64"/>
      <c r="V917" s="64"/>
      <c r="W917" s="64"/>
      <c r="X917" s="64"/>
      <c r="Y917" s="64"/>
      <c r="Z917" s="64"/>
    </row>
    <row r="918">
      <c r="A918" s="64"/>
      <c r="B918" s="64"/>
      <c r="C918" s="64"/>
      <c r="D918" s="64"/>
      <c r="E918" s="64"/>
      <c r="F918" s="64"/>
      <c r="G918" s="64"/>
      <c r="H918" s="64"/>
      <c r="I918" s="64"/>
      <c r="J918" s="64"/>
      <c r="K918" s="64"/>
      <c r="L918" s="64"/>
      <c r="M918" s="64"/>
      <c r="N918" s="64"/>
      <c r="O918" s="64"/>
      <c r="P918" s="64"/>
      <c r="Q918" s="64"/>
      <c r="R918" s="64"/>
      <c r="S918" s="64"/>
      <c r="T918" s="64"/>
      <c r="U918" s="64"/>
      <c r="V918" s="64"/>
      <c r="W918" s="64"/>
      <c r="X918" s="64"/>
      <c r="Y918" s="64"/>
      <c r="Z918" s="64"/>
    </row>
    <row r="919">
      <c r="A919" s="64"/>
      <c r="B919" s="64"/>
      <c r="C919" s="64"/>
      <c r="D919" s="64"/>
      <c r="E919" s="64"/>
      <c r="F919" s="64"/>
      <c r="G919" s="64"/>
      <c r="H919" s="64"/>
      <c r="I919" s="64"/>
      <c r="J919" s="64"/>
      <c r="K919" s="64"/>
      <c r="L919" s="64"/>
      <c r="M919" s="64"/>
      <c r="N919" s="64"/>
      <c r="O919" s="64"/>
      <c r="P919" s="64"/>
      <c r="Q919" s="64"/>
      <c r="R919" s="64"/>
      <c r="S919" s="64"/>
      <c r="T919" s="64"/>
      <c r="U919" s="64"/>
      <c r="V919" s="64"/>
      <c r="W919" s="64"/>
      <c r="X919" s="64"/>
      <c r="Y919" s="64"/>
      <c r="Z919" s="64"/>
    </row>
    <row r="920">
      <c r="A920" s="64"/>
      <c r="B920" s="64"/>
      <c r="C920" s="64"/>
      <c r="D920" s="64"/>
      <c r="E920" s="64"/>
      <c r="F920" s="64"/>
      <c r="G920" s="64"/>
      <c r="H920" s="64"/>
      <c r="I920" s="64"/>
      <c r="J920" s="64"/>
      <c r="K920" s="64"/>
      <c r="L920" s="64"/>
      <c r="M920" s="64"/>
      <c r="N920" s="64"/>
      <c r="O920" s="64"/>
      <c r="P920" s="64"/>
      <c r="Q920" s="64"/>
      <c r="R920" s="64"/>
      <c r="S920" s="64"/>
      <c r="T920" s="64"/>
      <c r="U920" s="64"/>
      <c r="V920" s="64"/>
      <c r="W920" s="64"/>
      <c r="X920" s="64"/>
      <c r="Y920" s="64"/>
      <c r="Z920" s="64"/>
    </row>
    <row r="921">
      <c r="A921" s="64"/>
      <c r="B921" s="64"/>
      <c r="C921" s="64"/>
      <c r="D921" s="64"/>
      <c r="E921" s="64"/>
      <c r="F921" s="64"/>
      <c r="G921" s="64"/>
      <c r="H921" s="64"/>
      <c r="I921" s="64"/>
      <c r="J921" s="64"/>
      <c r="K921" s="64"/>
      <c r="L921" s="64"/>
      <c r="M921" s="64"/>
      <c r="N921" s="64"/>
      <c r="O921" s="64"/>
      <c r="P921" s="64"/>
      <c r="Q921" s="64"/>
      <c r="R921" s="64"/>
      <c r="S921" s="64"/>
      <c r="T921" s="64"/>
      <c r="U921" s="64"/>
      <c r="V921" s="64"/>
      <c r="W921" s="64"/>
      <c r="X921" s="64"/>
      <c r="Y921" s="64"/>
      <c r="Z921" s="64"/>
    </row>
    <row r="922">
      <c r="A922" s="64"/>
      <c r="B922" s="64"/>
      <c r="C922" s="64"/>
      <c r="D922" s="64"/>
      <c r="E922" s="64"/>
      <c r="F922" s="64"/>
      <c r="G922" s="64"/>
      <c r="H922" s="64"/>
      <c r="I922" s="64"/>
      <c r="J922" s="64"/>
      <c r="K922" s="64"/>
      <c r="L922" s="64"/>
      <c r="M922" s="64"/>
      <c r="N922" s="64"/>
      <c r="O922" s="64"/>
      <c r="P922" s="64"/>
      <c r="Q922" s="64"/>
      <c r="R922" s="64"/>
      <c r="S922" s="64"/>
      <c r="T922" s="64"/>
      <c r="U922" s="64"/>
      <c r="V922" s="64"/>
      <c r="W922" s="64"/>
      <c r="X922" s="64"/>
      <c r="Y922" s="64"/>
      <c r="Z922" s="64"/>
    </row>
    <row r="923">
      <c r="A923" s="64"/>
      <c r="B923" s="64"/>
      <c r="C923" s="64"/>
      <c r="D923" s="64"/>
      <c r="E923" s="64"/>
      <c r="F923" s="64"/>
      <c r="G923" s="64"/>
      <c r="H923" s="64"/>
      <c r="I923" s="64"/>
      <c r="J923" s="64"/>
      <c r="K923" s="64"/>
      <c r="L923" s="64"/>
      <c r="M923" s="64"/>
      <c r="N923" s="64"/>
      <c r="O923" s="64"/>
      <c r="P923" s="64"/>
      <c r="Q923" s="64"/>
      <c r="R923" s="64"/>
      <c r="S923" s="64"/>
      <c r="T923" s="64"/>
      <c r="U923" s="64"/>
      <c r="V923" s="64"/>
      <c r="W923" s="64"/>
      <c r="X923" s="64"/>
      <c r="Y923" s="64"/>
      <c r="Z923" s="64"/>
    </row>
    <row r="924">
      <c r="A924" s="64"/>
      <c r="B924" s="64"/>
      <c r="C924" s="64"/>
      <c r="D924" s="64"/>
      <c r="E924" s="64"/>
      <c r="F924" s="64"/>
      <c r="G924" s="64"/>
      <c r="H924" s="64"/>
      <c r="I924" s="64"/>
      <c r="J924" s="64"/>
      <c r="K924" s="64"/>
      <c r="L924" s="64"/>
      <c r="M924" s="64"/>
      <c r="N924" s="64"/>
      <c r="O924" s="64"/>
      <c r="P924" s="64"/>
      <c r="Q924" s="64"/>
      <c r="R924" s="64"/>
      <c r="S924" s="64"/>
      <c r="T924" s="64"/>
      <c r="U924" s="64"/>
      <c r="V924" s="64"/>
      <c r="W924" s="64"/>
      <c r="X924" s="64"/>
      <c r="Y924" s="64"/>
      <c r="Z924" s="64"/>
    </row>
    <row r="925">
      <c r="A925" s="64"/>
      <c r="B925" s="64"/>
      <c r="C925" s="64"/>
      <c r="D925" s="64"/>
      <c r="E925" s="64"/>
      <c r="F925" s="64"/>
      <c r="G925" s="64"/>
      <c r="H925" s="64"/>
      <c r="I925" s="64"/>
      <c r="J925" s="64"/>
      <c r="K925" s="64"/>
      <c r="L925" s="64"/>
      <c r="M925" s="64"/>
      <c r="N925" s="64"/>
      <c r="O925" s="64"/>
      <c r="P925" s="64"/>
      <c r="Q925" s="64"/>
      <c r="R925" s="64"/>
      <c r="S925" s="64"/>
      <c r="T925" s="64"/>
      <c r="U925" s="64"/>
      <c r="V925" s="64"/>
      <c r="W925" s="64"/>
      <c r="X925" s="64"/>
      <c r="Y925" s="64"/>
      <c r="Z925" s="64"/>
    </row>
    <row r="926">
      <c r="A926" s="64"/>
      <c r="B926" s="64"/>
      <c r="C926" s="64"/>
      <c r="D926" s="64"/>
      <c r="E926" s="64"/>
      <c r="F926" s="64"/>
      <c r="G926" s="64"/>
      <c r="H926" s="64"/>
      <c r="I926" s="64"/>
      <c r="J926" s="64"/>
      <c r="K926" s="64"/>
      <c r="L926" s="64"/>
      <c r="M926" s="64"/>
      <c r="N926" s="64"/>
      <c r="O926" s="64"/>
      <c r="P926" s="64"/>
      <c r="Q926" s="64"/>
      <c r="R926" s="64"/>
      <c r="S926" s="64"/>
      <c r="T926" s="64"/>
      <c r="U926" s="64"/>
      <c r="V926" s="64"/>
      <c r="W926" s="64"/>
      <c r="X926" s="64"/>
      <c r="Y926" s="64"/>
      <c r="Z926" s="64"/>
    </row>
    <row r="927">
      <c r="A927" s="64"/>
      <c r="B927" s="64"/>
      <c r="C927" s="64"/>
      <c r="D927" s="64"/>
      <c r="E927" s="64"/>
      <c r="F927" s="64"/>
      <c r="G927" s="64"/>
      <c r="H927" s="64"/>
      <c r="I927" s="64"/>
      <c r="J927" s="64"/>
      <c r="K927" s="64"/>
      <c r="L927" s="64"/>
      <c r="M927" s="64"/>
      <c r="N927" s="64"/>
      <c r="O927" s="64"/>
      <c r="P927" s="64"/>
      <c r="Q927" s="64"/>
      <c r="R927" s="64"/>
      <c r="S927" s="64"/>
      <c r="T927" s="64"/>
      <c r="U927" s="64"/>
      <c r="V927" s="64"/>
      <c r="W927" s="64"/>
      <c r="X927" s="64"/>
      <c r="Y927" s="64"/>
      <c r="Z927" s="64"/>
    </row>
    <row r="928">
      <c r="A928" s="64"/>
      <c r="B928" s="64"/>
      <c r="C928" s="64"/>
      <c r="D928" s="64"/>
      <c r="E928" s="64"/>
      <c r="F928" s="64"/>
      <c r="G928" s="64"/>
      <c r="H928" s="64"/>
      <c r="I928" s="64"/>
      <c r="J928" s="64"/>
      <c r="K928" s="64"/>
      <c r="L928" s="64"/>
      <c r="M928" s="64"/>
      <c r="N928" s="64"/>
      <c r="O928" s="64"/>
      <c r="P928" s="64"/>
      <c r="Q928" s="64"/>
      <c r="R928" s="64"/>
      <c r="S928" s="64"/>
      <c r="T928" s="64"/>
      <c r="U928" s="64"/>
      <c r="V928" s="64"/>
      <c r="W928" s="64"/>
      <c r="X928" s="64"/>
      <c r="Y928" s="64"/>
      <c r="Z928" s="64"/>
    </row>
    <row r="929">
      <c r="A929" s="64"/>
      <c r="B929" s="64"/>
      <c r="C929" s="64"/>
      <c r="D929" s="64"/>
      <c r="E929" s="64"/>
      <c r="F929" s="64"/>
      <c r="G929" s="64"/>
      <c r="H929" s="64"/>
      <c r="I929" s="64"/>
      <c r="J929" s="64"/>
      <c r="K929" s="64"/>
      <c r="L929" s="64"/>
      <c r="M929" s="64"/>
      <c r="N929" s="64"/>
      <c r="O929" s="64"/>
      <c r="P929" s="64"/>
      <c r="Q929" s="64"/>
      <c r="R929" s="64"/>
      <c r="S929" s="64"/>
      <c r="T929" s="64"/>
      <c r="U929" s="64"/>
      <c r="V929" s="64"/>
      <c r="W929" s="64"/>
      <c r="X929" s="64"/>
      <c r="Y929" s="64"/>
      <c r="Z929" s="64"/>
    </row>
    <row r="930">
      <c r="A930" s="64"/>
      <c r="B930" s="64"/>
      <c r="C930" s="64"/>
      <c r="D930" s="64"/>
      <c r="E930" s="64"/>
      <c r="F930" s="64"/>
      <c r="G930" s="64"/>
      <c r="H930" s="64"/>
      <c r="I930" s="64"/>
      <c r="J930" s="64"/>
      <c r="K930" s="64"/>
      <c r="L930" s="64"/>
      <c r="M930" s="64"/>
      <c r="N930" s="64"/>
      <c r="O930" s="64"/>
      <c r="P930" s="64"/>
      <c r="Q930" s="64"/>
      <c r="R930" s="64"/>
      <c r="S930" s="64"/>
      <c r="T930" s="64"/>
      <c r="U930" s="64"/>
      <c r="V930" s="64"/>
      <c r="W930" s="64"/>
      <c r="X930" s="64"/>
      <c r="Y930" s="64"/>
      <c r="Z930" s="64"/>
    </row>
    <row r="931">
      <c r="A931" s="64"/>
      <c r="B931" s="64"/>
      <c r="C931" s="64"/>
      <c r="D931" s="64"/>
      <c r="E931" s="64"/>
      <c r="F931" s="64"/>
      <c r="G931" s="64"/>
      <c r="H931" s="64"/>
      <c r="I931" s="64"/>
      <c r="J931" s="64"/>
      <c r="K931" s="64"/>
      <c r="L931" s="64"/>
      <c r="M931" s="64"/>
      <c r="N931" s="64"/>
      <c r="O931" s="64"/>
      <c r="P931" s="64"/>
      <c r="Q931" s="64"/>
      <c r="R931" s="64"/>
      <c r="S931" s="64"/>
      <c r="T931" s="64"/>
      <c r="U931" s="64"/>
      <c r="V931" s="64"/>
      <c r="W931" s="64"/>
      <c r="X931" s="64"/>
      <c r="Y931" s="64"/>
      <c r="Z931" s="64"/>
    </row>
    <row r="932">
      <c r="A932" s="64"/>
      <c r="B932" s="64"/>
      <c r="C932" s="64"/>
      <c r="D932" s="64"/>
      <c r="E932" s="64"/>
      <c r="F932" s="64"/>
      <c r="G932" s="64"/>
      <c r="H932" s="64"/>
      <c r="I932" s="64"/>
      <c r="J932" s="64"/>
      <c r="K932" s="64"/>
      <c r="L932" s="64"/>
      <c r="M932" s="64"/>
      <c r="N932" s="64"/>
      <c r="O932" s="64"/>
      <c r="P932" s="64"/>
      <c r="Q932" s="64"/>
      <c r="R932" s="64"/>
      <c r="S932" s="64"/>
      <c r="T932" s="64"/>
      <c r="U932" s="64"/>
      <c r="V932" s="64"/>
      <c r="W932" s="64"/>
      <c r="X932" s="64"/>
      <c r="Y932" s="64"/>
      <c r="Z932" s="64"/>
    </row>
    <row r="933">
      <c r="A933" s="64"/>
      <c r="B933" s="64"/>
      <c r="C933" s="64"/>
      <c r="D933" s="64"/>
      <c r="E933" s="64"/>
      <c r="F933" s="64"/>
      <c r="G933" s="64"/>
      <c r="H933" s="64"/>
      <c r="I933" s="64"/>
      <c r="J933" s="64"/>
      <c r="K933" s="64"/>
      <c r="L933" s="64"/>
      <c r="M933" s="64"/>
      <c r="N933" s="64"/>
      <c r="O933" s="64"/>
      <c r="P933" s="64"/>
      <c r="Q933" s="64"/>
      <c r="R933" s="64"/>
      <c r="S933" s="64"/>
      <c r="T933" s="64"/>
      <c r="U933" s="64"/>
      <c r="V933" s="64"/>
      <c r="W933" s="64"/>
      <c r="X933" s="64"/>
      <c r="Y933" s="64"/>
      <c r="Z933" s="64"/>
    </row>
    <row r="934">
      <c r="A934" s="64"/>
      <c r="B934" s="64"/>
      <c r="C934" s="64"/>
      <c r="D934" s="64"/>
      <c r="E934" s="64"/>
      <c r="F934" s="64"/>
      <c r="G934" s="64"/>
      <c r="H934" s="64"/>
      <c r="I934" s="64"/>
      <c r="J934" s="64"/>
      <c r="K934" s="64"/>
      <c r="L934" s="64"/>
      <c r="M934" s="64"/>
      <c r="N934" s="64"/>
      <c r="O934" s="64"/>
      <c r="P934" s="64"/>
      <c r="Q934" s="64"/>
      <c r="R934" s="64"/>
      <c r="S934" s="64"/>
      <c r="T934" s="64"/>
      <c r="U934" s="64"/>
      <c r="V934" s="64"/>
      <c r="W934" s="64"/>
      <c r="X934" s="64"/>
      <c r="Y934" s="64"/>
      <c r="Z934" s="64"/>
    </row>
    <row r="935">
      <c r="A935" s="64"/>
      <c r="B935" s="64"/>
      <c r="C935" s="64"/>
      <c r="D935" s="64"/>
      <c r="E935" s="64"/>
      <c r="F935" s="64"/>
      <c r="G935" s="64"/>
      <c r="H935" s="64"/>
      <c r="I935" s="64"/>
      <c r="J935" s="64"/>
      <c r="K935" s="64"/>
      <c r="L935" s="64"/>
      <c r="M935" s="64"/>
      <c r="N935" s="64"/>
      <c r="O935" s="64"/>
      <c r="P935" s="64"/>
      <c r="Q935" s="64"/>
      <c r="R935" s="64"/>
      <c r="S935" s="64"/>
      <c r="T935" s="64"/>
      <c r="U935" s="64"/>
      <c r="V935" s="64"/>
      <c r="W935" s="64"/>
      <c r="X935" s="64"/>
      <c r="Y935" s="64"/>
      <c r="Z935" s="64"/>
    </row>
    <row r="936">
      <c r="A936" s="64"/>
      <c r="B936" s="64"/>
      <c r="C936" s="64"/>
      <c r="D936" s="64"/>
      <c r="E936" s="64"/>
      <c r="F936" s="64"/>
      <c r="G936" s="64"/>
      <c r="H936" s="64"/>
      <c r="I936" s="64"/>
      <c r="J936" s="64"/>
      <c r="K936" s="64"/>
      <c r="L936" s="64"/>
      <c r="M936" s="64"/>
      <c r="N936" s="64"/>
      <c r="O936" s="64"/>
      <c r="P936" s="64"/>
      <c r="Q936" s="64"/>
      <c r="R936" s="64"/>
      <c r="S936" s="64"/>
      <c r="T936" s="64"/>
      <c r="U936" s="64"/>
      <c r="V936" s="64"/>
      <c r="W936" s="64"/>
      <c r="X936" s="64"/>
      <c r="Y936" s="64"/>
      <c r="Z936" s="64"/>
    </row>
    <row r="937">
      <c r="A937" s="64"/>
      <c r="B937" s="64"/>
      <c r="C937" s="64"/>
      <c r="D937" s="64"/>
      <c r="E937" s="64"/>
      <c r="F937" s="64"/>
      <c r="G937" s="64"/>
      <c r="H937" s="64"/>
      <c r="I937" s="64"/>
      <c r="J937" s="64"/>
      <c r="K937" s="64"/>
      <c r="L937" s="64"/>
      <c r="M937" s="64"/>
      <c r="N937" s="64"/>
      <c r="O937" s="64"/>
      <c r="P937" s="64"/>
      <c r="Q937" s="64"/>
      <c r="R937" s="64"/>
      <c r="S937" s="64"/>
      <c r="T937" s="64"/>
      <c r="U937" s="64"/>
      <c r="V937" s="64"/>
      <c r="W937" s="64"/>
      <c r="X937" s="64"/>
      <c r="Y937" s="64"/>
      <c r="Z937" s="64"/>
    </row>
    <row r="938">
      <c r="A938" s="64"/>
      <c r="B938" s="64"/>
      <c r="C938" s="64"/>
      <c r="D938" s="64"/>
      <c r="E938" s="64"/>
      <c r="F938" s="64"/>
      <c r="G938" s="64"/>
      <c r="H938" s="64"/>
      <c r="I938" s="64"/>
      <c r="J938" s="64"/>
      <c r="K938" s="64"/>
      <c r="L938" s="64"/>
      <c r="M938" s="64"/>
      <c r="N938" s="64"/>
      <c r="O938" s="64"/>
      <c r="P938" s="64"/>
      <c r="Q938" s="64"/>
      <c r="R938" s="64"/>
      <c r="S938" s="64"/>
      <c r="T938" s="64"/>
      <c r="U938" s="64"/>
      <c r="V938" s="64"/>
      <c r="W938" s="64"/>
      <c r="X938" s="64"/>
      <c r="Y938" s="64"/>
      <c r="Z938" s="64"/>
    </row>
    <row r="939">
      <c r="A939" s="64"/>
      <c r="B939" s="64"/>
      <c r="C939" s="64"/>
      <c r="D939" s="64"/>
      <c r="E939" s="64"/>
      <c r="F939" s="64"/>
      <c r="G939" s="64"/>
      <c r="H939" s="64"/>
      <c r="I939" s="64"/>
      <c r="J939" s="64"/>
      <c r="K939" s="64"/>
      <c r="L939" s="64"/>
      <c r="M939" s="64"/>
      <c r="N939" s="64"/>
      <c r="O939" s="64"/>
      <c r="P939" s="64"/>
      <c r="Q939" s="64"/>
      <c r="R939" s="64"/>
      <c r="S939" s="64"/>
      <c r="T939" s="64"/>
      <c r="U939" s="64"/>
      <c r="V939" s="64"/>
      <c r="W939" s="64"/>
      <c r="X939" s="64"/>
      <c r="Y939" s="64"/>
      <c r="Z939" s="64"/>
    </row>
    <row r="940">
      <c r="A940" s="64"/>
      <c r="B940" s="64"/>
      <c r="C940" s="64"/>
      <c r="D940" s="64"/>
      <c r="E940" s="64"/>
      <c r="F940" s="64"/>
      <c r="G940" s="64"/>
      <c r="H940" s="64"/>
      <c r="I940" s="64"/>
      <c r="J940" s="64"/>
      <c r="K940" s="64"/>
      <c r="L940" s="64"/>
      <c r="M940" s="64"/>
      <c r="N940" s="64"/>
      <c r="O940" s="64"/>
      <c r="P940" s="64"/>
      <c r="Q940" s="64"/>
      <c r="R940" s="64"/>
      <c r="S940" s="64"/>
      <c r="T940" s="64"/>
      <c r="U940" s="64"/>
      <c r="V940" s="64"/>
      <c r="W940" s="64"/>
      <c r="X940" s="64"/>
      <c r="Y940" s="64"/>
      <c r="Z940" s="64"/>
    </row>
    <row r="941">
      <c r="A941" s="64"/>
      <c r="B941" s="64"/>
      <c r="C941" s="64"/>
      <c r="D941" s="64"/>
      <c r="E941" s="64"/>
      <c r="F941" s="64"/>
      <c r="G941" s="64"/>
      <c r="H941" s="64"/>
      <c r="I941" s="64"/>
      <c r="J941" s="64"/>
      <c r="K941" s="64"/>
      <c r="L941" s="64"/>
      <c r="M941" s="64"/>
      <c r="N941" s="64"/>
      <c r="O941" s="64"/>
      <c r="P941" s="64"/>
      <c r="Q941" s="64"/>
      <c r="R941" s="64"/>
      <c r="S941" s="64"/>
      <c r="T941" s="64"/>
      <c r="U941" s="64"/>
      <c r="V941" s="64"/>
      <c r="W941" s="64"/>
      <c r="X941" s="64"/>
      <c r="Y941" s="64"/>
      <c r="Z941" s="64"/>
    </row>
    <row r="942">
      <c r="A942" s="64"/>
      <c r="B942" s="64"/>
      <c r="C942" s="64"/>
      <c r="D942" s="64"/>
      <c r="E942" s="64"/>
      <c r="F942" s="64"/>
      <c r="G942" s="64"/>
      <c r="H942" s="64"/>
      <c r="I942" s="64"/>
      <c r="J942" s="64"/>
      <c r="K942" s="64"/>
      <c r="L942" s="64"/>
      <c r="M942" s="64"/>
      <c r="N942" s="64"/>
      <c r="O942" s="64"/>
      <c r="P942" s="64"/>
      <c r="Q942" s="64"/>
      <c r="R942" s="64"/>
      <c r="S942" s="64"/>
      <c r="T942" s="64"/>
      <c r="U942" s="64"/>
      <c r="V942" s="64"/>
      <c r="W942" s="64"/>
      <c r="X942" s="64"/>
      <c r="Y942" s="64"/>
      <c r="Z942" s="64"/>
    </row>
    <row r="943">
      <c r="A943" s="64"/>
      <c r="B943" s="64"/>
      <c r="C943" s="64"/>
      <c r="D943" s="64"/>
      <c r="E943" s="64"/>
      <c r="F943" s="64"/>
      <c r="G943" s="64"/>
      <c r="H943" s="64"/>
      <c r="I943" s="64"/>
      <c r="J943" s="64"/>
      <c r="K943" s="64"/>
      <c r="L943" s="64"/>
      <c r="M943" s="64"/>
      <c r="N943" s="64"/>
      <c r="O943" s="64"/>
      <c r="P943" s="64"/>
      <c r="Q943" s="64"/>
      <c r="R943" s="64"/>
      <c r="S943" s="64"/>
      <c r="T943" s="64"/>
      <c r="U943" s="64"/>
      <c r="V943" s="64"/>
      <c r="W943" s="64"/>
      <c r="X943" s="64"/>
      <c r="Y943" s="64"/>
      <c r="Z943" s="64"/>
    </row>
    <row r="944">
      <c r="A944" s="64"/>
      <c r="B944" s="64"/>
      <c r="C944" s="64"/>
      <c r="D944" s="64"/>
      <c r="E944" s="64"/>
      <c r="F944" s="64"/>
      <c r="G944" s="64"/>
      <c r="H944" s="64"/>
      <c r="I944" s="64"/>
      <c r="J944" s="64"/>
      <c r="K944" s="64"/>
      <c r="L944" s="64"/>
      <c r="M944" s="64"/>
      <c r="N944" s="64"/>
      <c r="O944" s="64"/>
      <c r="P944" s="64"/>
      <c r="Q944" s="64"/>
      <c r="R944" s="64"/>
      <c r="S944" s="64"/>
      <c r="T944" s="64"/>
      <c r="U944" s="64"/>
      <c r="V944" s="64"/>
      <c r="W944" s="64"/>
      <c r="X944" s="64"/>
      <c r="Y944" s="64"/>
      <c r="Z944" s="64"/>
    </row>
    <row r="945">
      <c r="A945" s="64"/>
      <c r="B945" s="64"/>
      <c r="C945" s="64"/>
      <c r="D945" s="64"/>
      <c r="E945" s="64"/>
      <c r="F945" s="64"/>
      <c r="G945" s="64"/>
      <c r="H945" s="64"/>
      <c r="I945" s="64"/>
      <c r="J945" s="64"/>
      <c r="K945" s="64"/>
      <c r="L945" s="64"/>
      <c r="M945" s="64"/>
      <c r="N945" s="64"/>
      <c r="O945" s="64"/>
      <c r="P945" s="64"/>
      <c r="Q945" s="64"/>
      <c r="R945" s="64"/>
      <c r="S945" s="64"/>
      <c r="T945" s="64"/>
      <c r="U945" s="64"/>
      <c r="V945" s="64"/>
      <c r="W945" s="64"/>
      <c r="X945" s="64"/>
      <c r="Y945" s="64"/>
      <c r="Z945" s="64"/>
    </row>
    <row r="946">
      <c r="A946" s="64"/>
      <c r="B946" s="64"/>
      <c r="C946" s="64"/>
      <c r="D946" s="64"/>
      <c r="E946" s="64"/>
      <c r="F946" s="64"/>
      <c r="G946" s="64"/>
      <c r="H946" s="64"/>
      <c r="I946" s="64"/>
      <c r="J946" s="64"/>
      <c r="K946" s="64"/>
      <c r="L946" s="64"/>
      <c r="M946" s="64"/>
      <c r="N946" s="64"/>
      <c r="O946" s="64"/>
      <c r="P946" s="64"/>
      <c r="Q946" s="64"/>
      <c r="R946" s="64"/>
      <c r="S946" s="64"/>
      <c r="T946" s="64"/>
      <c r="U946" s="64"/>
      <c r="V946" s="64"/>
      <c r="W946" s="64"/>
      <c r="X946" s="64"/>
      <c r="Y946" s="64"/>
      <c r="Z946" s="64"/>
    </row>
    <row r="947">
      <c r="A947" s="64"/>
      <c r="B947" s="64"/>
      <c r="C947" s="64"/>
      <c r="D947" s="64"/>
      <c r="E947" s="64"/>
      <c r="F947" s="64"/>
      <c r="G947" s="64"/>
      <c r="H947" s="64"/>
      <c r="I947" s="64"/>
      <c r="J947" s="64"/>
      <c r="K947" s="64"/>
      <c r="L947" s="64"/>
      <c r="M947" s="64"/>
      <c r="N947" s="64"/>
      <c r="O947" s="64"/>
      <c r="P947" s="64"/>
      <c r="Q947" s="64"/>
      <c r="R947" s="64"/>
      <c r="S947" s="64"/>
      <c r="T947" s="64"/>
      <c r="U947" s="64"/>
      <c r="V947" s="64"/>
      <c r="W947" s="64"/>
      <c r="X947" s="64"/>
      <c r="Y947" s="64"/>
      <c r="Z947" s="64"/>
    </row>
    <row r="948">
      <c r="A948" s="64"/>
      <c r="B948" s="64"/>
      <c r="C948" s="64"/>
      <c r="D948" s="64"/>
      <c r="E948" s="64"/>
      <c r="F948" s="64"/>
      <c r="G948" s="64"/>
      <c r="H948" s="64"/>
      <c r="I948" s="64"/>
      <c r="J948" s="64"/>
      <c r="K948" s="64"/>
      <c r="L948" s="64"/>
      <c r="M948" s="64"/>
      <c r="N948" s="64"/>
      <c r="O948" s="64"/>
      <c r="P948" s="64"/>
      <c r="Q948" s="64"/>
      <c r="R948" s="64"/>
      <c r="S948" s="64"/>
      <c r="T948" s="64"/>
      <c r="U948" s="64"/>
      <c r="V948" s="64"/>
      <c r="W948" s="64"/>
      <c r="X948" s="64"/>
      <c r="Y948" s="64"/>
      <c r="Z948" s="64"/>
    </row>
    <row r="949">
      <c r="A949" s="64"/>
      <c r="B949" s="64"/>
      <c r="C949" s="64"/>
      <c r="D949" s="64"/>
      <c r="E949" s="64"/>
      <c r="F949" s="64"/>
      <c r="G949" s="64"/>
      <c r="H949" s="64"/>
      <c r="I949" s="64"/>
      <c r="J949" s="64"/>
      <c r="K949" s="64"/>
      <c r="L949" s="64"/>
      <c r="M949" s="64"/>
      <c r="N949" s="64"/>
      <c r="O949" s="64"/>
      <c r="P949" s="64"/>
      <c r="Q949" s="64"/>
      <c r="R949" s="64"/>
      <c r="S949" s="64"/>
      <c r="T949" s="64"/>
      <c r="U949" s="64"/>
      <c r="V949" s="64"/>
      <c r="W949" s="64"/>
      <c r="X949" s="64"/>
      <c r="Y949" s="64"/>
      <c r="Z949" s="64"/>
    </row>
    <row r="950">
      <c r="A950" s="64"/>
      <c r="B950" s="64"/>
      <c r="C950" s="64"/>
      <c r="D950" s="64"/>
      <c r="E950" s="64"/>
      <c r="F950" s="64"/>
      <c r="G950" s="64"/>
      <c r="H950" s="64"/>
      <c r="I950" s="64"/>
      <c r="J950" s="64"/>
      <c r="K950" s="64"/>
      <c r="L950" s="64"/>
      <c r="M950" s="64"/>
      <c r="N950" s="64"/>
      <c r="O950" s="64"/>
      <c r="P950" s="64"/>
      <c r="Q950" s="64"/>
      <c r="R950" s="64"/>
      <c r="S950" s="64"/>
      <c r="T950" s="64"/>
      <c r="U950" s="64"/>
      <c r="V950" s="64"/>
      <c r="W950" s="64"/>
      <c r="X950" s="64"/>
      <c r="Y950" s="64"/>
      <c r="Z950" s="64"/>
    </row>
    <row r="951">
      <c r="A951" s="64"/>
      <c r="B951" s="64"/>
      <c r="C951" s="64"/>
      <c r="D951" s="64"/>
      <c r="E951" s="64"/>
      <c r="F951" s="64"/>
      <c r="G951" s="64"/>
      <c r="H951" s="64"/>
      <c r="I951" s="64"/>
      <c r="J951" s="64"/>
      <c r="K951" s="64"/>
      <c r="L951" s="64"/>
      <c r="M951" s="64"/>
      <c r="N951" s="64"/>
      <c r="O951" s="64"/>
      <c r="P951" s="64"/>
      <c r="Q951" s="64"/>
      <c r="R951" s="64"/>
      <c r="S951" s="64"/>
      <c r="T951" s="64"/>
      <c r="U951" s="64"/>
      <c r="V951" s="64"/>
      <c r="W951" s="64"/>
      <c r="X951" s="64"/>
      <c r="Y951" s="64"/>
      <c r="Z951" s="64"/>
    </row>
    <row r="952">
      <c r="A952" s="64"/>
      <c r="B952" s="64"/>
      <c r="C952" s="64"/>
      <c r="D952" s="64"/>
      <c r="E952" s="64"/>
      <c r="F952" s="64"/>
      <c r="G952" s="64"/>
      <c r="H952" s="64"/>
      <c r="I952" s="64"/>
      <c r="J952" s="64"/>
      <c r="K952" s="64"/>
      <c r="L952" s="64"/>
      <c r="M952" s="64"/>
      <c r="N952" s="64"/>
      <c r="O952" s="64"/>
      <c r="P952" s="64"/>
      <c r="Q952" s="64"/>
      <c r="R952" s="64"/>
      <c r="S952" s="64"/>
      <c r="T952" s="64"/>
      <c r="U952" s="64"/>
      <c r="V952" s="64"/>
      <c r="W952" s="64"/>
      <c r="X952" s="64"/>
      <c r="Y952" s="64"/>
      <c r="Z952" s="64"/>
    </row>
    <row r="953">
      <c r="A953" s="64"/>
      <c r="B953" s="64"/>
      <c r="C953" s="64"/>
      <c r="D953" s="64"/>
      <c r="E953" s="64"/>
      <c r="F953" s="64"/>
      <c r="G953" s="64"/>
      <c r="H953" s="64"/>
      <c r="I953" s="64"/>
      <c r="J953" s="64"/>
      <c r="K953" s="64"/>
      <c r="L953" s="64"/>
      <c r="M953" s="64"/>
      <c r="N953" s="64"/>
      <c r="O953" s="64"/>
      <c r="P953" s="64"/>
      <c r="Q953" s="64"/>
      <c r="R953" s="64"/>
      <c r="S953" s="64"/>
      <c r="T953" s="64"/>
      <c r="U953" s="64"/>
      <c r="V953" s="64"/>
      <c r="W953" s="64"/>
      <c r="X953" s="64"/>
      <c r="Y953" s="64"/>
      <c r="Z953" s="64"/>
    </row>
    <row r="954">
      <c r="A954" s="64"/>
      <c r="B954" s="64"/>
      <c r="C954" s="64"/>
      <c r="D954" s="64"/>
      <c r="E954" s="64"/>
      <c r="F954" s="64"/>
      <c r="G954" s="64"/>
      <c r="H954" s="64"/>
      <c r="I954" s="64"/>
      <c r="J954" s="64"/>
      <c r="K954" s="64"/>
      <c r="L954" s="64"/>
      <c r="M954" s="64"/>
      <c r="N954" s="64"/>
      <c r="O954" s="64"/>
      <c r="P954" s="64"/>
      <c r="Q954" s="64"/>
      <c r="R954" s="64"/>
      <c r="S954" s="64"/>
      <c r="T954" s="64"/>
      <c r="U954" s="64"/>
      <c r="V954" s="64"/>
      <c r="W954" s="64"/>
      <c r="X954" s="64"/>
      <c r="Y954" s="64"/>
      <c r="Z954" s="64"/>
    </row>
    <row r="955">
      <c r="A955" s="64"/>
      <c r="B955" s="64"/>
      <c r="C955" s="64"/>
      <c r="D955" s="64"/>
      <c r="E955" s="64"/>
      <c r="F955" s="64"/>
      <c r="G955" s="64"/>
      <c r="H955" s="64"/>
      <c r="I955" s="64"/>
      <c r="J955" s="64"/>
      <c r="K955" s="64"/>
      <c r="L955" s="64"/>
      <c r="M955" s="64"/>
      <c r="N955" s="64"/>
      <c r="O955" s="64"/>
      <c r="P955" s="64"/>
      <c r="Q955" s="64"/>
      <c r="R955" s="64"/>
      <c r="S955" s="64"/>
      <c r="T955" s="64"/>
      <c r="U955" s="64"/>
      <c r="V955" s="64"/>
      <c r="W955" s="64"/>
      <c r="X955" s="64"/>
      <c r="Y955" s="64"/>
      <c r="Z955" s="64"/>
    </row>
    <row r="956">
      <c r="A956" s="64"/>
      <c r="B956" s="64"/>
      <c r="C956" s="64"/>
      <c r="D956" s="64"/>
      <c r="E956" s="64"/>
      <c r="F956" s="64"/>
      <c r="G956" s="64"/>
      <c r="H956" s="64"/>
      <c r="I956" s="64"/>
      <c r="J956" s="64"/>
      <c r="K956" s="64"/>
      <c r="L956" s="64"/>
      <c r="M956" s="64"/>
      <c r="N956" s="64"/>
      <c r="O956" s="64"/>
      <c r="P956" s="64"/>
      <c r="Q956" s="64"/>
      <c r="R956" s="64"/>
      <c r="S956" s="64"/>
      <c r="T956" s="64"/>
      <c r="U956" s="64"/>
      <c r="V956" s="64"/>
      <c r="W956" s="64"/>
      <c r="X956" s="64"/>
      <c r="Y956" s="64"/>
      <c r="Z956" s="64"/>
    </row>
    <row r="957">
      <c r="A957" s="64"/>
      <c r="B957" s="64"/>
      <c r="C957" s="64"/>
      <c r="D957" s="64"/>
      <c r="E957" s="64"/>
      <c r="F957" s="64"/>
      <c r="G957" s="64"/>
      <c r="H957" s="64"/>
      <c r="I957" s="64"/>
      <c r="J957" s="64"/>
      <c r="K957" s="64"/>
      <c r="L957" s="64"/>
      <c r="M957" s="64"/>
      <c r="N957" s="64"/>
      <c r="O957" s="64"/>
      <c r="P957" s="64"/>
      <c r="Q957" s="64"/>
      <c r="R957" s="64"/>
      <c r="S957" s="64"/>
      <c r="T957" s="64"/>
      <c r="U957" s="64"/>
      <c r="V957" s="64"/>
      <c r="W957" s="64"/>
      <c r="X957" s="64"/>
      <c r="Y957" s="64"/>
      <c r="Z957" s="64"/>
    </row>
    <row r="958">
      <c r="A958" s="64"/>
      <c r="B958" s="64"/>
      <c r="C958" s="64"/>
      <c r="D958" s="64"/>
      <c r="E958" s="64"/>
      <c r="F958" s="64"/>
      <c r="G958" s="64"/>
      <c r="H958" s="64"/>
      <c r="I958" s="64"/>
      <c r="J958" s="64"/>
      <c r="K958" s="64"/>
      <c r="L958" s="64"/>
      <c r="M958" s="64"/>
      <c r="N958" s="64"/>
      <c r="O958" s="64"/>
      <c r="P958" s="64"/>
      <c r="Q958" s="64"/>
      <c r="R958" s="64"/>
      <c r="S958" s="64"/>
      <c r="T958" s="64"/>
      <c r="U958" s="64"/>
      <c r="V958" s="64"/>
      <c r="W958" s="64"/>
      <c r="X958" s="64"/>
      <c r="Y958" s="64"/>
      <c r="Z958" s="64"/>
    </row>
    <row r="959">
      <c r="A959" s="64"/>
      <c r="B959" s="64"/>
      <c r="C959" s="64"/>
      <c r="D959" s="64"/>
      <c r="E959" s="64"/>
      <c r="F959" s="64"/>
      <c r="G959" s="64"/>
      <c r="H959" s="64"/>
      <c r="I959" s="64"/>
      <c r="J959" s="64"/>
      <c r="K959" s="64"/>
      <c r="L959" s="64"/>
      <c r="M959" s="64"/>
      <c r="N959" s="64"/>
      <c r="O959" s="64"/>
      <c r="P959" s="64"/>
      <c r="Q959" s="64"/>
      <c r="R959" s="64"/>
      <c r="S959" s="64"/>
      <c r="T959" s="64"/>
      <c r="U959" s="64"/>
      <c r="V959" s="64"/>
      <c r="W959" s="64"/>
      <c r="X959" s="64"/>
      <c r="Y959" s="64"/>
      <c r="Z959" s="64"/>
    </row>
    <row r="960">
      <c r="A960" s="64"/>
      <c r="B960" s="64"/>
      <c r="C960" s="64"/>
      <c r="D960" s="64"/>
      <c r="E960" s="64"/>
      <c r="F960" s="64"/>
      <c r="G960" s="64"/>
      <c r="H960" s="64"/>
      <c r="I960" s="64"/>
      <c r="J960" s="64"/>
      <c r="K960" s="64"/>
      <c r="L960" s="64"/>
      <c r="M960" s="64"/>
      <c r="N960" s="64"/>
      <c r="O960" s="64"/>
      <c r="P960" s="64"/>
      <c r="Q960" s="64"/>
      <c r="R960" s="64"/>
      <c r="S960" s="64"/>
      <c r="T960" s="64"/>
      <c r="U960" s="64"/>
      <c r="V960" s="64"/>
      <c r="W960" s="64"/>
      <c r="X960" s="64"/>
      <c r="Y960" s="64"/>
      <c r="Z960" s="64"/>
    </row>
    <row r="961">
      <c r="A961" s="64"/>
      <c r="B961" s="64"/>
      <c r="C961" s="64"/>
      <c r="D961" s="64"/>
      <c r="E961" s="64"/>
      <c r="F961" s="64"/>
      <c r="G961" s="64"/>
      <c r="H961" s="64"/>
      <c r="I961" s="64"/>
      <c r="J961" s="64"/>
      <c r="K961" s="64"/>
      <c r="L961" s="64"/>
      <c r="M961" s="64"/>
      <c r="N961" s="64"/>
      <c r="O961" s="64"/>
      <c r="P961" s="64"/>
      <c r="Q961" s="64"/>
      <c r="R961" s="64"/>
      <c r="S961" s="64"/>
      <c r="T961" s="64"/>
      <c r="U961" s="64"/>
      <c r="V961" s="64"/>
      <c r="W961" s="64"/>
      <c r="X961" s="64"/>
      <c r="Y961" s="64"/>
      <c r="Z961" s="64"/>
    </row>
    <row r="962">
      <c r="A962" s="64"/>
      <c r="B962" s="64"/>
      <c r="C962" s="64"/>
      <c r="D962" s="64"/>
      <c r="E962" s="64"/>
      <c r="F962" s="64"/>
      <c r="G962" s="64"/>
      <c r="H962" s="64"/>
      <c r="I962" s="64"/>
      <c r="J962" s="64"/>
      <c r="K962" s="64"/>
      <c r="L962" s="64"/>
      <c r="M962" s="64"/>
      <c r="N962" s="64"/>
      <c r="O962" s="64"/>
      <c r="P962" s="64"/>
      <c r="Q962" s="64"/>
      <c r="R962" s="64"/>
      <c r="S962" s="64"/>
      <c r="T962" s="64"/>
      <c r="U962" s="64"/>
      <c r="V962" s="64"/>
      <c r="W962" s="64"/>
      <c r="X962" s="64"/>
      <c r="Y962" s="64"/>
      <c r="Z962" s="64"/>
    </row>
    <row r="963">
      <c r="A963" s="64"/>
      <c r="B963" s="64"/>
      <c r="C963" s="64"/>
      <c r="D963" s="64"/>
      <c r="E963" s="64"/>
      <c r="F963" s="64"/>
      <c r="G963" s="64"/>
      <c r="H963" s="64"/>
      <c r="I963" s="64"/>
      <c r="J963" s="64"/>
      <c r="K963" s="64"/>
      <c r="L963" s="64"/>
      <c r="M963" s="64"/>
      <c r="N963" s="64"/>
      <c r="O963" s="64"/>
      <c r="P963" s="64"/>
      <c r="Q963" s="64"/>
      <c r="R963" s="64"/>
      <c r="S963" s="64"/>
      <c r="T963" s="64"/>
      <c r="U963" s="64"/>
      <c r="V963" s="64"/>
      <c r="W963" s="64"/>
      <c r="X963" s="64"/>
      <c r="Y963" s="64"/>
      <c r="Z963" s="64"/>
    </row>
    <row r="964">
      <c r="A964" s="64"/>
      <c r="B964" s="64"/>
      <c r="C964" s="64"/>
      <c r="D964" s="64"/>
      <c r="E964" s="64"/>
      <c r="F964" s="64"/>
      <c r="G964" s="64"/>
      <c r="H964" s="64"/>
      <c r="I964" s="64"/>
      <c r="J964" s="64"/>
      <c r="K964" s="64"/>
      <c r="L964" s="64"/>
      <c r="M964" s="64"/>
      <c r="N964" s="64"/>
      <c r="O964" s="64"/>
      <c r="P964" s="64"/>
      <c r="Q964" s="64"/>
      <c r="R964" s="64"/>
      <c r="S964" s="64"/>
      <c r="T964" s="64"/>
      <c r="U964" s="64"/>
      <c r="V964" s="64"/>
      <c r="W964" s="64"/>
      <c r="X964" s="64"/>
      <c r="Y964" s="64"/>
      <c r="Z964" s="64"/>
    </row>
    <row r="965">
      <c r="A965" s="64"/>
      <c r="B965" s="64"/>
      <c r="C965" s="64"/>
      <c r="D965" s="64"/>
      <c r="E965" s="64"/>
      <c r="F965" s="64"/>
      <c r="G965" s="64"/>
      <c r="H965" s="64"/>
      <c r="I965" s="64"/>
      <c r="J965" s="64"/>
      <c r="K965" s="64"/>
      <c r="L965" s="64"/>
      <c r="M965" s="64"/>
      <c r="N965" s="64"/>
      <c r="O965" s="64"/>
      <c r="P965" s="64"/>
      <c r="Q965" s="64"/>
      <c r="R965" s="64"/>
      <c r="S965" s="64"/>
      <c r="T965" s="64"/>
      <c r="U965" s="64"/>
      <c r="V965" s="64"/>
      <c r="W965" s="64"/>
      <c r="X965" s="64"/>
      <c r="Y965" s="64"/>
      <c r="Z965" s="64"/>
    </row>
    <row r="966">
      <c r="A966" s="64"/>
      <c r="B966" s="64"/>
      <c r="C966" s="64"/>
      <c r="D966" s="64"/>
      <c r="E966" s="64"/>
      <c r="F966" s="64"/>
      <c r="G966" s="64"/>
      <c r="H966" s="64"/>
      <c r="I966" s="64"/>
      <c r="J966" s="64"/>
      <c r="K966" s="64"/>
      <c r="L966" s="64"/>
      <c r="M966" s="64"/>
      <c r="N966" s="64"/>
      <c r="O966" s="64"/>
      <c r="P966" s="64"/>
      <c r="Q966" s="64"/>
      <c r="R966" s="64"/>
      <c r="S966" s="64"/>
      <c r="T966" s="64"/>
      <c r="U966" s="64"/>
      <c r="V966" s="64"/>
      <c r="W966" s="64"/>
      <c r="X966" s="64"/>
      <c r="Y966" s="64"/>
      <c r="Z966" s="64"/>
    </row>
    <row r="967">
      <c r="A967" s="64"/>
      <c r="B967" s="64"/>
      <c r="C967" s="64"/>
      <c r="D967" s="64"/>
      <c r="E967" s="64"/>
      <c r="F967" s="64"/>
      <c r="G967" s="64"/>
      <c r="H967" s="64"/>
      <c r="I967" s="64"/>
      <c r="J967" s="64"/>
      <c r="K967" s="64"/>
      <c r="L967" s="64"/>
      <c r="M967" s="64"/>
      <c r="N967" s="64"/>
      <c r="O967" s="64"/>
      <c r="P967" s="64"/>
      <c r="Q967" s="64"/>
      <c r="R967" s="64"/>
      <c r="S967" s="64"/>
      <c r="T967" s="64"/>
      <c r="U967" s="64"/>
      <c r="V967" s="64"/>
      <c r="W967" s="64"/>
      <c r="X967" s="64"/>
      <c r="Y967" s="64"/>
      <c r="Z967" s="64"/>
    </row>
    <row r="968">
      <c r="A968" s="64"/>
      <c r="B968" s="64"/>
      <c r="C968" s="64"/>
      <c r="D968" s="64"/>
      <c r="E968" s="64"/>
      <c r="F968" s="64"/>
      <c r="G968" s="64"/>
      <c r="H968" s="64"/>
      <c r="I968" s="64"/>
      <c r="J968" s="64"/>
      <c r="K968" s="64"/>
      <c r="L968" s="64"/>
      <c r="M968" s="64"/>
      <c r="N968" s="64"/>
      <c r="O968" s="64"/>
      <c r="P968" s="64"/>
      <c r="Q968" s="64"/>
      <c r="R968" s="64"/>
      <c r="S968" s="64"/>
      <c r="T968" s="64"/>
      <c r="U968" s="64"/>
      <c r="V968" s="64"/>
      <c r="W968" s="64"/>
      <c r="X968" s="64"/>
      <c r="Y968" s="64"/>
      <c r="Z968" s="64"/>
    </row>
    <row r="969">
      <c r="A969" s="64"/>
      <c r="B969" s="64"/>
      <c r="C969" s="64"/>
      <c r="D969" s="64"/>
      <c r="E969" s="64"/>
      <c r="F969" s="64"/>
      <c r="G969" s="64"/>
      <c r="H969" s="64"/>
      <c r="I969" s="64"/>
      <c r="J969" s="64"/>
      <c r="K969" s="64"/>
      <c r="L969" s="64"/>
      <c r="M969" s="64"/>
      <c r="N969" s="64"/>
      <c r="O969" s="64"/>
      <c r="P969" s="64"/>
      <c r="Q969" s="64"/>
      <c r="R969" s="64"/>
      <c r="S969" s="64"/>
      <c r="T969" s="64"/>
      <c r="U969" s="64"/>
      <c r="V969" s="64"/>
      <c r="W969" s="64"/>
      <c r="X969" s="64"/>
      <c r="Y969" s="64"/>
      <c r="Z969" s="64"/>
    </row>
    <row r="970">
      <c r="A970" s="64"/>
      <c r="B970" s="64"/>
      <c r="C970" s="64"/>
      <c r="D970" s="64"/>
      <c r="E970" s="64"/>
      <c r="F970" s="64"/>
      <c r="G970" s="64"/>
      <c r="H970" s="64"/>
      <c r="I970" s="64"/>
      <c r="J970" s="64"/>
      <c r="K970" s="64"/>
      <c r="L970" s="64"/>
      <c r="M970" s="64"/>
      <c r="N970" s="64"/>
      <c r="O970" s="64"/>
      <c r="P970" s="64"/>
      <c r="Q970" s="64"/>
      <c r="R970" s="64"/>
      <c r="S970" s="64"/>
      <c r="T970" s="64"/>
      <c r="U970" s="64"/>
      <c r="V970" s="64"/>
      <c r="W970" s="64"/>
      <c r="X970" s="64"/>
      <c r="Y970" s="64"/>
      <c r="Z970" s="64"/>
    </row>
    <row r="971">
      <c r="A971" s="64"/>
      <c r="B971" s="64"/>
      <c r="C971" s="64"/>
      <c r="D971" s="64"/>
      <c r="E971" s="64"/>
      <c r="F971" s="64"/>
      <c r="G971" s="64"/>
      <c r="H971" s="64"/>
      <c r="I971" s="64"/>
      <c r="J971" s="64"/>
      <c r="K971" s="64"/>
      <c r="L971" s="64"/>
      <c r="M971" s="64"/>
      <c r="N971" s="64"/>
      <c r="O971" s="64"/>
      <c r="P971" s="64"/>
      <c r="Q971" s="64"/>
      <c r="R971" s="64"/>
      <c r="S971" s="64"/>
      <c r="T971" s="64"/>
      <c r="U971" s="64"/>
      <c r="V971" s="64"/>
      <c r="W971" s="64"/>
      <c r="X971" s="64"/>
      <c r="Y971" s="64"/>
      <c r="Z971" s="64"/>
    </row>
    <row r="972">
      <c r="A972" s="64"/>
      <c r="B972" s="64"/>
      <c r="C972" s="64"/>
      <c r="D972" s="64"/>
      <c r="E972" s="64"/>
      <c r="F972" s="64"/>
      <c r="G972" s="64"/>
      <c r="H972" s="64"/>
      <c r="I972" s="64"/>
      <c r="J972" s="64"/>
      <c r="K972" s="64"/>
      <c r="L972" s="64"/>
      <c r="M972" s="64"/>
      <c r="N972" s="64"/>
      <c r="O972" s="64"/>
      <c r="P972" s="64"/>
      <c r="Q972" s="64"/>
      <c r="R972" s="64"/>
      <c r="S972" s="64"/>
      <c r="T972" s="64"/>
      <c r="U972" s="64"/>
      <c r="V972" s="64"/>
      <c r="W972" s="64"/>
      <c r="X972" s="64"/>
      <c r="Y972" s="64"/>
      <c r="Z972" s="64"/>
    </row>
    <row r="973">
      <c r="A973" s="64"/>
      <c r="B973" s="64"/>
      <c r="C973" s="64"/>
      <c r="D973" s="64"/>
      <c r="E973" s="64"/>
      <c r="F973" s="64"/>
      <c r="G973" s="64"/>
      <c r="H973" s="64"/>
      <c r="I973" s="64"/>
      <c r="J973" s="64"/>
      <c r="K973" s="64"/>
      <c r="L973" s="64"/>
      <c r="M973" s="64"/>
      <c r="N973" s="64"/>
      <c r="O973" s="64"/>
      <c r="P973" s="64"/>
      <c r="Q973" s="64"/>
      <c r="R973" s="64"/>
      <c r="S973" s="64"/>
      <c r="T973" s="64"/>
      <c r="U973" s="64"/>
      <c r="V973" s="64"/>
      <c r="W973" s="64"/>
      <c r="X973" s="64"/>
      <c r="Y973" s="64"/>
      <c r="Z973" s="64"/>
    </row>
    <row r="974">
      <c r="A974" s="64"/>
      <c r="B974" s="64"/>
      <c r="C974" s="64"/>
      <c r="D974" s="64"/>
      <c r="E974" s="64"/>
      <c r="F974" s="64"/>
      <c r="G974" s="64"/>
      <c r="H974" s="64"/>
      <c r="I974" s="64"/>
      <c r="J974" s="64"/>
      <c r="K974" s="64"/>
      <c r="L974" s="64"/>
      <c r="M974" s="64"/>
      <c r="N974" s="64"/>
      <c r="O974" s="64"/>
      <c r="P974" s="64"/>
      <c r="Q974" s="64"/>
      <c r="R974" s="64"/>
      <c r="S974" s="64"/>
      <c r="T974" s="64"/>
      <c r="U974" s="64"/>
      <c r="V974" s="64"/>
      <c r="W974" s="64"/>
      <c r="X974" s="64"/>
      <c r="Y974" s="64"/>
      <c r="Z974" s="64"/>
    </row>
    <row r="975">
      <c r="A975" s="64"/>
      <c r="B975" s="64"/>
      <c r="C975" s="64"/>
      <c r="D975" s="64"/>
      <c r="E975" s="64"/>
      <c r="F975" s="64"/>
      <c r="G975" s="64"/>
      <c r="H975" s="64"/>
      <c r="I975" s="64"/>
      <c r="J975" s="64"/>
      <c r="K975" s="64"/>
      <c r="L975" s="64"/>
      <c r="M975" s="64"/>
      <c r="N975" s="64"/>
      <c r="O975" s="64"/>
      <c r="P975" s="64"/>
      <c r="Q975" s="64"/>
      <c r="R975" s="64"/>
      <c r="S975" s="64"/>
      <c r="T975" s="64"/>
      <c r="U975" s="64"/>
      <c r="V975" s="64"/>
      <c r="W975" s="64"/>
      <c r="X975" s="64"/>
      <c r="Y975" s="64"/>
      <c r="Z975" s="64"/>
    </row>
    <row r="976">
      <c r="A976" s="64"/>
      <c r="B976" s="64"/>
      <c r="C976" s="64"/>
      <c r="D976" s="64"/>
      <c r="E976" s="64"/>
      <c r="F976" s="64"/>
      <c r="G976" s="64"/>
      <c r="H976" s="64"/>
      <c r="I976" s="64"/>
      <c r="J976" s="64"/>
      <c r="K976" s="64"/>
      <c r="L976" s="64"/>
      <c r="M976" s="64"/>
      <c r="N976" s="64"/>
      <c r="O976" s="64"/>
      <c r="P976" s="64"/>
      <c r="Q976" s="64"/>
      <c r="R976" s="64"/>
      <c r="S976" s="64"/>
      <c r="T976" s="64"/>
      <c r="U976" s="64"/>
      <c r="V976" s="64"/>
      <c r="W976" s="64"/>
      <c r="X976" s="64"/>
      <c r="Y976" s="64"/>
      <c r="Z976" s="64"/>
    </row>
    <row r="977">
      <c r="A977" s="64"/>
      <c r="B977" s="64"/>
      <c r="C977" s="64"/>
      <c r="D977" s="64"/>
      <c r="E977" s="64"/>
      <c r="F977" s="64"/>
      <c r="G977" s="64"/>
      <c r="H977" s="64"/>
      <c r="I977" s="64"/>
      <c r="J977" s="64"/>
      <c r="K977" s="64"/>
      <c r="L977" s="64"/>
      <c r="M977" s="64"/>
      <c r="N977" s="64"/>
      <c r="O977" s="64"/>
      <c r="P977" s="64"/>
      <c r="Q977" s="64"/>
      <c r="R977" s="64"/>
      <c r="S977" s="64"/>
      <c r="T977" s="64"/>
      <c r="U977" s="64"/>
      <c r="V977" s="64"/>
      <c r="W977" s="64"/>
      <c r="X977" s="64"/>
      <c r="Y977" s="64"/>
      <c r="Z977" s="64"/>
    </row>
    <row r="978">
      <c r="A978" s="64"/>
      <c r="B978" s="64"/>
      <c r="C978" s="64"/>
      <c r="D978" s="64"/>
      <c r="E978" s="64"/>
      <c r="F978" s="64"/>
      <c r="G978" s="64"/>
      <c r="H978" s="64"/>
      <c r="I978" s="64"/>
      <c r="J978" s="64"/>
      <c r="K978" s="64"/>
      <c r="L978" s="64"/>
      <c r="M978" s="64"/>
      <c r="N978" s="64"/>
      <c r="O978" s="64"/>
      <c r="P978" s="64"/>
      <c r="Q978" s="64"/>
      <c r="R978" s="64"/>
      <c r="S978" s="64"/>
      <c r="T978" s="64"/>
      <c r="U978" s="64"/>
      <c r="V978" s="64"/>
      <c r="W978" s="64"/>
      <c r="X978" s="64"/>
      <c r="Y978" s="64"/>
      <c r="Z978" s="64"/>
    </row>
    <row r="979">
      <c r="A979" s="64"/>
      <c r="B979" s="64"/>
      <c r="C979" s="64"/>
      <c r="D979" s="64"/>
      <c r="E979" s="64"/>
      <c r="F979" s="64"/>
      <c r="G979" s="64"/>
      <c r="H979" s="64"/>
      <c r="I979" s="64"/>
      <c r="J979" s="64"/>
      <c r="K979" s="64"/>
      <c r="L979" s="64"/>
      <c r="M979" s="64"/>
      <c r="N979" s="64"/>
      <c r="O979" s="64"/>
      <c r="P979" s="64"/>
      <c r="Q979" s="64"/>
      <c r="R979" s="64"/>
      <c r="S979" s="64"/>
      <c r="T979" s="64"/>
      <c r="U979" s="64"/>
      <c r="V979" s="64"/>
      <c r="W979" s="64"/>
      <c r="X979" s="64"/>
      <c r="Y979" s="64"/>
      <c r="Z979" s="64"/>
    </row>
    <row r="980">
      <c r="A980" s="64"/>
      <c r="B980" s="64"/>
      <c r="C980" s="64"/>
      <c r="D980" s="64"/>
      <c r="E980" s="64"/>
      <c r="F980" s="64"/>
      <c r="G980" s="64"/>
      <c r="H980" s="64"/>
      <c r="I980" s="64"/>
      <c r="J980" s="64"/>
      <c r="K980" s="64"/>
      <c r="L980" s="64"/>
      <c r="M980" s="64"/>
      <c r="N980" s="64"/>
      <c r="O980" s="64"/>
      <c r="P980" s="64"/>
      <c r="Q980" s="64"/>
      <c r="R980" s="64"/>
      <c r="S980" s="64"/>
      <c r="T980" s="64"/>
      <c r="U980" s="64"/>
      <c r="V980" s="64"/>
      <c r="W980" s="64"/>
      <c r="X980" s="64"/>
      <c r="Y980" s="64"/>
      <c r="Z980" s="64"/>
    </row>
    <row r="981">
      <c r="A981" s="64"/>
      <c r="B981" s="64"/>
      <c r="C981" s="64"/>
      <c r="D981" s="64"/>
      <c r="E981" s="64"/>
      <c r="F981" s="64"/>
      <c r="G981" s="64"/>
      <c r="H981" s="64"/>
      <c r="I981" s="64"/>
      <c r="J981" s="64"/>
      <c r="K981" s="64"/>
      <c r="L981" s="64"/>
      <c r="M981" s="64"/>
      <c r="N981" s="64"/>
      <c r="O981" s="64"/>
      <c r="P981" s="64"/>
      <c r="Q981" s="64"/>
      <c r="R981" s="64"/>
      <c r="S981" s="64"/>
      <c r="T981" s="64"/>
      <c r="U981" s="64"/>
      <c r="V981" s="64"/>
      <c r="W981" s="64"/>
      <c r="X981" s="64"/>
      <c r="Y981" s="64"/>
      <c r="Z981" s="64"/>
    </row>
    <row r="982">
      <c r="A982" s="64"/>
      <c r="B982" s="64"/>
      <c r="C982" s="64"/>
      <c r="D982" s="64"/>
      <c r="E982" s="64"/>
      <c r="F982" s="64"/>
      <c r="G982" s="64"/>
      <c r="H982" s="64"/>
      <c r="I982" s="64"/>
      <c r="J982" s="64"/>
      <c r="K982" s="64"/>
      <c r="L982" s="64"/>
      <c r="M982" s="64"/>
      <c r="N982" s="64"/>
      <c r="O982" s="64"/>
      <c r="P982" s="64"/>
      <c r="Q982" s="64"/>
      <c r="R982" s="64"/>
      <c r="S982" s="64"/>
      <c r="T982" s="64"/>
      <c r="U982" s="64"/>
      <c r="V982" s="64"/>
      <c r="W982" s="64"/>
      <c r="X982" s="64"/>
      <c r="Y982" s="64"/>
      <c r="Z982" s="64"/>
    </row>
    <row r="983">
      <c r="A983" s="64"/>
      <c r="B983" s="64"/>
      <c r="C983" s="64"/>
      <c r="D983" s="64"/>
      <c r="E983" s="64"/>
      <c r="F983" s="64"/>
      <c r="G983" s="64"/>
      <c r="H983" s="64"/>
      <c r="I983" s="64"/>
      <c r="J983" s="64"/>
      <c r="K983" s="64"/>
      <c r="L983" s="64"/>
      <c r="M983" s="64"/>
      <c r="N983" s="64"/>
      <c r="O983" s="64"/>
      <c r="P983" s="64"/>
      <c r="Q983" s="64"/>
      <c r="R983" s="64"/>
      <c r="S983" s="64"/>
      <c r="T983" s="64"/>
      <c r="U983" s="64"/>
      <c r="V983" s="64"/>
      <c r="W983" s="64"/>
      <c r="X983" s="64"/>
      <c r="Y983" s="64"/>
      <c r="Z983" s="64"/>
    </row>
    <row r="984">
      <c r="A984" s="64"/>
      <c r="B984" s="64"/>
      <c r="C984" s="64"/>
      <c r="D984" s="64"/>
      <c r="E984" s="64"/>
      <c r="F984" s="64"/>
      <c r="G984" s="64"/>
      <c r="H984" s="64"/>
      <c r="I984" s="64"/>
      <c r="J984" s="64"/>
      <c r="K984" s="64"/>
      <c r="L984" s="64"/>
      <c r="M984" s="64"/>
      <c r="N984" s="64"/>
      <c r="O984" s="64"/>
      <c r="P984" s="64"/>
      <c r="Q984" s="64"/>
      <c r="R984" s="64"/>
      <c r="S984" s="64"/>
      <c r="T984" s="64"/>
      <c r="U984" s="64"/>
      <c r="V984" s="64"/>
      <c r="W984" s="64"/>
      <c r="X984" s="64"/>
      <c r="Y984" s="64"/>
      <c r="Z984" s="64"/>
    </row>
    <row r="985">
      <c r="A985" s="64"/>
      <c r="B985" s="64"/>
      <c r="C985" s="64"/>
      <c r="D985" s="64"/>
      <c r="E985" s="64"/>
      <c r="F985" s="64"/>
      <c r="G985" s="64"/>
      <c r="H985" s="64"/>
      <c r="I985" s="64"/>
      <c r="J985" s="64"/>
      <c r="K985" s="64"/>
      <c r="L985" s="64"/>
      <c r="M985" s="64"/>
      <c r="N985" s="64"/>
      <c r="O985" s="64"/>
      <c r="P985" s="64"/>
      <c r="Q985" s="64"/>
      <c r="R985" s="64"/>
      <c r="S985" s="64"/>
      <c r="T985" s="64"/>
      <c r="U985" s="64"/>
      <c r="V985" s="64"/>
      <c r="W985" s="64"/>
      <c r="X985" s="64"/>
      <c r="Y985" s="64"/>
      <c r="Z985" s="64"/>
    </row>
    <row r="986">
      <c r="A986" s="64"/>
      <c r="B986" s="64"/>
      <c r="C986" s="64"/>
      <c r="D986" s="64"/>
      <c r="E986" s="64"/>
      <c r="F986" s="64"/>
      <c r="G986" s="64"/>
      <c r="H986" s="64"/>
      <c r="I986" s="64"/>
      <c r="J986" s="64"/>
      <c r="K986" s="64"/>
      <c r="L986" s="64"/>
      <c r="M986" s="64"/>
      <c r="N986" s="64"/>
      <c r="O986" s="64"/>
      <c r="P986" s="64"/>
      <c r="Q986" s="64"/>
      <c r="R986" s="64"/>
      <c r="S986" s="64"/>
      <c r="T986" s="64"/>
      <c r="U986" s="64"/>
      <c r="V986" s="64"/>
      <c r="W986" s="64"/>
      <c r="X986" s="64"/>
      <c r="Y986" s="64"/>
      <c r="Z986" s="64"/>
    </row>
    <row r="987">
      <c r="A987" s="64"/>
      <c r="B987" s="64"/>
      <c r="C987" s="64"/>
      <c r="D987" s="64"/>
      <c r="E987" s="64"/>
      <c r="F987" s="64"/>
      <c r="G987" s="64"/>
      <c r="H987" s="64"/>
      <c r="I987" s="64"/>
      <c r="J987" s="64"/>
      <c r="K987" s="64"/>
      <c r="L987" s="64"/>
      <c r="M987" s="64"/>
      <c r="N987" s="64"/>
      <c r="O987" s="64"/>
      <c r="P987" s="64"/>
      <c r="Q987" s="64"/>
      <c r="R987" s="64"/>
      <c r="S987" s="64"/>
      <c r="T987" s="64"/>
      <c r="U987" s="64"/>
      <c r="V987" s="64"/>
      <c r="W987" s="64"/>
      <c r="X987" s="64"/>
      <c r="Y987" s="64"/>
      <c r="Z987" s="64"/>
    </row>
    <row r="988">
      <c r="A988" s="64"/>
      <c r="B988" s="64"/>
      <c r="C988" s="64"/>
      <c r="D988" s="64"/>
      <c r="E988" s="64"/>
      <c r="F988" s="64"/>
      <c r="G988" s="64"/>
      <c r="H988" s="64"/>
      <c r="I988" s="64"/>
      <c r="J988" s="64"/>
      <c r="K988" s="64"/>
      <c r="L988" s="64"/>
      <c r="M988" s="64"/>
      <c r="N988" s="64"/>
      <c r="O988" s="64"/>
      <c r="P988" s="64"/>
      <c r="Q988" s="64"/>
      <c r="R988" s="64"/>
      <c r="S988" s="64"/>
      <c r="T988" s="64"/>
      <c r="U988" s="64"/>
      <c r="V988" s="64"/>
      <c r="W988" s="64"/>
      <c r="X988" s="64"/>
      <c r="Y988" s="64"/>
      <c r="Z988" s="64"/>
    </row>
    <row r="989">
      <c r="A989" s="64"/>
      <c r="B989" s="64"/>
      <c r="C989" s="64"/>
      <c r="D989" s="64"/>
      <c r="E989" s="64"/>
      <c r="F989" s="64"/>
      <c r="G989" s="64"/>
      <c r="H989" s="64"/>
      <c r="I989" s="64"/>
      <c r="J989" s="64"/>
      <c r="K989" s="64"/>
      <c r="L989" s="64"/>
      <c r="M989" s="64"/>
      <c r="N989" s="64"/>
      <c r="O989" s="64"/>
      <c r="P989" s="64"/>
      <c r="Q989" s="64"/>
      <c r="R989" s="64"/>
      <c r="S989" s="64"/>
      <c r="T989" s="64"/>
      <c r="U989" s="64"/>
      <c r="V989" s="64"/>
      <c r="W989" s="64"/>
      <c r="X989" s="64"/>
      <c r="Y989" s="64"/>
      <c r="Z989" s="64"/>
    </row>
    <row r="990">
      <c r="A990" s="64"/>
      <c r="B990" s="64"/>
      <c r="C990" s="64"/>
      <c r="D990" s="64"/>
      <c r="E990" s="64"/>
      <c r="F990" s="64"/>
      <c r="G990" s="64"/>
      <c r="H990" s="64"/>
      <c r="I990" s="64"/>
      <c r="J990" s="64"/>
      <c r="K990" s="64"/>
      <c r="L990" s="64"/>
      <c r="M990" s="64"/>
      <c r="N990" s="64"/>
      <c r="O990" s="64"/>
      <c r="P990" s="64"/>
      <c r="Q990" s="64"/>
      <c r="R990" s="64"/>
      <c r="S990" s="64"/>
      <c r="T990" s="64"/>
      <c r="U990" s="64"/>
      <c r="V990" s="64"/>
      <c r="W990" s="64"/>
      <c r="X990" s="64"/>
      <c r="Y990" s="64"/>
      <c r="Z990" s="64"/>
    </row>
    <row r="991">
      <c r="A991" s="64"/>
      <c r="B991" s="64"/>
      <c r="C991" s="64"/>
      <c r="D991" s="64"/>
      <c r="E991" s="64"/>
      <c r="F991" s="64"/>
      <c r="G991" s="64"/>
      <c r="H991" s="64"/>
      <c r="I991" s="64"/>
      <c r="J991" s="64"/>
      <c r="K991" s="64"/>
      <c r="L991" s="64"/>
      <c r="M991" s="64"/>
      <c r="N991" s="64"/>
      <c r="O991" s="64"/>
      <c r="P991" s="64"/>
      <c r="Q991" s="64"/>
      <c r="R991" s="64"/>
      <c r="S991" s="64"/>
      <c r="T991" s="64"/>
      <c r="U991" s="64"/>
      <c r="V991" s="64"/>
      <c r="W991" s="64"/>
      <c r="X991" s="64"/>
      <c r="Y991" s="64"/>
      <c r="Z991" s="64"/>
    </row>
    <row r="992">
      <c r="A992" s="64"/>
      <c r="B992" s="64"/>
      <c r="C992" s="64"/>
      <c r="D992" s="64"/>
      <c r="E992" s="64"/>
      <c r="F992" s="64"/>
      <c r="G992" s="64"/>
      <c r="H992" s="64"/>
      <c r="I992" s="64"/>
      <c r="J992" s="64"/>
      <c r="K992" s="64"/>
      <c r="L992" s="64"/>
      <c r="M992" s="64"/>
      <c r="N992" s="64"/>
      <c r="O992" s="64"/>
      <c r="P992" s="64"/>
      <c r="Q992" s="64"/>
      <c r="R992" s="64"/>
      <c r="S992" s="64"/>
      <c r="T992" s="64"/>
      <c r="U992" s="64"/>
      <c r="V992" s="64"/>
      <c r="W992" s="64"/>
      <c r="X992" s="64"/>
      <c r="Y992" s="64"/>
      <c r="Z992" s="64"/>
    </row>
    <row r="993">
      <c r="A993" s="64"/>
      <c r="B993" s="64"/>
      <c r="C993" s="64"/>
      <c r="D993" s="64"/>
      <c r="E993" s="64"/>
      <c r="F993" s="64"/>
      <c r="G993" s="64"/>
      <c r="H993" s="64"/>
      <c r="I993" s="64"/>
      <c r="J993" s="64"/>
      <c r="K993" s="64"/>
      <c r="L993" s="64"/>
      <c r="M993" s="64"/>
      <c r="N993" s="64"/>
      <c r="O993" s="64"/>
      <c r="P993" s="64"/>
      <c r="Q993" s="64"/>
      <c r="R993" s="64"/>
      <c r="S993" s="64"/>
      <c r="T993" s="64"/>
      <c r="U993" s="64"/>
      <c r="V993" s="64"/>
      <c r="W993" s="64"/>
      <c r="X993" s="64"/>
      <c r="Y993" s="64"/>
      <c r="Z993" s="64"/>
    </row>
    <row r="994">
      <c r="A994" s="64"/>
      <c r="B994" s="64"/>
      <c r="C994" s="64"/>
      <c r="D994" s="64"/>
      <c r="E994" s="64"/>
      <c r="F994" s="64"/>
      <c r="G994" s="64"/>
      <c r="H994" s="64"/>
      <c r="I994" s="64"/>
      <c r="J994" s="64"/>
      <c r="K994" s="64"/>
      <c r="L994" s="64"/>
      <c r="M994" s="64"/>
      <c r="N994" s="64"/>
      <c r="O994" s="64"/>
      <c r="P994" s="64"/>
      <c r="Q994" s="64"/>
      <c r="R994" s="64"/>
      <c r="S994" s="64"/>
      <c r="T994" s="64"/>
      <c r="U994" s="64"/>
      <c r="V994" s="64"/>
      <c r="W994" s="64"/>
      <c r="X994" s="64"/>
      <c r="Y994" s="64"/>
      <c r="Z994" s="64"/>
    </row>
    <row r="995">
      <c r="A995" s="64"/>
      <c r="B995" s="64"/>
      <c r="C995" s="64"/>
      <c r="D995" s="64"/>
      <c r="E995" s="64"/>
      <c r="F995" s="64"/>
      <c r="G995" s="64"/>
      <c r="H995" s="64"/>
      <c r="I995" s="64"/>
      <c r="J995" s="64"/>
      <c r="K995" s="64"/>
      <c r="L995" s="64"/>
      <c r="M995" s="64"/>
      <c r="N995" s="64"/>
      <c r="O995" s="64"/>
      <c r="P995" s="64"/>
      <c r="Q995" s="64"/>
      <c r="R995" s="64"/>
      <c r="S995" s="64"/>
      <c r="T995" s="64"/>
      <c r="U995" s="64"/>
      <c r="V995" s="64"/>
      <c r="W995" s="64"/>
      <c r="X995" s="64"/>
      <c r="Y995" s="64"/>
      <c r="Z995" s="64"/>
    </row>
    <row r="996">
      <c r="A996" s="64"/>
      <c r="B996" s="64"/>
      <c r="C996" s="64"/>
      <c r="D996" s="64"/>
      <c r="E996" s="64"/>
      <c r="F996" s="64"/>
      <c r="G996" s="64"/>
      <c r="H996" s="64"/>
      <c r="I996" s="64"/>
      <c r="J996" s="64"/>
      <c r="K996" s="64"/>
      <c r="L996" s="64"/>
      <c r="M996" s="64"/>
      <c r="N996" s="64"/>
      <c r="O996" s="64"/>
      <c r="P996" s="64"/>
      <c r="Q996" s="64"/>
      <c r="R996" s="64"/>
      <c r="S996" s="64"/>
      <c r="T996" s="64"/>
      <c r="U996" s="64"/>
      <c r="V996" s="64"/>
      <c r="W996" s="64"/>
      <c r="X996" s="64"/>
      <c r="Y996" s="64"/>
      <c r="Z996" s="64"/>
    </row>
    <row r="997">
      <c r="A997" s="64"/>
      <c r="B997" s="64"/>
      <c r="C997" s="64"/>
      <c r="D997" s="64"/>
      <c r="E997" s="64"/>
      <c r="F997" s="64"/>
      <c r="G997" s="64"/>
      <c r="H997" s="64"/>
      <c r="I997" s="64"/>
      <c r="J997" s="64"/>
      <c r="K997" s="64"/>
      <c r="L997" s="64"/>
      <c r="M997" s="64"/>
      <c r="N997" s="64"/>
      <c r="O997" s="64"/>
      <c r="P997" s="64"/>
      <c r="Q997" s="64"/>
      <c r="R997" s="64"/>
      <c r="S997" s="64"/>
      <c r="T997" s="64"/>
      <c r="U997" s="64"/>
      <c r="V997" s="64"/>
      <c r="W997" s="64"/>
      <c r="X997" s="64"/>
      <c r="Y997" s="64"/>
      <c r="Z997" s="64"/>
    </row>
    <row r="998">
      <c r="A998" s="64"/>
      <c r="B998" s="64"/>
      <c r="C998" s="64"/>
      <c r="D998" s="64"/>
      <c r="E998" s="64"/>
      <c r="F998" s="64"/>
      <c r="G998" s="64"/>
      <c r="H998" s="64"/>
      <c r="I998" s="64"/>
      <c r="J998" s="64"/>
      <c r="K998" s="64"/>
      <c r="L998" s="64"/>
      <c r="M998" s="64"/>
      <c r="N998" s="64"/>
      <c r="O998" s="64"/>
      <c r="P998" s="64"/>
      <c r="Q998" s="64"/>
      <c r="R998" s="64"/>
      <c r="S998" s="64"/>
      <c r="T998" s="64"/>
      <c r="U998" s="64"/>
      <c r="V998" s="64"/>
      <c r="W998" s="64"/>
      <c r="X998" s="64"/>
      <c r="Y998" s="64"/>
      <c r="Z998" s="64"/>
    </row>
    <row r="999">
      <c r="A999" s="64"/>
      <c r="B999" s="64"/>
      <c r="C999" s="64"/>
      <c r="D999" s="64"/>
      <c r="E999" s="64"/>
      <c r="F999" s="64"/>
      <c r="G999" s="64"/>
      <c r="H999" s="64"/>
      <c r="I999" s="64"/>
      <c r="J999" s="64"/>
      <c r="K999" s="64"/>
      <c r="L999" s="64"/>
      <c r="M999" s="64"/>
      <c r="N999" s="64"/>
      <c r="O999" s="64"/>
      <c r="P999" s="64"/>
      <c r="Q999" s="64"/>
      <c r="R999" s="64"/>
      <c r="S999" s="64"/>
      <c r="T999" s="64"/>
      <c r="U999" s="64"/>
      <c r="V999" s="64"/>
      <c r="W999" s="64"/>
      <c r="X999" s="64"/>
      <c r="Y999" s="64"/>
      <c r="Z999" s="64"/>
    </row>
    <row r="1000">
      <c r="A1000" s="64"/>
      <c r="B1000" s="64"/>
      <c r="C1000" s="64"/>
      <c r="D1000" s="64"/>
      <c r="E1000" s="64"/>
      <c r="F1000" s="64"/>
      <c r="G1000" s="64"/>
      <c r="H1000" s="64"/>
      <c r="I1000" s="64"/>
      <c r="J1000" s="64"/>
      <c r="K1000" s="64"/>
      <c r="L1000" s="64"/>
      <c r="M1000" s="64"/>
      <c r="N1000" s="64"/>
      <c r="O1000" s="64"/>
      <c r="P1000" s="64"/>
      <c r="Q1000" s="64"/>
      <c r="R1000" s="64"/>
      <c r="S1000" s="64"/>
      <c r="T1000" s="64"/>
      <c r="U1000" s="64"/>
      <c r="V1000" s="64"/>
      <c r="W1000" s="64"/>
      <c r="X1000" s="64"/>
      <c r="Y1000" s="64"/>
      <c r="Z1000" s="64"/>
    </row>
    <row r="1001">
      <c r="A1001" s="64"/>
      <c r="B1001" s="64"/>
      <c r="C1001" s="64"/>
      <c r="D1001" s="64"/>
      <c r="E1001" s="64"/>
      <c r="F1001" s="64"/>
      <c r="G1001" s="64"/>
      <c r="H1001" s="64"/>
      <c r="I1001" s="64"/>
      <c r="J1001" s="64"/>
      <c r="K1001" s="64"/>
      <c r="L1001" s="64"/>
      <c r="M1001" s="64"/>
      <c r="N1001" s="64"/>
      <c r="O1001" s="64"/>
      <c r="P1001" s="64"/>
      <c r="Q1001" s="64"/>
      <c r="R1001" s="64"/>
      <c r="S1001" s="64"/>
      <c r="T1001" s="64"/>
      <c r="U1001" s="64"/>
      <c r="V1001" s="64"/>
      <c r="W1001" s="64"/>
      <c r="X1001" s="64"/>
      <c r="Y1001" s="64"/>
      <c r="Z1001" s="64"/>
    </row>
    <row r="1002">
      <c r="A1002" s="64"/>
      <c r="B1002" s="64"/>
      <c r="C1002" s="64"/>
      <c r="D1002" s="64"/>
      <c r="E1002" s="64"/>
      <c r="F1002" s="64"/>
      <c r="G1002" s="64"/>
      <c r="H1002" s="64"/>
      <c r="I1002" s="64"/>
      <c r="J1002" s="64"/>
      <c r="K1002" s="64"/>
      <c r="L1002" s="64"/>
      <c r="M1002" s="64"/>
      <c r="N1002" s="64"/>
      <c r="O1002" s="64"/>
      <c r="P1002" s="64"/>
      <c r="Q1002" s="64"/>
      <c r="R1002" s="64"/>
      <c r="S1002" s="64"/>
      <c r="T1002" s="64"/>
      <c r="U1002" s="64"/>
      <c r="V1002" s="64"/>
      <c r="W1002" s="64"/>
      <c r="X1002" s="64"/>
      <c r="Y1002" s="64"/>
      <c r="Z1002" s="64"/>
    </row>
    <row r="1003">
      <c r="A1003" s="64"/>
      <c r="B1003" s="64"/>
      <c r="C1003" s="64"/>
      <c r="D1003" s="64"/>
      <c r="E1003" s="64"/>
      <c r="F1003" s="64"/>
      <c r="G1003" s="64"/>
      <c r="H1003" s="64"/>
      <c r="I1003" s="64"/>
      <c r="J1003" s="64"/>
      <c r="K1003" s="64"/>
      <c r="L1003" s="64"/>
      <c r="M1003" s="64"/>
      <c r="N1003" s="64"/>
      <c r="O1003" s="64"/>
      <c r="P1003" s="64"/>
      <c r="Q1003" s="64"/>
      <c r="R1003" s="64"/>
      <c r="S1003" s="64"/>
      <c r="T1003" s="64"/>
      <c r="U1003" s="64"/>
      <c r="V1003" s="64"/>
      <c r="W1003" s="64"/>
      <c r="X1003" s="64"/>
      <c r="Y1003" s="64"/>
      <c r="Z1003" s="64"/>
    </row>
    <row r="1004">
      <c r="A1004" s="64"/>
      <c r="B1004" s="64"/>
      <c r="C1004" s="64"/>
      <c r="D1004" s="64"/>
      <c r="E1004" s="64"/>
      <c r="F1004" s="64"/>
      <c r="G1004" s="64"/>
      <c r="H1004" s="64"/>
      <c r="I1004" s="64"/>
      <c r="J1004" s="64"/>
      <c r="K1004" s="64"/>
      <c r="L1004" s="64"/>
      <c r="M1004" s="64"/>
      <c r="N1004" s="64"/>
      <c r="O1004" s="64"/>
      <c r="P1004" s="64"/>
      <c r="Q1004" s="64"/>
      <c r="R1004" s="64"/>
      <c r="S1004" s="64"/>
      <c r="T1004" s="64"/>
      <c r="U1004" s="64"/>
      <c r="V1004" s="64"/>
      <c r="W1004" s="64"/>
      <c r="X1004" s="64"/>
      <c r="Y1004" s="64"/>
      <c r="Z1004" s="64"/>
    </row>
    <row r="1005">
      <c r="A1005" s="64"/>
      <c r="B1005" s="64"/>
      <c r="C1005" s="64"/>
      <c r="D1005" s="64"/>
      <c r="E1005" s="64"/>
      <c r="F1005" s="64"/>
      <c r="G1005" s="64"/>
      <c r="H1005" s="64"/>
      <c r="I1005" s="64"/>
      <c r="J1005" s="64"/>
      <c r="K1005" s="64"/>
      <c r="L1005" s="64"/>
      <c r="M1005" s="64"/>
      <c r="N1005" s="64"/>
      <c r="O1005" s="64"/>
      <c r="P1005" s="64"/>
      <c r="Q1005" s="64"/>
      <c r="R1005" s="64"/>
      <c r="S1005" s="64"/>
      <c r="T1005" s="64"/>
      <c r="U1005" s="64"/>
      <c r="V1005" s="64"/>
      <c r="W1005" s="64"/>
      <c r="X1005" s="64"/>
      <c r="Y1005" s="64"/>
      <c r="Z1005" s="64"/>
    </row>
    <row r="1006">
      <c r="A1006" s="64"/>
      <c r="B1006" s="64"/>
      <c r="C1006" s="64"/>
      <c r="D1006" s="64"/>
      <c r="E1006" s="64"/>
      <c r="F1006" s="64"/>
      <c r="G1006" s="64"/>
      <c r="H1006" s="64"/>
      <c r="I1006" s="64"/>
      <c r="J1006" s="64"/>
      <c r="K1006" s="64"/>
      <c r="L1006" s="64"/>
      <c r="M1006" s="64"/>
      <c r="N1006" s="64"/>
      <c r="O1006" s="64"/>
      <c r="P1006" s="64"/>
      <c r="Q1006" s="64"/>
      <c r="R1006" s="64"/>
      <c r="S1006" s="64"/>
      <c r="T1006" s="64"/>
      <c r="U1006" s="64"/>
      <c r="V1006" s="64"/>
      <c r="W1006" s="64"/>
      <c r="X1006" s="64"/>
      <c r="Y1006" s="64"/>
      <c r="Z1006" s="64"/>
    </row>
    <row r="1007">
      <c r="A1007" s="64"/>
      <c r="B1007" s="64"/>
      <c r="C1007" s="64"/>
      <c r="D1007" s="64"/>
      <c r="E1007" s="64"/>
      <c r="F1007" s="64"/>
      <c r="G1007" s="64"/>
      <c r="H1007" s="64"/>
      <c r="I1007" s="64"/>
      <c r="J1007" s="64"/>
      <c r="K1007" s="64"/>
      <c r="L1007" s="64"/>
      <c r="M1007" s="64"/>
      <c r="N1007" s="64"/>
      <c r="O1007" s="64"/>
      <c r="P1007" s="64"/>
      <c r="Q1007" s="64"/>
      <c r="R1007" s="64"/>
      <c r="S1007" s="64"/>
      <c r="T1007" s="64"/>
      <c r="U1007" s="64"/>
      <c r="V1007" s="64"/>
      <c r="W1007" s="64"/>
      <c r="X1007" s="64"/>
      <c r="Y1007" s="64"/>
      <c r="Z1007" s="64"/>
    </row>
    <row r="1008">
      <c r="A1008" s="64"/>
      <c r="B1008" s="64"/>
      <c r="C1008" s="64"/>
      <c r="D1008" s="64"/>
      <c r="E1008" s="64"/>
      <c r="F1008" s="64"/>
      <c r="G1008" s="64"/>
      <c r="H1008" s="64"/>
      <c r="I1008" s="64"/>
      <c r="J1008" s="64"/>
      <c r="K1008" s="64"/>
      <c r="L1008" s="64"/>
      <c r="M1008" s="64"/>
      <c r="N1008" s="64"/>
      <c r="O1008" s="64"/>
      <c r="P1008" s="64"/>
      <c r="Q1008" s="64"/>
      <c r="R1008" s="64"/>
      <c r="S1008" s="64"/>
      <c r="T1008" s="64"/>
      <c r="U1008" s="64"/>
      <c r="V1008" s="64"/>
      <c r="W1008" s="64"/>
      <c r="X1008" s="64"/>
      <c r="Y1008" s="64"/>
      <c r="Z1008" s="64"/>
    </row>
    <row r="1009">
      <c r="A1009" s="64"/>
      <c r="B1009" s="64"/>
      <c r="C1009" s="64"/>
      <c r="D1009" s="64"/>
      <c r="E1009" s="64"/>
      <c r="F1009" s="64"/>
      <c r="G1009" s="64"/>
      <c r="H1009" s="64"/>
      <c r="I1009" s="64"/>
      <c r="J1009" s="64"/>
      <c r="K1009" s="64"/>
      <c r="L1009" s="64"/>
      <c r="M1009" s="64"/>
      <c r="N1009" s="64"/>
      <c r="O1009" s="64"/>
      <c r="P1009" s="64"/>
      <c r="Q1009" s="64"/>
      <c r="R1009" s="64"/>
      <c r="S1009" s="64"/>
      <c r="T1009" s="64"/>
      <c r="U1009" s="64"/>
      <c r="V1009" s="64"/>
      <c r="W1009" s="64"/>
      <c r="X1009" s="64"/>
      <c r="Y1009" s="64"/>
      <c r="Z1009" s="64"/>
    </row>
    <row r="1010">
      <c r="A1010" s="64"/>
      <c r="B1010" s="64"/>
      <c r="C1010" s="64"/>
      <c r="D1010" s="64"/>
      <c r="E1010" s="64"/>
      <c r="F1010" s="64"/>
      <c r="G1010" s="64"/>
      <c r="H1010" s="64"/>
      <c r="I1010" s="64"/>
      <c r="J1010" s="64"/>
      <c r="K1010" s="64"/>
      <c r="L1010" s="64"/>
      <c r="M1010" s="64"/>
      <c r="N1010" s="64"/>
      <c r="O1010" s="64"/>
      <c r="P1010" s="64"/>
      <c r="Q1010" s="64"/>
      <c r="R1010" s="64"/>
      <c r="S1010" s="64"/>
      <c r="T1010" s="64"/>
      <c r="U1010" s="64"/>
      <c r="V1010" s="64"/>
      <c r="W1010" s="64"/>
      <c r="X1010" s="64"/>
      <c r="Y1010" s="64"/>
      <c r="Z1010" s="64"/>
    </row>
    <row r="1011">
      <c r="A1011" s="64"/>
      <c r="B1011" s="64"/>
      <c r="C1011" s="64"/>
      <c r="D1011" s="64"/>
      <c r="E1011" s="64"/>
      <c r="F1011" s="64"/>
      <c r="G1011" s="64"/>
      <c r="H1011" s="64"/>
      <c r="I1011" s="64"/>
      <c r="J1011" s="64"/>
      <c r="K1011" s="64"/>
      <c r="L1011" s="64"/>
      <c r="M1011" s="64"/>
      <c r="N1011" s="64"/>
      <c r="O1011" s="64"/>
      <c r="P1011" s="64"/>
      <c r="Q1011" s="64"/>
      <c r="R1011" s="64"/>
      <c r="S1011" s="64"/>
      <c r="T1011" s="64"/>
      <c r="U1011" s="64"/>
      <c r="V1011" s="64"/>
      <c r="W1011" s="64"/>
      <c r="X1011" s="64"/>
      <c r="Y1011" s="64"/>
      <c r="Z1011" s="64"/>
    </row>
    <row r="1012">
      <c r="A1012" s="64"/>
      <c r="B1012" s="64"/>
      <c r="C1012" s="64"/>
      <c r="D1012" s="64"/>
      <c r="E1012" s="64"/>
      <c r="F1012" s="64"/>
      <c r="G1012" s="64"/>
      <c r="H1012" s="64"/>
      <c r="I1012" s="64"/>
      <c r="J1012" s="64"/>
      <c r="K1012" s="64"/>
      <c r="L1012" s="64"/>
      <c r="M1012" s="64"/>
      <c r="N1012" s="64"/>
      <c r="O1012" s="64"/>
      <c r="P1012" s="64"/>
      <c r="Q1012" s="64"/>
      <c r="R1012" s="64"/>
      <c r="S1012" s="64"/>
      <c r="T1012" s="64"/>
      <c r="U1012" s="64"/>
      <c r="V1012" s="64"/>
      <c r="W1012" s="64"/>
      <c r="X1012" s="64"/>
      <c r="Y1012" s="64"/>
      <c r="Z1012" s="64"/>
    </row>
    <row r="1013">
      <c r="A1013" s="64"/>
      <c r="B1013" s="64"/>
      <c r="C1013" s="64"/>
      <c r="D1013" s="64"/>
      <c r="E1013" s="64"/>
      <c r="F1013" s="64"/>
      <c r="G1013" s="64"/>
      <c r="H1013" s="64"/>
      <c r="I1013" s="64"/>
      <c r="J1013" s="64"/>
      <c r="K1013" s="64"/>
      <c r="L1013" s="64"/>
      <c r="M1013" s="64"/>
      <c r="N1013" s="64"/>
      <c r="O1013" s="64"/>
      <c r="P1013" s="64"/>
      <c r="Q1013" s="64"/>
      <c r="R1013" s="64"/>
      <c r="S1013" s="64"/>
      <c r="T1013" s="64"/>
      <c r="U1013" s="64"/>
      <c r="V1013" s="64"/>
      <c r="W1013" s="64"/>
      <c r="X1013" s="64"/>
      <c r="Y1013" s="64"/>
      <c r="Z1013" s="64"/>
    </row>
    <row r="1014">
      <c r="A1014" s="64"/>
      <c r="B1014" s="64"/>
      <c r="C1014" s="64"/>
      <c r="D1014" s="64"/>
      <c r="E1014" s="64"/>
      <c r="F1014" s="64"/>
      <c r="G1014" s="64"/>
      <c r="H1014" s="64"/>
      <c r="I1014" s="64"/>
      <c r="J1014" s="64"/>
      <c r="K1014" s="64"/>
      <c r="L1014" s="64"/>
      <c r="M1014" s="64"/>
      <c r="N1014" s="64"/>
      <c r="O1014" s="64"/>
      <c r="P1014" s="64"/>
      <c r="Q1014" s="64"/>
      <c r="R1014" s="64"/>
      <c r="S1014" s="64"/>
      <c r="T1014" s="64"/>
      <c r="U1014" s="64"/>
      <c r="V1014" s="64"/>
      <c r="W1014" s="64"/>
      <c r="X1014" s="64"/>
      <c r="Y1014" s="64"/>
      <c r="Z1014" s="64"/>
    </row>
    <row r="1015">
      <c r="A1015" s="64"/>
      <c r="B1015" s="64"/>
      <c r="C1015" s="64"/>
      <c r="D1015" s="64"/>
      <c r="E1015" s="64"/>
      <c r="F1015" s="64"/>
      <c r="G1015" s="64"/>
      <c r="H1015" s="64"/>
      <c r="I1015" s="64"/>
      <c r="J1015" s="64"/>
      <c r="K1015" s="64"/>
      <c r="L1015" s="64"/>
      <c r="M1015" s="64"/>
      <c r="N1015" s="64"/>
      <c r="O1015" s="64"/>
      <c r="P1015" s="64"/>
      <c r="Q1015" s="64"/>
      <c r="R1015" s="64"/>
      <c r="S1015" s="64"/>
      <c r="T1015" s="64"/>
      <c r="U1015" s="64"/>
      <c r="V1015" s="64"/>
      <c r="W1015" s="64"/>
      <c r="X1015" s="64"/>
      <c r="Y1015" s="64"/>
      <c r="Z1015" s="64"/>
    </row>
    <row r="1016">
      <c r="A1016" s="64"/>
      <c r="B1016" s="64"/>
      <c r="C1016" s="64"/>
      <c r="D1016" s="64"/>
      <c r="E1016" s="64"/>
      <c r="F1016" s="64"/>
      <c r="G1016" s="64"/>
      <c r="H1016" s="64"/>
      <c r="I1016" s="64"/>
      <c r="J1016" s="64"/>
      <c r="K1016" s="64"/>
      <c r="L1016" s="64"/>
      <c r="M1016" s="64"/>
      <c r="N1016" s="64"/>
      <c r="O1016" s="64"/>
      <c r="P1016" s="64"/>
      <c r="Q1016" s="64"/>
      <c r="R1016" s="64"/>
      <c r="S1016" s="64"/>
      <c r="T1016" s="64"/>
      <c r="U1016" s="64"/>
      <c r="V1016" s="64"/>
      <c r="W1016" s="64"/>
      <c r="X1016" s="64"/>
      <c r="Y1016" s="64"/>
      <c r="Z1016" s="64"/>
    </row>
    <row r="1017">
      <c r="A1017" s="64"/>
      <c r="B1017" s="64"/>
      <c r="C1017" s="64"/>
      <c r="D1017" s="64"/>
      <c r="E1017" s="64"/>
      <c r="F1017" s="64"/>
      <c r="G1017" s="64"/>
      <c r="H1017" s="64"/>
      <c r="I1017" s="64"/>
      <c r="J1017" s="64"/>
      <c r="K1017" s="64"/>
      <c r="L1017" s="64"/>
      <c r="M1017" s="64"/>
      <c r="N1017" s="64"/>
      <c r="O1017" s="64"/>
      <c r="P1017" s="64"/>
      <c r="Q1017" s="64"/>
      <c r="R1017" s="64"/>
      <c r="S1017" s="64"/>
      <c r="T1017" s="64"/>
      <c r="U1017" s="64"/>
      <c r="V1017" s="64"/>
      <c r="W1017" s="64"/>
      <c r="X1017" s="64"/>
      <c r="Y1017" s="64"/>
      <c r="Z1017" s="64"/>
    </row>
    <row r="1018">
      <c r="A1018" s="64"/>
      <c r="B1018" s="64"/>
      <c r="C1018" s="64"/>
      <c r="D1018" s="64"/>
      <c r="E1018" s="64"/>
      <c r="F1018" s="64"/>
      <c r="G1018" s="64"/>
      <c r="H1018" s="64"/>
      <c r="I1018" s="64"/>
      <c r="J1018" s="64"/>
      <c r="K1018" s="64"/>
      <c r="L1018" s="64"/>
      <c r="M1018" s="64"/>
      <c r="N1018" s="64"/>
      <c r="O1018" s="64"/>
      <c r="P1018" s="64"/>
      <c r="Q1018" s="64"/>
      <c r="R1018" s="64"/>
      <c r="S1018" s="64"/>
      <c r="T1018" s="64"/>
      <c r="U1018" s="64"/>
      <c r="V1018" s="64"/>
      <c r="W1018" s="64"/>
      <c r="X1018" s="64"/>
      <c r="Y1018" s="64"/>
      <c r="Z1018" s="64"/>
    </row>
    <row r="1019">
      <c r="A1019" s="64"/>
      <c r="B1019" s="64"/>
      <c r="C1019" s="64"/>
      <c r="D1019" s="64"/>
      <c r="E1019" s="64"/>
      <c r="F1019" s="64"/>
      <c r="G1019" s="64"/>
      <c r="H1019" s="64"/>
      <c r="I1019" s="64"/>
      <c r="J1019" s="64"/>
      <c r="K1019" s="64"/>
      <c r="L1019" s="64"/>
      <c r="M1019" s="64"/>
      <c r="N1019" s="64"/>
      <c r="O1019" s="64"/>
      <c r="P1019" s="64"/>
      <c r="Q1019" s="64"/>
      <c r="R1019" s="64"/>
      <c r="S1019" s="64"/>
      <c r="T1019" s="64"/>
      <c r="U1019" s="64"/>
      <c r="V1019" s="64"/>
      <c r="W1019" s="64"/>
      <c r="X1019" s="64"/>
      <c r="Y1019" s="64"/>
      <c r="Z1019" s="64"/>
    </row>
    <row r="1020">
      <c r="A1020" s="64"/>
      <c r="B1020" s="64"/>
      <c r="C1020" s="64"/>
      <c r="D1020" s="64"/>
      <c r="E1020" s="64"/>
      <c r="F1020" s="64"/>
      <c r="G1020" s="64"/>
      <c r="H1020" s="64"/>
      <c r="I1020" s="64"/>
      <c r="J1020" s="64"/>
      <c r="K1020" s="64"/>
      <c r="L1020" s="64"/>
      <c r="M1020" s="64"/>
      <c r="N1020" s="64"/>
      <c r="O1020" s="64"/>
      <c r="P1020" s="64"/>
      <c r="Q1020" s="64"/>
      <c r="R1020" s="64"/>
      <c r="S1020" s="64"/>
      <c r="T1020" s="64"/>
      <c r="U1020" s="64"/>
      <c r="V1020" s="64"/>
      <c r="W1020" s="64"/>
      <c r="X1020" s="64"/>
      <c r="Y1020" s="64"/>
      <c r="Z1020" s="64"/>
    </row>
    <row r="1021">
      <c r="A1021" s="64"/>
      <c r="B1021" s="64"/>
      <c r="C1021" s="64"/>
      <c r="D1021" s="64"/>
      <c r="E1021" s="64"/>
      <c r="F1021" s="64"/>
      <c r="G1021" s="64"/>
      <c r="H1021" s="64"/>
      <c r="I1021" s="64"/>
      <c r="J1021" s="64"/>
      <c r="K1021" s="64"/>
      <c r="L1021" s="64"/>
      <c r="M1021" s="64"/>
      <c r="N1021" s="64"/>
      <c r="O1021" s="64"/>
      <c r="P1021" s="64"/>
      <c r="Q1021" s="64"/>
      <c r="R1021" s="64"/>
      <c r="S1021" s="64"/>
      <c r="T1021" s="64"/>
      <c r="U1021" s="64"/>
      <c r="V1021" s="64"/>
      <c r="W1021" s="64"/>
      <c r="X1021" s="64"/>
      <c r="Y1021" s="64"/>
      <c r="Z1021" s="64"/>
    </row>
    <row r="1022">
      <c r="A1022" s="64"/>
      <c r="B1022" s="64"/>
      <c r="C1022" s="64"/>
      <c r="D1022" s="64"/>
      <c r="E1022" s="64"/>
      <c r="F1022" s="64"/>
      <c r="G1022" s="64"/>
      <c r="H1022" s="64"/>
      <c r="I1022" s="64"/>
      <c r="J1022" s="64"/>
      <c r="K1022" s="64"/>
      <c r="L1022" s="64"/>
      <c r="M1022" s="64"/>
      <c r="N1022" s="64"/>
      <c r="O1022" s="64"/>
      <c r="P1022" s="64"/>
      <c r="Q1022" s="64"/>
      <c r="R1022" s="64"/>
      <c r="S1022" s="64"/>
      <c r="T1022" s="64"/>
      <c r="U1022" s="64"/>
      <c r="V1022" s="64"/>
      <c r="W1022" s="64"/>
      <c r="X1022" s="64"/>
      <c r="Y1022" s="64"/>
      <c r="Z1022" s="64"/>
    </row>
    <row r="1023">
      <c r="A1023" s="64"/>
      <c r="B1023" s="64"/>
      <c r="C1023" s="64"/>
      <c r="D1023" s="64"/>
      <c r="E1023" s="64"/>
      <c r="F1023" s="64"/>
      <c r="G1023" s="64"/>
      <c r="H1023" s="64"/>
      <c r="I1023" s="64"/>
      <c r="J1023" s="64"/>
      <c r="K1023" s="64"/>
      <c r="L1023" s="64"/>
      <c r="M1023" s="64"/>
      <c r="N1023" s="64"/>
      <c r="O1023" s="64"/>
      <c r="P1023" s="64"/>
      <c r="Q1023" s="64"/>
      <c r="R1023" s="64"/>
      <c r="S1023" s="64"/>
      <c r="T1023" s="64"/>
      <c r="U1023" s="64"/>
      <c r="V1023" s="64"/>
      <c r="W1023" s="64"/>
      <c r="X1023" s="64"/>
      <c r="Y1023" s="64"/>
      <c r="Z1023" s="64"/>
    </row>
    <row r="1024">
      <c r="A1024" s="64"/>
      <c r="B1024" s="64"/>
      <c r="C1024" s="64"/>
      <c r="D1024" s="64"/>
      <c r="E1024" s="64"/>
      <c r="F1024" s="64"/>
      <c r="G1024" s="64"/>
      <c r="H1024" s="64"/>
      <c r="I1024" s="64"/>
      <c r="J1024" s="64"/>
      <c r="K1024" s="64"/>
      <c r="L1024" s="64"/>
      <c r="M1024" s="64"/>
      <c r="N1024" s="64"/>
      <c r="O1024" s="64"/>
      <c r="P1024" s="64"/>
      <c r="Q1024" s="64"/>
      <c r="R1024" s="64"/>
      <c r="S1024" s="64"/>
      <c r="T1024" s="64"/>
      <c r="U1024" s="64"/>
      <c r="V1024" s="64"/>
      <c r="W1024" s="64"/>
      <c r="X1024" s="64"/>
      <c r="Y1024" s="64"/>
      <c r="Z1024" s="64"/>
    </row>
    <row r="1025">
      <c r="A1025" s="64"/>
      <c r="B1025" s="64"/>
      <c r="C1025" s="64"/>
      <c r="D1025" s="64"/>
      <c r="E1025" s="64"/>
      <c r="F1025" s="64"/>
      <c r="G1025" s="64"/>
      <c r="H1025" s="64"/>
      <c r="I1025" s="64"/>
      <c r="J1025" s="64"/>
      <c r="K1025" s="64"/>
      <c r="L1025" s="64"/>
      <c r="M1025" s="64"/>
      <c r="N1025" s="64"/>
      <c r="O1025" s="64"/>
      <c r="P1025" s="64"/>
      <c r="Q1025" s="64"/>
      <c r="R1025" s="64"/>
      <c r="S1025" s="64"/>
      <c r="T1025" s="64"/>
      <c r="U1025" s="64"/>
      <c r="V1025" s="64"/>
      <c r="W1025" s="64"/>
      <c r="X1025" s="64"/>
      <c r="Y1025" s="64"/>
      <c r="Z1025" s="64"/>
    </row>
    <row r="1026">
      <c r="A1026" s="64"/>
      <c r="B1026" s="64"/>
      <c r="C1026" s="64"/>
      <c r="D1026" s="64"/>
      <c r="E1026" s="64"/>
      <c r="F1026" s="64"/>
      <c r="G1026" s="64"/>
      <c r="H1026" s="64"/>
      <c r="I1026" s="64"/>
      <c r="J1026" s="64"/>
      <c r="K1026" s="64"/>
      <c r="L1026" s="64"/>
      <c r="M1026" s="64"/>
      <c r="N1026" s="64"/>
      <c r="O1026" s="64"/>
      <c r="P1026" s="64"/>
      <c r="Q1026" s="64"/>
      <c r="R1026" s="64"/>
      <c r="S1026" s="64"/>
      <c r="T1026" s="64"/>
      <c r="U1026" s="64"/>
      <c r="V1026" s="64"/>
      <c r="W1026" s="64"/>
      <c r="X1026" s="64"/>
      <c r="Y1026" s="64"/>
      <c r="Z1026" s="64"/>
    </row>
    <row r="1027">
      <c r="A1027" s="64"/>
      <c r="B1027" s="64"/>
      <c r="C1027" s="64"/>
      <c r="D1027" s="64"/>
      <c r="E1027" s="64"/>
      <c r="F1027" s="64"/>
      <c r="G1027" s="64"/>
      <c r="H1027" s="64"/>
      <c r="I1027" s="64"/>
      <c r="J1027" s="64"/>
      <c r="K1027" s="64"/>
      <c r="L1027" s="64"/>
      <c r="M1027" s="64"/>
      <c r="N1027" s="64"/>
      <c r="O1027" s="64"/>
      <c r="P1027" s="64"/>
      <c r="Q1027" s="64"/>
      <c r="R1027" s="64"/>
      <c r="S1027" s="64"/>
      <c r="T1027" s="64"/>
      <c r="U1027" s="64"/>
      <c r="V1027" s="64"/>
      <c r="W1027" s="64"/>
      <c r="X1027" s="64"/>
      <c r="Y1027" s="64"/>
      <c r="Z1027" s="64"/>
    </row>
    <row r="1028">
      <c r="A1028" s="64"/>
      <c r="B1028" s="64"/>
      <c r="C1028" s="64"/>
      <c r="D1028" s="64"/>
      <c r="E1028" s="64"/>
      <c r="F1028" s="64"/>
      <c r="G1028" s="64"/>
      <c r="H1028" s="64"/>
      <c r="I1028" s="64"/>
      <c r="J1028" s="64"/>
      <c r="K1028" s="64"/>
      <c r="L1028" s="64"/>
      <c r="M1028" s="64"/>
      <c r="N1028" s="64"/>
      <c r="O1028" s="64"/>
      <c r="P1028" s="64"/>
      <c r="Q1028" s="64"/>
      <c r="R1028" s="64"/>
      <c r="S1028" s="64"/>
      <c r="T1028" s="64"/>
      <c r="U1028" s="64"/>
      <c r="V1028" s="64"/>
      <c r="W1028" s="64"/>
      <c r="X1028" s="64"/>
      <c r="Y1028" s="64"/>
      <c r="Z1028" s="64"/>
    </row>
    <row r="1029">
      <c r="A1029" s="64"/>
      <c r="B1029" s="64"/>
      <c r="C1029" s="64"/>
      <c r="D1029" s="64"/>
      <c r="E1029" s="64"/>
      <c r="F1029" s="64"/>
      <c r="G1029" s="64"/>
      <c r="H1029" s="64"/>
      <c r="I1029" s="64"/>
      <c r="J1029" s="64"/>
      <c r="K1029" s="64"/>
      <c r="L1029" s="64"/>
      <c r="M1029" s="64"/>
      <c r="N1029" s="64"/>
      <c r="O1029" s="64"/>
      <c r="P1029" s="64"/>
      <c r="Q1029" s="64"/>
      <c r="R1029" s="64"/>
      <c r="S1029" s="64"/>
      <c r="T1029" s="64"/>
      <c r="U1029" s="64"/>
      <c r="V1029" s="64"/>
      <c r="W1029" s="64"/>
      <c r="X1029" s="64"/>
      <c r="Y1029" s="64"/>
      <c r="Z1029" s="64"/>
    </row>
    <row r="1030">
      <c r="A1030" s="64"/>
      <c r="B1030" s="64"/>
      <c r="C1030" s="64"/>
      <c r="D1030" s="64"/>
      <c r="E1030" s="64"/>
      <c r="F1030" s="64"/>
      <c r="G1030" s="64"/>
      <c r="H1030" s="64"/>
      <c r="I1030" s="64"/>
      <c r="J1030" s="64"/>
      <c r="K1030" s="64"/>
      <c r="L1030" s="64"/>
      <c r="M1030" s="64"/>
      <c r="N1030" s="64"/>
      <c r="O1030" s="64"/>
      <c r="P1030" s="64"/>
      <c r="Q1030" s="64"/>
      <c r="R1030" s="64"/>
      <c r="S1030" s="64"/>
      <c r="T1030" s="64"/>
      <c r="U1030" s="64"/>
      <c r="V1030" s="64"/>
      <c r="W1030" s="64"/>
      <c r="X1030" s="64"/>
      <c r="Y1030" s="64"/>
      <c r="Z1030" s="64"/>
    </row>
    <row r="1031">
      <c r="A1031" s="64"/>
      <c r="B1031" s="64"/>
      <c r="C1031" s="64"/>
      <c r="D1031" s="64"/>
      <c r="E1031" s="64"/>
      <c r="F1031" s="64"/>
      <c r="G1031" s="64"/>
      <c r="H1031" s="64"/>
      <c r="I1031" s="64"/>
      <c r="J1031" s="64"/>
      <c r="K1031" s="64"/>
      <c r="L1031" s="64"/>
      <c r="M1031" s="64"/>
      <c r="N1031" s="64"/>
      <c r="O1031" s="64"/>
      <c r="P1031" s="64"/>
      <c r="Q1031" s="64"/>
      <c r="R1031" s="64"/>
      <c r="S1031" s="64"/>
      <c r="T1031" s="64"/>
      <c r="U1031" s="64"/>
      <c r="V1031" s="64"/>
      <c r="W1031" s="64"/>
      <c r="X1031" s="64"/>
      <c r="Y1031" s="64"/>
      <c r="Z1031" s="64"/>
    </row>
    <row r="1032">
      <c r="A1032" s="64"/>
      <c r="B1032" s="64"/>
      <c r="C1032" s="64"/>
      <c r="D1032" s="64"/>
      <c r="E1032" s="64"/>
      <c r="F1032" s="64"/>
      <c r="G1032" s="64"/>
      <c r="H1032" s="64"/>
      <c r="I1032" s="64"/>
      <c r="J1032" s="64"/>
      <c r="K1032" s="64"/>
      <c r="L1032" s="64"/>
      <c r="M1032" s="64"/>
      <c r="N1032" s="64"/>
      <c r="O1032" s="64"/>
      <c r="P1032" s="64"/>
      <c r="Q1032" s="64"/>
      <c r="R1032" s="64"/>
      <c r="S1032" s="64"/>
      <c r="T1032" s="64"/>
      <c r="U1032" s="64"/>
      <c r="V1032" s="64"/>
      <c r="W1032" s="64"/>
      <c r="X1032" s="64"/>
      <c r="Y1032" s="64"/>
      <c r="Z1032" s="64"/>
    </row>
    <row r="1033">
      <c r="A1033" s="64"/>
      <c r="B1033" s="64"/>
      <c r="C1033" s="64"/>
      <c r="D1033" s="64"/>
      <c r="E1033" s="64"/>
      <c r="F1033" s="64"/>
      <c r="G1033" s="64"/>
      <c r="H1033" s="64"/>
      <c r="I1033" s="64"/>
      <c r="J1033" s="64"/>
      <c r="K1033" s="64"/>
      <c r="L1033" s="64"/>
      <c r="M1033" s="64"/>
      <c r="N1033" s="64"/>
      <c r="O1033" s="64"/>
      <c r="P1033" s="64"/>
      <c r="Q1033" s="64"/>
      <c r="R1033" s="64"/>
      <c r="S1033" s="64"/>
      <c r="T1033" s="64"/>
      <c r="U1033" s="64"/>
      <c r="V1033" s="64"/>
      <c r="W1033" s="64"/>
      <c r="X1033" s="64"/>
      <c r="Y1033" s="64"/>
      <c r="Z1033" s="64"/>
    </row>
    <row r="1034">
      <c r="A1034" s="64"/>
      <c r="B1034" s="64"/>
      <c r="C1034" s="64"/>
      <c r="D1034" s="64"/>
      <c r="E1034" s="64"/>
      <c r="F1034" s="64"/>
      <c r="G1034" s="64"/>
      <c r="H1034" s="64"/>
      <c r="I1034" s="64"/>
      <c r="J1034" s="64"/>
      <c r="K1034" s="64"/>
      <c r="L1034" s="64"/>
      <c r="M1034" s="64"/>
      <c r="N1034" s="64"/>
      <c r="O1034" s="64"/>
      <c r="P1034" s="64"/>
      <c r="Q1034" s="64"/>
      <c r="R1034" s="64"/>
      <c r="S1034" s="64"/>
      <c r="T1034" s="64"/>
      <c r="U1034" s="64"/>
      <c r="V1034" s="64"/>
      <c r="W1034" s="64"/>
      <c r="X1034" s="64"/>
      <c r="Y1034" s="64"/>
      <c r="Z1034" s="64"/>
    </row>
    <row r="1035">
      <c r="A1035" s="64"/>
      <c r="B1035" s="64"/>
      <c r="C1035" s="64"/>
      <c r="D1035" s="64"/>
      <c r="E1035" s="64"/>
      <c r="F1035" s="64"/>
      <c r="G1035" s="64"/>
      <c r="H1035" s="64"/>
      <c r="I1035" s="64"/>
      <c r="J1035" s="64"/>
      <c r="K1035" s="64"/>
      <c r="L1035" s="64"/>
      <c r="M1035" s="64"/>
      <c r="N1035" s="64"/>
      <c r="O1035" s="64"/>
      <c r="P1035" s="64"/>
      <c r="Q1035" s="64"/>
      <c r="R1035" s="64"/>
      <c r="S1035" s="64"/>
      <c r="T1035" s="64"/>
      <c r="U1035" s="64"/>
      <c r="V1035" s="64"/>
      <c r="W1035" s="64"/>
      <c r="X1035" s="64"/>
      <c r="Y1035" s="64"/>
      <c r="Z1035" s="64"/>
    </row>
    <row r="1036">
      <c r="A1036" s="64"/>
      <c r="B1036" s="64"/>
      <c r="C1036" s="64"/>
      <c r="D1036" s="64"/>
      <c r="E1036" s="64"/>
      <c r="F1036" s="64"/>
      <c r="G1036" s="64"/>
      <c r="H1036" s="64"/>
      <c r="I1036" s="64"/>
      <c r="J1036" s="64"/>
      <c r="K1036" s="64"/>
      <c r="L1036" s="64"/>
      <c r="M1036" s="64"/>
      <c r="N1036" s="64"/>
      <c r="O1036" s="64"/>
      <c r="P1036" s="64"/>
      <c r="Q1036" s="64"/>
      <c r="R1036" s="64"/>
      <c r="S1036" s="64"/>
      <c r="T1036" s="64"/>
      <c r="U1036" s="64"/>
      <c r="V1036" s="64"/>
      <c r="W1036" s="64"/>
      <c r="X1036" s="64"/>
      <c r="Y1036" s="64"/>
      <c r="Z1036" s="64"/>
    </row>
    <row r="1037">
      <c r="A1037" s="64"/>
      <c r="B1037" s="64"/>
      <c r="C1037" s="64"/>
      <c r="D1037" s="64"/>
      <c r="E1037" s="64"/>
      <c r="F1037" s="64"/>
      <c r="G1037" s="64"/>
      <c r="H1037" s="64"/>
      <c r="I1037" s="64"/>
      <c r="J1037" s="64"/>
      <c r="K1037" s="64"/>
      <c r="L1037" s="64"/>
      <c r="M1037" s="64"/>
      <c r="N1037" s="64"/>
      <c r="O1037" s="64"/>
      <c r="P1037" s="64"/>
      <c r="Q1037" s="64"/>
      <c r="R1037" s="64"/>
      <c r="S1037" s="64"/>
      <c r="T1037" s="64"/>
      <c r="U1037" s="64"/>
      <c r="V1037" s="64"/>
      <c r="W1037" s="64"/>
      <c r="X1037" s="64"/>
      <c r="Y1037" s="64"/>
      <c r="Z1037" s="64"/>
    </row>
    <row r="1038">
      <c r="A1038" s="64"/>
      <c r="B1038" s="64"/>
      <c r="C1038" s="64"/>
      <c r="D1038" s="64"/>
      <c r="E1038" s="64"/>
      <c r="F1038" s="64"/>
      <c r="G1038" s="64"/>
      <c r="H1038" s="64"/>
      <c r="I1038" s="64"/>
      <c r="J1038" s="64"/>
      <c r="K1038" s="64"/>
      <c r="L1038" s="64"/>
      <c r="M1038" s="64"/>
      <c r="N1038" s="64"/>
      <c r="O1038" s="64"/>
      <c r="P1038" s="64"/>
      <c r="Q1038" s="64"/>
      <c r="R1038" s="64"/>
      <c r="S1038" s="64"/>
      <c r="T1038" s="64"/>
      <c r="U1038" s="64"/>
      <c r="V1038" s="64"/>
      <c r="W1038" s="64"/>
      <c r="X1038" s="64"/>
      <c r="Y1038" s="64"/>
      <c r="Z1038" s="64"/>
    </row>
    <row r="1039">
      <c r="A1039" s="64"/>
      <c r="B1039" s="64"/>
      <c r="C1039" s="64"/>
      <c r="D1039" s="64"/>
      <c r="E1039" s="64"/>
      <c r="F1039" s="64"/>
      <c r="G1039" s="64"/>
      <c r="H1039" s="64"/>
      <c r="I1039" s="64"/>
      <c r="J1039" s="64"/>
      <c r="K1039" s="64"/>
      <c r="L1039" s="64"/>
      <c r="M1039" s="64"/>
      <c r="N1039" s="64"/>
      <c r="O1039" s="64"/>
      <c r="P1039" s="64"/>
      <c r="Q1039" s="64"/>
      <c r="R1039" s="64"/>
      <c r="S1039" s="64"/>
      <c r="T1039" s="64"/>
      <c r="U1039" s="64"/>
      <c r="V1039" s="64"/>
      <c r="W1039" s="64"/>
      <c r="X1039" s="64"/>
      <c r="Y1039" s="64"/>
      <c r="Z1039" s="64"/>
    </row>
    <row r="1040">
      <c r="A1040" s="64"/>
      <c r="B1040" s="64"/>
      <c r="C1040" s="64"/>
      <c r="D1040" s="64"/>
      <c r="E1040" s="64"/>
      <c r="F1040" s="64"/>
      <c r="G1040" s="64"/>
      <c r="H1040" s="64"/>
      <c r="I1040" s="64"/>
      <c r="J1040" s="64"/>
      <c r="K1040" s="64"/>
      <c r="L1040" s="64"/>
      <c r="M1040" s="64"/>
      <c r="N1040" s="64"/>
      <c r="O1040" s="64"/>
      <c r="P1040" s="64"/>
      <c r="Q1040" s="64"/>
      <c r="R1040" s="64"/>
      <c r="S1040" s="64"/>
      <c r="T1040" s="64"/>
      <c r="U1040" s="64"/>
      <c r="V1040" s="64"/>
      <c r="W1040" s="64"/>
      <c r="X1040" s="64"/>
      <c r="Y1040" s="64"/>
      <c r="Z1040" s="64"/>
    </row>
    <row r="1041">
      <c r="A1041" s="64"/>
      <c r="B1041" s="64"/>
      <c r="C1041" s="64"/>
      <c r="D1041" s="64"/>
      <c r="E1041" s="64"/>
      <c r="F1041" s="64"/>
      <c r="G1041" s="64"/>
      <c r="H1041" s="64"/>
      <c r="I1041" s="64"/>
      <c r="J1041" s="64"/>
      <c r="K1041" s="64"/>
      <c r="L1041" s="64"/>
      <c r="M1041" s="64"/>
      <c r="N1041" s="64"/>
      <c r="O1041" s="64"/>
      <c r="P1041" s="64"/>
      <c r="Q1041" s="64"/>
      <c r="R1041" s="64"/>
      <c r="S1041" s="64"/>
      <c r="T1041" s="64"/>
      <c r="U1041" s="64"/>
      <c r="V1041" s="64"/>
      <c r="W1041" s="64"/>
      <c r="X1041" s="64"/>
      <c r="Y1041" s="64"/>
      <c r="Z1041" s="64"/>
    </row>
    <row r="1042">
      <c r="A1042" s="64"/>
      <c r="B1042" s="64"/>
      <c r="C1042" s="64"/>
      <c r="D1042" s="64"/>
      <c r="E1042" s="64"/>
      <c r="F1042" s="64"/>
      <c r="G1042" s="64"/>
      <c r="H1042" s="64"/>
      <c r="I1042" s="64"/>
      <c r="J1042" s="64"/>
      <c r="K1042" s="64"/>
      <c r="L1042" s="64"/>
      <c r="M1042" s="64"/>
      <c r="N1042" s="64"/>
      <c r="O1042" s="64"/>
      <c r="P1042" s="64"/>
      <c r="Q1042" s="64"/>
      <c r="R1042" s="64"/>
      <c r="S1042" s="64"/>
      <c r="T1042" s="64"/>
      <c r="U1042" s="64"/>
      <c r="V1042" s="64"/>
      <c r="W1042" s="64"/>
      <c r="X1042" s="64"/>
      <c r="Y1042" s="64"/>
      <c r="Z1042" s="64"/>
    </row>
    <row r="1043">
      <c r="A1043" s="64"/>
      <c r="B1043" s="64"/>
      <c r="C1043" s="64"/>
      <c r="D1043" s="64"/>
      <c r="E1043" s="64"/>
      <c r="F1043" s="64"/>
      <c r="G1043" s="64"/>
      <c r="H1043" s="64"/>
      <c r="I1043" s="64"/>
      <c r="J1043" s="64"/>
      <c r="K1043" s="64"/>
      <c r="L1043" s="64"/>
      <c r="M1043" s="64"/>
      <c r="N1043" s="64"/>
      <c r="O1043" s="64"/>
      <c r="P1043" s="64"/>
      <c r="Q1043" s="64"/>
      <c r="R1043" s="64"/>
      <c r="S1043" s="64"/>
      <c r="T1043" s="64"/>
      <c r="U1043" s="64"/>
      <c r="V1043" s="64"/>
      <c r="W1043" s="64"/>
      <c r="X1043" s="64"/>
      <c r="Y1043" s="64"/>
      <c r="Z1043" s="64"/>
    </row>
    <row r="1044">
      <c r="A1044" s="64"/>
      <c r="B1044" s="64"/>
      <c r="C1044" s="64"/>
      <c r="D1044" s="64"/>
      <c r="E1044" s="64"/>
      <c r="F1044" s="64"/>
      <c r="G1044" s="64"/>
      <c r="H1044" s="64"/>
      <c r="I1044" s="64"/>
      <c r="J1044" s="64"/>
      <c r="K1044" s="64"/>
      <c r="L1044" s="64"/>
      <c r="M1044" s="64"/>
      <c r="N1044" s="64"/>
      <c r="O1044" s="64"/>
      <c r="P1044" s="64"/>
      <c r="Q1044" s="64"/>
      <c r="R1044" s="64"/>
      <c r="S1044" s="64"/>
      <c r="T1044" s="64"/>
      <c r="U1044" s="64"/>
      <c r="V1044" s="64"/>
      <c r="W1044" s="64"/>
      <c r="X1044" s="64"/>
      <c r="Y1044" s="64"/>
      <c r="Z1044" s="64"/>
    </row>
    <row r="1045">
      <c r="A1045" s="64"/>
      <c r="B1045" s="64"/>
      <c r="C1045" s="64"/>
      <c r="D1045" s="64"/>
      <c r="E1045" s="64"/>
      <c r="F1045" s="64"/>
      <c r="G1045" s="64"/>
      <c r="H1045" s="64"/>
      <c r="I1045" s="64"/>
      <c r="J1045" s="64"/>
      <c r="K1045" s="64"/>
      <c r="L1045" s="64"/>
      <c r="M1045" s="64"/>
      <c r="N1045" s="64"/>
      <c r="O1045" s="64"/>
      <c r="P1045" s="64"/>
      <c r="Q1045" s="64"/>
      <c r="R1045" s="64"/>
      <c r="S1045" s="64"/>
      <c r="T1045" s="64"/>
      <c r="U1045" s="64"/>
      <c r="V1045" s="64"/>
      <c r="W1045" s="64"/>
      <c r="X1045" s="64"/>
      <c r="Y1045" s="64"/>
      <c r="Z1045" s="64"/>
    </row>
    <row r="1046">
      <c r="A1046" s="64"/>
      <c r="B1046" s="64"/>
      <c r="C1046" s="64"/>
      <c r="D1046" s="64"/>
      <c r="E1046" s="64"/>
      <c r="F1046" s="64"/>
      <c r="G1046" s="64"/>
      <c r="H1046" s="64"/>
      <c r="I1046" s="64"/>
      <c r="J1046" s="64"/>
      <c r="K1046" s="64"/>
      <c r="L1046" s="64"/>
      <c r="M1046" s="64"/>
      <c r="N1046" s="64"/>
      <c r="O1046" s="64"/>
      <c r="P1046" s="64"/>
      <c r="Q1046" s="64"/>
      <c r="R1046" s="64"/>
      <c r="S1046" s="64"/>
      <c r="T1046" s="64"/>
      <c r="U1046" s="64"/>
      <c r="V1046" s="64"/>
      <c r="W1046" s="64"/>
      <c r="X1046" s="64"/>
      <c r="Y1046" s="64"/>
      <c r="Z1046" s="64"/>
    </row>
    <row r="1047">
      <c r="A1047" s="64"/>
      <c r="B1047" s="64"/>
      <c r="C1047" s="64"/>
      <c r="D1047" s="64"/>
      <c r="E1047" s="64"/>
      <c r="F1047" s="64"/>
      <c r="G1047" s="64"/>
      <c r="H1047" s="64"/>
      <c r="I1047" s="64"/>
      <c r="J1047" s="64"/>
      <c r="K1047" s="64"/>
      <c r="L1047" s="64"/>
      <c r="M1047" s="64"/>
      <c r="N1047" s="64"/>
      <c r="O1047" s="64"/>
      <c r="P1047" s="64"/>
      <c r="Q1047" s="64"/>
      <c r="R1047" s="64"/>
      <c r="S1047" s="64"/>
      <c r="T1047" s="64"/>
      <c r="U1047" s="64"/>
      <c r="V1047" s="64"/>
      <c r="W1047" s="64"/>
      <c r="X1047" s="64"/>
      <c r="Y1047" s="64"/>
      <c r="Z1047" s="64"/>
    </row>
    <row r="1048">
      <c r="A1048" s="64"/>
      <c r="B1048" s="64"/>
      <c r="C1048" s="64"/>
      <c r="D1048" s="64"/>
      <c r="E1048" s="64"/>
      <c r="F1048" s="64"/>
      <c r="G1048" s="64"/>
      <c r="H1048" s="64"/>
      <c r="I1048" s="64"/>
      <c r="J1048" s="64"/>
      <c r="K1048" s="64"/>
      <c r="L1048" s="64"/>
      <c r="M1048" s="64"/>
      <c r="N1048" s="64"/>
      <c r="O1048" s="64"/>
      <c r="P1048" s="64"/>
      <c r="Q1048" s="64"/>
      <c r="R1048" s="64"/>
      <c r="S1048" s="64"/>
      <c r="T1048" s="64"/>
      <c r="U1048" s="64"/>
      <c r="V1048" s="64"/>
      <c r="W1048" s="64"/>
      <c r="X1048" s="64"/>
      <c r="Y1048" s="64"/>
      <c r="Z1048" s="64"/>
    </row>
    <row r="1049">
      <c r="A1049" s="64"/>
      <c r="B1049" s="64"/>
      <c r="C1049" s="64"/>
      <c r="D1049" s="64"/>
      <c r="E1049" s="64"/>
      <c r="F1049" s="64"/>
      <c r="G1049" s="64"/>
      <c r="H1049" s="64"/>
      <c r="I1049" s="64"/>
      <c r="J1049" s="64"/>
      <c r="K1049" s="64"/>
      <c r="L1049" s="64"/>
      <c r="M1049" s="64"/>
      <c r="N1049" s="64"/>
      <c r="O1049" s="64"/>
      <c r="P1049" s="64"/>
      <c r="Q1049" s="64"/>
      <c r="R1049" s="64"/>
      <c r="S1049" s="64"/>
      <c r="T1049" s="64"/>
      <c r="U1049" s="64"/>
      <c r="V1049" s="64"/>
      <c r="W1049" s="64"/>
      <c r="X1049" s="64"/>
      <c r="Y1049" s="64"/>
      <c r="Z1049" s="64"/>
    </row>
    <row r="1050">
      <c r="A1050" s="64"/>
      <c r="B1050" s="64"/>
      <c r="C1050" s="64"/>
      <c r="D1050" s="64"/>
      <c r="E1050" s="64"/>
      <c r="F1050" s="64"/>
      <c r="G1050" s="64"/>
      <c r="H1050" s="64"/>
      <c r="I1050" s="64"/>
      <c r="J1050" s="64"/>
      <c r="K1050" s="64"/>
      <c r="L1050" s="64"/>
      <c r="M1050" s="64"/>
      <c r="N1050" s="64"/>
      <c r="O1050" s="64"/>
      <c r="P1050" s="64"/>
      <c r="Q1050" s="64"/>
      <c r="R1050" s="64"/>
      <c r="S1050" s="64"/>
      <c r="T1050" s="64"/>
      <c r="U1050" s="64"/>
      <c r="V1050" s="64"/>
      <c r="W1050" s="64"/>
      <c r="X1050" s="64"/>
      <c r="Y1050" s="64"/>
      <c r="Z1050" s="64"/>
    </row>
    <row r="1051">
      <c r="A1051" s="64"/>
      <c r="B1051" s="64"/>
      <c r="C1051" s="64"/>
      <c r="D1051" s="64"/>
      <c r="E1051" s="64"/>
      <c r="F1051" s="64"/>
      <c r="G1051" s="64"/>
      <c r="H1051" s="64"/>
      <c r="I1051" s="64"/>
      <c r="J1051" s="64"/>
      <c r="K1051" s="64"/>
      <c r="L1051" s="64"/>
      <c r="M1051" s="64"/>
      <c r="N1051" s="64"/>
      <c r="O1051" s="64"/>
      <c r="P1051" s="64"/>
      <c r="Q1051" s="64"/>
      <c r="R1051" s="64"/>
      <c r="S1051" s="64"/>
      <c r="T1051" s="64"/>
      <c r="U1051" s="64"/>
      <c r="V1051" s="64"/>
      <c r="W1051" s="64"/>
      <c r="X1051" s="64"/>
      <c r="Y1051" s="64"/>
      <c r="Z1051" s="64"/>
    </row>
    <row r="1052">
      <c r="A1052" s="64"/>
      <c r="B1052" s="64"/>
      <c r="C1052" s="64"/>
      <c r="D1052" s="64"/>
      <c r="E1052" s="64"/>
      <c r="F1052" s="64"/>
      <c r="G1052" s="64"/>
      <c r="H1052" s="64"/>
      <c r="I1052" s="64"/>
      <c r="J1052" s="64"/>
      <c r="K1052" s="64"/>
      <c r="L1052" s="64"/>
      <c r="M1052" s="64"/>
      <c r="N1052" s="64"/>
      <c r="O1052" s="64"/>
      <c r="P1052" s="64"/>
      <c r="Q1052" s="64"/>
      <c r="R1052" s="64"/>
      <c r="S1052" s="64"/>
      <c r="T1052" s="64"/>
      <c r="U1052" s="64"/>
      <c r="V1052" s="64"/>
      <c r="W1052" s="64"/>
      <c r="X1052" s="64"/>
      <c r="Y1052" s="64"/>
      <c r="Z1052" s="64"/>
    </row>
    <row r="1053">
      <c r="A1053" s="64"/>
      <c r="B1053" s="64"/>
      <c r="C1053" s="64"/>
      <c r="D1053" s="64"/>
      <c r="E1053" s="64"/>
      <c r="F1053" s="64"/>
      <c r="G1053" s="64"/>
      <c r="H1053" s="64"/>
      <c r="I1053" s="64"/>
      <c r="J1053" s="64"/>
      <c r="K1053" s="64"/>
      <c r="L1053" s="64"/>
      <c r="M1053" s="64"/>
      <c r="N1053" s="64"/>
      <c r="O1053" s="64"/>
      <c r="P1053" s="64"/>
      <c r="Q1053" s="64"/>
      <c r="R1053" s="64"/>
      <c r="S1053" s="64"/>
      <c r="T1053" s="64"/>
      <c r="U1053" s="64"/>
      <c r="V1053" s="64"/>
      <c r="W1053" s="64"/>
      <c r="X1053" s="64"/>
      <c r="Y1053" s="64"/>
      <c r="Z1053" s="64"/>
    </row>
    <row r="1054">
      <c r="A1054" s="64"/>
      <c r="B1054" s="64"/>
      <c r="C1054" s="64"/>
      <c r="D1054" s="64"/>
      <c r="E1054" s="64"/>
      <c r="F1054" s="64"/>
      <c r="G1054" s="64"/>
      <c r="H1054" s="64"/>
      <c r="I1054" s="64"/>
      <c r="J1054" s="64"/>
      <c r="K1054" s="64"/>
      <c r="L1054" s="64"/>
      <c r="M1054" s="64"/>
      <c r="N1054" s="64"/>
      <c r="O1054" s="64"/>
      <c r="P1054" s="64"/>
      <c r="Q1054" s="64"/>
      <c r="R1054" s="64"/>
      <c r="S1054" s="64"/>
      <c r="T1054" s="64"/>
      <c r="U1054" s="64"/>
      <c r="V1054" s="64"/>
      <c r="W1054" s="64"/>
      <c r="X1054" s="64"/>
      <c r="Y1054" s="64"/>
      <c r="Z1054" s="64"/>
    </row>
    <row r="1055">
      <c r="A1055" s="64"/>
      <c r="B1055" s="64"/>
      <c r="C1055" s="64"/>
      <c r="D1055" s="64"/>
      <c r="E1055" s="64"/>
      <c r="F1055" s="64"/>
      <c r="G1055" s="64"/>
      <c r="H1055" s="64"/>
      <c r="I1055" s="64"/>
      <c r="J1055" s="64"/>
      <c r="K1055" s="64"/>
      <c r="L1055" s="64"/>
      <c r="M1055" s="64"/>
      <c r="N1055" s="64"/>
      <c r="O1055" s="64"/>
      <c r="P1055" s="64"/>
      <c r="Q1055" s="64"/>
      <c r="R1055" s="64"/>
      <c r="S1055" s="64"/>
      <c r="T1055" s="64"/>
      <c r="U1055" s="64"/>
      <c r="V1055" s="64"/>
      <c r="W1055" s="64"/>
      <c r="X1055" s="64"/>
      <c r="Y1055" s="64"/>
      <c r="Z1055" s="64"/>
    </row>
    <row r="1056">
      <c r="A1056" s="64"/>
      <c r="B1056" s="64"/>
      <c r="C1056" s="64"/>
      <c r="D1056" s="64"/>
      <c r="E1056" s="64"/>
      <c r="F1056" s="64"/>
      <c r="G1056" s="64"/>
      <c r="H1056" s="64"/>
      <c r="I1056" s="64"/>
      <c r="J1056" s="64"/>
      <c r="K1056" s="64"/>
      <c r="L1056" s="64"/>
      <c r="M1056" s="64"/>
      <c r="N1056" s="64"/>
      <c r="O1056" s="64"/>
      <c r="P1056" s="64"/>
      <c r="Q1056" s="64"/>
      <c r="R1056" s="64"/>
      <c r="S1056" s="64"/>
      <c r="T1056" s="64"/>
      <c r="U1056" s="64"/>
      <c r="V1056" s="64"/>
      <c r="W1056" s="64"/>
      <c r="X1056" s="64"/>
      <c r="Y1056" s="64"/>
      <c r="Z1056" s="64"/>
    </row>
    <row r="1057">
      <c r="A1057" s="64"/>
      <c r="B1057" s="64"/>
      <c r="C1057" s="64"/>
      <c r="D1057" s="64"/>
      <c r="E1057" s="64"/>
      <c r="F1057" s="64"/>
      <c r="G1057" s="64"/>
      <c r="H1057" s="64"/>
      <c r="I1057" s="64"/>
      <c r="J1057" s="64"/>
      <c r="K1057" s="64"/>
      <c r="L1057" s="64"/>
      <c r="M1057" s="64"/>
      <c r="N1057" s="64"/>
      <c r="O1057" s="64"/>
      <c r="P1057" s="64"/>
      <c r="Q1057" s="64"/>
      <c r="R1057" s="64"/>
      <c r="S1057" s="64"/>
      <c r="T1057" s="64"/>
      <c r="U1057" s="64"/>
      <c r="V1057" s="64"/>
      <c r="W1057" s="64"/>
      <c r="X1057" s="64"/>
      <c r="Y1057" s="64"/>
      <c r="Z1057" s="64"/>
    </row>
    <row r="1058">
      <c r="A1058" s="64"/>
      <c r="B1058" s="64"/>
      <c r="C1058" s="64"/>
      <c r="D1058" s="64"/>
      <c r="E1058" s="64"/>
      <c r="F1058" s="64"/>
      <c r="G1058" s="64"/>
      <c r="H1058" s="64"/>
      <c r="I1058" s="64"/>
      <c r="J1058" s="64"/>
      <c r="K1058" s="64"/>
      <c r="L1058" s="64"/>
      <c r="M1058" s="64"/>
      <c r="N1058" s="64"/>
      <c r="O1058" s="64"/>
      <c r="P1058" s="64"/>
      <c r="Q1058" s="64"/>
      <c r="R1058" s="64"/>
      <c r="S1058" s="64"/>
      <c r="T1058" s="64"/>
      <c r="U1058" s="64"/>
      <c r="V1058" s="64"/>
      <c r="W1058" s="64"/>
      <c r="X1058" s="64"/>
      <c r="Y1058" s="64"/>
      <c r="Z1058" s="64"/>
    </row>
    <row r="1059">
      <c r="A1059" s="64"/>
      <c r="B1059" s="64"/>
      <c r="C1059" s="64"/>
      <c r="D1059" s="64"/>
      <c r="E1059" s="64"/>
      <c r="F1059" s="64"/>
      <c r="G1059" s="64"/>
      <c r="H1059" s="64"/>
      <c r="I1059" s="64"/>
      <c r="J1059" s="64"/>
      <c r="K1059" s="64"/>
      <c r="L1059" s="64"/>
      <c r="M1059" s="64"/>
      <c r="N1059" s="64"/>
      <c r="O1059" s="64"/>
      <c r="P1059" s="64"/>
      <c r="Q1059" s="64"/>
      <c r="R1059" s="64"/>
      <c r="S1059" s="64"/>
      <c r="T1059" s="64"/>
      <c r="U1059" s="64"/>
      <c r="V1059" s="64"/>
      <c r="W1059" s="64"/>
      <c r="X1059" s="64"/>
      <c r="Y1059" s="64"/>
      <c r="Z1059" s="64"/>
    </row>
    <row r="1060">
      <c r="A1060" s="64"/>
      <c r="B1060" s="64"/>
      <c r="C1060" s="64"/>
      <c r="D1060" s="64"/>
      <c r="E1060" s="64"/>
      <c r="F1060" s="64"/>
      <c r="G1060" s="64"/>
      <c r="H1060" s="64"/>
      <c r="I1060" s="64"/>
      <c r="J1060" s="64"/>
      <c r="K1060" s="64"/>
      <c r="L1060" s="64"/>
      <c r="M1060" s="64"/>
      <c r="N1060" s="64"/>
      <c r="O1060" s="64"/>
      <c r="P1060" s="64"/>
      <c r="Q1060" s="64"/>
      <c r="R1060" s="64"/>
      <c r="S1060" s="64"/>
      <c r="T1060" s="64"/>
      <c r="U1060" s="64"/>
      <c r="V1060" s="64"/>
      <c r="W1060" s="64"/>
      <c r="X1060" s="64"/>
      <c r="Y1060" s="64"/>
      <c r="Z1060" s="64"/>
    </row>
  </sheetData>
  <autoFilter ref="$A$1:$Z$64"/>
  <customSheetViews>
    <customSheetView guid="{4E722777-354C-41C4-BDAF-3C065BD42EC8}" filter="1" showAutoFilter="1">
      <autoFilter ref="$A$1:$L$63"/>
    </customSheetView>
  </customSheetViews>
  <conditionalFormatting sqref="F2:F64">
    <cfRule type="containsText" dxfId="0" priority="1" operator="containsText" text="Closed">
      <formula>NOT(ISERROR(SEARCH(("Closed"),(F2))))</formula>
    </cfRule>
  </conditionalFormatting>
  <conditionalFormatting sqref="F2:F64">
    <cfRule type="containsText" dxfId="3" priority="2" operator="containsText" text="Monitor">
      <formula>NOT(ISERROR(SEARCH(("Monitor"),(F2))))</formula>
    </cfRule>
  </conditionalFormatting>
  <conditionalFormatting sqref="F2:F64">
    <cfRule type="containsText" dxfId="4" priority="3" operator="containsText" text="Open">
      <formula>NOT(ISERROR(SEARCH(("Open"),(F2))))</formula>
    </cfRule>
  </conditionalFormatting>
  <conditionalFormatting sqref="F2:F64">
    <cfRule type="containsText" dxfId="5" priority="4" operator="containsText" text="NA">
      <formula>NOT(ISERROR(SEARCH(("NA"),(F2))))</formula>
    </cfRule>
  </conditionalFormatting>
  <dataValidations>
    <dataValidation type="list" allowBlank="1" sqref="B2:B64">
      <formula1>Option!$C$2:$C$16</formula1>
    </dataValidation>
    <dataValidation type="list" allowBlank="1" sqref="I2:J63 I64">
      <formula1>Option!$K$2:$K$17</formula1>
    </dataValidation>
    <dataValidation type="list" allowBlank="1" sqref="D2:D64">
      <formula1>Option!$D$2:$D$15</formula1>
    </dataValidation>
    <dataValidation type="list" allowBlank="1" sqref="F2:F64">
      <formula1>Option!$F$2:$F$5</formula1>
    </dataValidation>
    <dataValidation type="list" allowBlank="1" sqref="L2:L64">
      <formula1>"1.SCH,2.PCB,3.BOM,4.Parameter,5.SW/ME/RF/ANT/Component/MFG/Vendor,6.No Change"</formula1>
    </dataValidation>
    <dataValidation type="list" allowBlank="1" sqref="E2:E64">
      <formula1>Option!$G$2:$G$5</formula1>
    </dataValidation>
    <dataValidation type="list" allowBlank="1" sqref="C2:C64">
      <formula1>Option!$E$2:$E$15</formula1>
    </dataValidation>
  </dataValidations>
  <hyperlinks>
    <hyperlink r:id="rId2" location="slide=id.g4057557fca_0_46" ref="H3"/>
    <hyperlink r:id="rId3" location="slide=id.g38206f63195_0_13" ref="H4"/>
    <hyperlink r:id="rId4" location="slide=id.g4057557fca_0_46" ref="H5"/>
    <hyperlink r:id="rId5" location="slide=id.g348ede309fa_0_0" ref="H6"/>
    <hyperlink r:id="rId6" location="slide=id.g37a9de38a6a_0_0" ref="H7"/>
    <hyperlink r:id="rId7" location="slide=id.g374bc93f28e_0_13" ref="H8"/>
    <hyperlink r:id="rId8" location="slide=id.g37683dc8d91_4_0" ref="H11"/>
    <hyperlink r:id="rId9" location="slide=id.g4057557fca_0_46" ref="H12"/>
    <hyperlink r:id="rId10" ref="K12"/>
    <hyperlink r:id="rId11" ref="G15"/>
    <hyperlink r:id="rId12" location="slide=id.g36f6332ed76_0_17" ref="K15"/>
    <hyperlink r:id="rId13" location="slide=id.g36edd8a85fd_0_54" ref="H16"/>
    <hyperlink r:id="rId14" location="slide=id.g36de5f9f9b2_0_0" ref="H17"/>
    <hyperlink r:id="rId15" location="slide=id.g36de5f9f9b2_0_0" ref="K17"/>
    <hyperlink r:id="rId16" location="slide=id.g36f493206e2_0_1" ref="H18"/>
    <hyperlink r:id="rId17" location="slide=id.g36f317fdd2d_0_8" ref="H19"/>
    <hyperlink r:id="rId18" location="slide=id.g3705b442dff_0_35" ref="K20"/>
    <hyperlink r:id="rId19" location="slide=id.g36edd8a85fd_0_69" ref="K21"/>
    <hyperlink r:id="rId20" ref="H23"/>
    <hyperlink r:id="rId21" location="slide=id.g344b16bd5fa_0_8" ref="H24"/>
    <hyperlink r:id="rId22" ref="K24"/>
    <hyperlink r:id="rId23" location="slide=id.g36dd2092495_0_39" ref="H25"/>
    <hyperlink r:id="rId24" location="slide=id.g36dd2092495_0_0" ref="H26"/>
    <hyperlink r:id="rId25" location="slide=id.g36c0b14fed9_0_0" ref="H27"/>
    <hyperlink r:id="rId26" ref="G28"/>
    <hyperlink r:id="rId27" location="slide=id.g33d4f43d9c4_0_1" ref="H28"/>
    <hyperlink r:id="rId28" location="slide=id.g33d4f43d9c4_0_1" ref="H29"/>
    <hyperlink r:id="rId29" ref="K29"/>
    <hyperlink r:id="rId30" location="slide=id.g33d4f43d9c4_0_1" ref="H30"/>
    <hyperlink r:id="rId31" ref="K30"/>
    <hyperlink r:id="rId32" location="slide=id.g33d4f43d9c4_0_1" ref="H32"/>
    <hyperlink r:id="rId33" location="slide=id.g36bc386ba81_0_0" ref="H33"/>
    <hyperlink r:id="rId34" ref="H34"/>
    <hyperlink r:id="rId35" location="slide=id.g4057557fca_0_46" ref="H35"/>
    <hyperlink r:id="rId36" ref="H36"/>
    <hyperlink r:id="rId37" location="slide=id.g367c1e270cf_0_0" ref="H39"/>
    <hyperlink r:id="rId38" location="slide=id.g31774eae4e2_1_8" ref="H46"/>
    <hyperlink r:id="rId39" location="slide=id.g3821a910ce7_1_0" ref="H47"/>
    <hyperlink r:id="rId40" ref="K48"/>
    <hyperlink r:id="rId41" location="slide=id.g33616eb70da_0_1" ref="H49"/>
    <hyperlink r:id="rId42" location="/c/3418718/" ref="G50"/>
    <hyperlink r:id="rId43" ref="K50"/>
    <hyperlink r:id="rId44" location="slide=id.g35e76c29703_0_8" ref="H51"/>
    <hyperlink r:id="rId45" ref="K53"/>
    <hyperlink r:id="rId46" location="slide=id.g32151359908_0_5" ref="H55"/>
    <hyperlink r:id="rId47" ref="K55"/>
    <hyperlink r:id="rId48" location="slide=id.g32151359908_0_0" ref="H56"/>
    <hyperlink r:id="rId49" ref="K56"/>
    <hyperlink r:id="rId50" location="slide=id.g3515d8cc7dd_0_9" ref="H62"/>
    <hyperlink r:id="rId51" location="slide=id.p" ref="H63"/>
    <hyperlink r:id="rId52" ref="H64"/>
  </hyperlinks>
  <drawing r:id="rId53"/>
  <legacyDrawing r:id="rId5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1" max="1" width="12.88"/>
    <col customWidth="1" min="2" max="2" width="11.0"/>
    <col customWidth="1" min="3" max="3" width="14.25"/>
    <col customWidth="1" min="5" max="5" width="10.13"/>
    <col customWidth="1" min="7" max="7" width="110.13"/>
    <col customWidth="1" min="8" max="8" width="12.75"/>
    <col customWidth="1" min="12" max="12" width="33.88"/>
  </cols>
  <sheetData>
    <row r="1">
      <c r="A1" s="128" t="s">
        <v>54</v>
      </c>
      <c r="B1" s="4" t="s">
        <v>1</v>
      </c>
      <c r="C1" s="4" t="s">
        <v>2</v>
      </c>
      <c r="D1" s="4" t="s">
        <v>3</v>
      </c>
      <c r="E1" s="4" t="s">
        <v>4</v>
      </c>
      <c r="F1" s="4" t="s">
        <v>5</v>
      </c>
      <c r="G1" s="4" t="s">
        <v>6</v>
      </c>
      <c r="H1" s="4" t="s">
        <v>7</v>
      </c>
      <c r="I1" s="3" t="s">
        <v>8</v>
      </c>
      <c r="J1" s="3" t="s">
        <v>9</v>
      </c>
      <c r="K1" s="4" t="s">
        <v>10</v>
      </c>
      <c r="L1" s="4" t="s">
        <v>11</v>
      </c>
      <c r="M1" s="19" t="s">
        <v>55</v>
      </c>
    </row>
    <row r="2">
      <c r="A2" s="129">
        <v>2.025043E7</v>
      </c>
      <c r="B2" s="130" t="s">
        <v>12</v>
      </c>
      <c r="C2" s="131" t="s">
        <v>36</v>
      </c>
      <c r="D2" s="132" t="s">
        <v>27</v>
      </c>
      <c r="E2" s="133" t="s">
        <v>64</v>
      </c>
      <c r="F2" s="134" t="s">
        <v>59</v>
      </c>
      <c r="G2" s="25" t="s">
        <v>256</v>
      </c>
      <c r="H2" s="135" t="s">
        <v>61</v>
      </c>
      <c r="I2" s="136" t="s">
        <v>66</v>
      </c>
      <c r="J2" s="30"/>
      <c r="K2" s="137"/>
      <c r="L2" s="138"/>
      <c r="M2" s="139"/>
      <c r="N2" s="29"/>
      <c r="O2" s="29"/>
      <c r="P2" s="29"/>
      <c r="Q2" s="29"/>
      <c r="R2" s="29"/>
      <c r="S2" s="29"/>
      <c r="T2" s="29"/>
      <c r="U2" s="29"/>
      <c r="V2" s="29"/>
      <c r="W2" s="29"/>
      <c r="X2" s="29"/>
      <c r="Y2" s="29"/>
      <c r="Z2" s="29"/>
    </row>
    <row r="3">
      <c r="A3" s="129">
        <v>2.0250409E7</v>
      </c>
      <c r="B3" s="130" t="s">
        <v>25</v>
      </c>
      <c r="C3" s="131" t="s">
        <v>36</v>
      </c>
      <c r="D3" s="140" t="s">
        <v>14</v>
      </c>
      <c r="E3" s="141" t="s">
        <v>22</v>
      </c>
      <c r="F3" s="134" t="s">
        <v>16</v>
      </c>
      <c r="G3" s="25" t="s">
        <v>257</v>
      </c>
      <c r="H3" s="135" t="s">
        <v>61</v>
      </c>
      <c r="I3" s="136" t="s">
        <v>66</v>
      </c>
      <c r="J3" s="30"/>
      <c r="K3" s="137"/>
      <c r="L3" s="138" t="s">
        <v>71</v>
      </c>
      <c r="M3" s="139" t="s">
        <v>258</v>
      </c>
      <c r="N3" s="29"/>
      <c r="O3" s="29"/>
      <c r="P3" s="29"/>
      <c r="Q3" s="29"/>
      <c r="R3" s="29"/>
      <c r="S3" s="29"/>
      <c r="T3" s="29"/>
      <c r="U3" s="29"/>
      <c r="V3" s="29"/>
      <c r="W3" s="29"/>
      <c r="X3" s="29"/>
      <c r="Y3" s="29"/>
      <c r="Z3" s="29"/>
    </row>
    <row r="4">
      <c r="A4" s="129">
        <v>2.0250113E7</v>
      </c>
      <c r="B4" s="130" t="s">
        <v>19</v>
      </c>
      <c r="C4" s="8" t="s">
        <v>36</v>
      </c>
      <c r="D4" s="132" t="s">
        <v>81</v>
      </c>
      <c r="E4" s="133" t="s">
        <v>64</v>
      </c>
      <c r="F4" s="142" t="s">
        <v>64</v>
      </c>
      <c r="G4" s="25" t="s">
        <v>259</v>
      </c>
      <c r="H4" s="51" t="s">
        <v>61</v>
      </c>
      <c r="I4" s="56" t="s">
        <v>66</v>
      </c>
      <c r="J4" s="56"/>
      <c r="K4" s="34"/>
      <c r="L4" s="143" t="s">
        <v>68</v>
      </c>
      <c r="M4" s="58" t="s">
        <v>260</v>
      </c>
      <c r="N4" s="29"/>
      <c r="O4" s="29"/>
      <c r="P4" s="29"/>
      <c r="Q4" s="29"/>
      <c r="R4" s="29"/>
      <c r="S4" s="29"/>
      <c r="T4" s="29"/>
      <c r="U4" s="29"/>
      <c r="V4" s="29"/>
      <c r="W4" s="29"/>
      <c r="X4" s="29"/>
      <c r="Y4" s="29"/>
      <c r="Z4" s="29"/>
    </row>
    <row r="5">
      <c r="A5" s="129">
        <v>2.0250107E7</v>
      </c>
      <c r="B5" s="130" t="s">
        <v>43</v>
      </c>
      <c r="C5" s="8" t="s">
        <v>36</v>
      </c>
      <c r="D5" s="132" t="s">
        <v>14</v>
      </c>
      <c r="E5" s="133" t="s">
        <v>22</v>
      </c>
      <c r="F5" s="142" t="s">
        <v>16</v>
      </c>
      <c r="G5" s="25" t="s">
        <v>261</v>
      </c>
      <c r="H5" s="51" t="s">
        <v>61</v>
      </c>
      <c r="I5" s="56" t="s">
        <v>66</v>
      </c>
      <c r="J5" s="56"/>
      <c r="K5" s="26" t="s">
        <v>61</v>
      </c>
      <c r="L5" s="143" t="s">
        <v>71</v>
      </c>
      <c r="M5" s="99" t="s">
        <v>262</v>
      </c>
      <c r="N5" s="29"/>
      <c r="O5" s="29"/>
      <c r="P5" s="29"/>
      <c r="Q5" s="29"/>
      <c r="R5" s="29"/>
      <c r="S5" s="29"/>
      <c r="T5" s="29"/>
      <c r="U5" s="29"/>
      <c r="V5" s="29"/>
      <c r="W5" s="29"/>
      <c r="X5" s="29"/>
      <c r="Y5" s="29"/>
      <c r="Z5" s="29"/>
    </row>
    <row r="6">
      <c r="A6" s="129">
        <v>2.024122E7</v>
      </c>
      <c r="B6" s="130" t="s">
        <v>43</v>
      </c>
      <c r="C6" s="8" t="s">
        <v>49</v>
      </c>
      <c r="D6" s="132" t="s">
        <v>14</v>
      </c>
      <c r="E6" s="133" t="s">
        <v>15</v>
      </c>
      <c r="F6" s="142" t="s">
        <v>16</v>
      </c>
      <c r="G6" s="25" t="s">
        <v>263</v>
      </c>
      <c r="H6" s="26" t="s">
        <v>61</v>
      </c>
      <c r="I6" s="56" t="s">
        <v>115</v>
      </c>
      <c r="J6" s="56" t="s">
        <v>66</v>
      </c>
      <c r="K6" s="144"/>
      <c r="L6" s="143" t="s">
        <v>71</v>
      </c>
      <c r="M6" s="28"/>
      <c r="N6" s="29"/>
      <c r="O6" s="29"/>
      <c r="P6" s="29"/>
      <c r="Q6" s="29"/>
      <c r="R6" s="29"/>
      <c r="S6" s="29"/>
      <c r="T6" s="29"/>
      <c r="U6" s="29"/>
      <c r="V6" s="29"/>
      <c r="W6" s="29"/>
      <c r="X6" s="29"/>
      <c r="Y6" s="29"/>
      <c r="Z6" s="29"/>
    </row>
    <row r="7">
      <c r="A7" s="129">
        <v>2.024121E7</v>
      </c>
      <c r="B7" s="130" t="s">
        <v>43</v>
      </c>
      <c r="C7" s="8" t="s">
        <v>49</v>
      </c>
      <c r="D7" s="132" t="s">
        <v>14</v>
      </c>
      <c r="E7" s="133" t="s">
        <v>46</v>
      </c>
      <c r="F7" s="142" t="s">
        <v>16</v>
      </c>
      <c r="G7" s="25" t="s">
        <v>264</v>
      </c>
      <c r="H7" s="34"/>
      <c r="I7" s="56" t="s">
        <v>115</v>
      </c>
      <c r="J7" s="56" t="s">
        <v>127</v>
      </c>
      <c r="K7" s="144"/>
      <c r="L7" s="143" t="s">
        <v>71</v>
      </c>
      <c r="M7" s="28"/>
      <c r="N7" s="29"/>
      <c r="O7" s="29"/>
      <c r="P7" s="29"/>
      <c r="Q7" s="29"/>
      <c r="R7" s="29"/>
      <c r="S7" s="29"/>
      <c r="T7" s="29"/>
      <c r="U7" s="29"/>
      <c r="V7" s="29"/>
      <c r="W7" s="29"/>
      <c r="X7" s="29"/>
      <c r="Y7" s="29"/>
      <c r="Z7" s="29"/>
    </row>
    <row r="8">
      <c r="A8" s="129">
        <v>2.024121E7</v>
      </c>
      <c r="B8" s="130" t="s">
        <v>43</v>
      </c>
      <c r="C8" s="8" t="s">
        <v>76</v>
      </c>
      <c r="D8" s="132" t="s">
        <v>265</v>
      </c>
      <c r="E8" s="133" t="s">
        <v>46</v>
      </c>
      <c r="F8" s="142" t="s">
        <v>16</v>
      </c>
      <c r="G8" s="25" t="s">
        <v>266</v>
      </c>
      <c r="H8" s="26" t="s">
        <v>61</v>
      </c>
      <c r="I8" s="56" t="s">
        <v>62</v>
      </c>
      <c r="J8" s="56" t="s">
        <v>79</v>
      </c>
      <c r="K8" s="144"/>
      <c r="L8" s="143" t="s">
        <v>68</v>
      </c>
      <c r="M8" s="28"/>
      <c r="N8" s="29"/>
      <c r="O8" s="29"/>
      <c r="P8" s="29"/>
      <c r="Q8" s="29"/>
      <c r="R8" s="29"/>
      <c r="S8" s="29"/>
      <c r="T8" s="29"/>
      <c r="U8" s="29"/>
      <c r="V8" s="29"/>
      <c r="W8" s="29"/>
      <c r="X8" s="29"/>
      <c r="Y8" s="29"/>
      <c r="Z8" s="29"/>
    </row>
    <row r="9">
      <c r="A9" s="129">
        <v>2.024121E7</v>
      </c>
      <c r="B9" s="130" t="s">
        <v>43</v>
      </c>
      <c r="C9" s="8" t="s">
        <v>49</v>
      </c>
      <c r="D9" s="132" t="s">
        <v>44</v>
      </c>
      <c r="E9" s="133" t="s">
        <v>46</v>
      </c>
      <c r="F9" s="142" t="s">
        <v>86</v>
      </c>
      <c r="G9" s="25" t="s">
        <v>267</v>
      </c>
      <c r="H9" s="34"/>
      <c r="I9" s="56" t="s">
        <v>115</v>
      </c>
      <c r="J9" s="56" t="s">
        <v>127</v>
      </c>
      <c r="K9" s="144"/>
      <c r="L9" s="143" t="s">
        <v>71</v>
      </c>
      <c r="M9" s="28"/>
      <c r="N9" s="29"/>
      <c r="O9" s="29"/>
      <c r="P9" s="29"/>
      <c r="Q9" s="29"/>
      <c r="R9" s="29"/>
      <c r="S9" s="29"/>
      <c r="T9" s="29"/>
      <c r="U9" s="29"/>
      <c r="V9" s="29"/>
      <c r="W9" s="29"/>
      <c r="X9" s="29"/>
      <c r="Y9" s="29"/>
      <c r="Z9" s="29"/>
    </row>
    <row r="10">
      <c r="A10" s="129">
        <v>2.0241205E7</v>
      </c>
      <c r="B10" s="130" t="s">
        <v>43</v>
      </c>
      <c r="C10" s="8" t="s">
        <v>57</v>
      </c>
      <c r="D10" s="132" t="s">
        <v>95</v>
      </c>
      <c r="E10" s="133" t="s">
        <v>46</v>
      </c>
      <c r="F10" s="142" t="s">
        <v>16</v>
      </c>
      <c r="G10" s="25" t="s">
        <v>268</v>
      </c>
      <c r="H10" s="26" t="s">
        <v>61</v>
      </c>
      <c r="I10" s="56" t="s">
        <v>62</v>
      </c>
      <c r="J10" s="56" t="s">
        <v>70</v>
      </c>
      <c r="K10" s="144"/>
      <c r="L10" s="143" t="s">
        <v>63</v>
      </c>
      <c r="M10" s="28"/>
      <c r="N10" s="29"/>
      <c r="O10" s="29"/>
      <c r="P10" s="29"/>
      <c r="Q10" s="29"/>
      <c r="R10" s="29"/>
      <c r="S10" s="29"/>
      <c r="T10" s="29"/>
      <c r="U10" s="29"/>
      <c r="V10" s="29"/>
      <c r="W10" s="29"/>
      <c r="X10" s="29"/>
      <c r="Y10" s="29"/>
      <c r="Z10" s="29"/>
    </row>
    <row r="11">
      <c r="A11" s="129">
        <v>2.0241205E7</v>
      </c>
      <c r="B11" s="130" t="s">
        <v>43</v>
      </c>
      <c r="C11" s="8" t="s">
        <v>57</v>
      </c>
      <c r="D11" s="132" t="s">
        <v>95</v>
      </c>
      <c r="E11" s="133" t="s">
        <v>46</v>
      </c>
      <c r="F11" s="142" t="s">
        <v>16</v>
      </c>
      <c r="G11" s="25" t="s">
        <v>269</v>
      </c>
      <c r="H11" s="26" t="s">
        <v>61</v>
      </c>
      <c r="I11" s="56" t="s">
        <v>62</v>
      </c>
      <c r="J11" s="56" t="s">
        <v>127</v>
      </c>
      <c r="K11" s="144"/>
      <c r="L11" s="143" t="s">
        <v>167</v>
      </c>
      <c r="M11" s="28"/>
      <c r="N11" s="29"/>
      <c r="O11" s="29"/>
      <c r="P11" s="29"/>
      <c r="Q11" s="29"/>
      <c r="R11" s="29"/>
      <c r="S11" s="29"/>
      <c r="T11" s="29"/>
      <c r="U11" s="29"/>
      <c r="V11" s="29"/>
      <c r="W11" s="29"/>
      <c r="X11" s="29"/>
      <c r="Y11" s="29"/>
      <c r="Z11" s="29"/>
    </row>
    <row r="12">
      <c r="A12" s="145">
        <v>45629.0</v>
      </c>
      <c r="B12" s="130" t="s">
        <v>43</v>
      </c>
      <c r="C12" s="8" t="s">
        <v>49</v>
      </c>
      <c r="D12" s="132" t="s">
        <v>44</v>
      </c>
      <c r="E12" s="133" t="s">
        <v>15</v>
      </c>
      <c r="F12" s="142" t="s">
        <v>16</v>
      </c>
      <c r="G12" s="25" t="s">
        <v>270</v>
      </c>
      <c r="H12" s="34"/>
      <c r="I12" s="56" t="s">
        <v>115</v>
      </c>
      <c r="J12" s="56" t="s">
        <v>66</v>
      </c>
      <c r="K12" s="146" t="s">
        <v>61</v>
      </c>
      <c r="L12" s="143" t="s">
        <v>167</v>
      </c>
      <c r="M12" s="28"/>
      <c r="N12" s="29"/>
      <c r="O12" s="29"/>
      <c r="P12" s="29"/>
      <c r="Q12" s="29"/>
      <c r="R12" s="29"/>
      <c r="S12" s="29"/>
      <c r="T12" s="29"/>
      <c r="U12" s="29"/>
      <c r="V12" s="29"/>
      <c r="W12" s="29"/>
      <c r="X12" s="29"/>
      <c r="Y12" s="29"/>
      <c r="Z12" s="29"/>
    </row>
    <row r="13" ht="37.5" customHeight="1">
      <c r="A13" s="145">
        <v>45629.0</v>
      </c>
      <c r="B13" s="130" t="s">
        <v>43</v>
      </c>
      <c r="C13" s="8" t="s">
        <v>49</v>
      </c>
      <c r="D13" s="132" t="s">
        <v>44</v>
      </c>
      <c r="E13" s="133" t="s">
        <v>22</v>
      </c>
      <c r="F13" s="142" t="s">
        <v>16</v>
      </c>
      <c r="G13" s="25" t="s">
        <v>271</v>
      </c>
      <c r="H13" s="34"/>
      <c r="I13" s="56" t="s">
        <v>115</v>
      </c>
      <c r="J13" s="56"/>
      <c r="K13" s="144"/>
      <c r="L13" s="143" t="s">
        <v>68</v>
      </c>
      <c r="M13" s="28"/>
      <c r="N13" s="29"/>
      <c r="O13" s="29"/>
      <c r="P13" s="29"/>
      <c r="Q13" s="29"/>
      <c r="R13" s="29"/>
      <c r="S13" s="29"/>
      <c r="T13" s="29"/>
      <c r="U13" s="29"/>
      <c r="V13" s="29"/>
      <c r="W13" s="29"/>
      <c r="X13" s="29"/>
      <c r="Y13" s="29"/>
      <c r="Z13" s="29"/>
    </row>
    <row r="14">
      <c r="A14" s="145">
        <v>45629.0</v>
      </c>
      <c r="B14" s="130" t="s">
        <v>56</v>
      </c>
      <c r="C14" s="8" t="s">
        <v>49</v>
      </c>
      <c r="D14" s="132" t="s">
        <v>265</v>
      </c>
      <c r="E14" s="133" t="s">
        <v>22</v>
      </c>
      <c r="F14" s="142" t="s">
        <v>16</v>
      </c>
      <c r="G14" s="25" t="s">
        <v>272</v>
      </c>
      <c r="H14" s="26" t="s">
        <v>61</v>
      </c>
      <c r="I14" s="56" t="s">
        <v>115</v>
      </c>
      <c r="J14" s="56"/>
      <c r="K14" s="144"/>
      <c r="L14" s="143" t="s">
        <v>167</v>
      </c>
      <c r="M14" s="28"/>
      <c r="N14" s="29"/>
      <c r="O14" s="29"/>
      <c r="P14" s="29"/>
      <c r="Q14" s="29"/>
      <c r="R14" s="29"/>
      <c r="S14" s="29"/>
      <c r="T14" s="29"/>
      <c r="U14" s="29"/>
      <c r="V14" s="29"/>
      <c r="W14" s="29"/>
      <c r="X14" s="29"/>
      <c r="Y14" s="29"/>
      <c r="Z14" s="29"/>
    </row>
    <row r="15" ht="57.0" customHeight="1">
      <c r="A15" s="20">
        <v>45600.0</v>
      </c>
      <c r="B15" s="130" t="s">
        <v>56</v>
      </c>
      <c r="C15" s="8" t="s">
        <v>76</v>
      </c>
      <c r="D15" s="132" t="s">
        <v>95</v>
      </c>
      <c r="E15" s="133" t="s">
        <v>22</v>
      </c>
      <c r="F15" s="142" t="s">
        <v>16</v>
      </c>
      <c r="G15" s="25" t="s">
        <v>273</v>
      </c>
      <c r="H15" s="34" t="s">
        <v>61</v>
      </c>
      <c r="I15" s="56" t="s">
        <v>79</v>
      </c>
      <c r="J15" s="56" t="s">
        <v>127</v>
      </c>
      <c r="K15" s="144"/>
      <c r="L15" s="143" t="s">
        <v>167</v>
      </c>
      <c r="M15" s="28"/>
      <c r="N15" s="29"/>
      <c r="O15" s="29"/>
      <c r="P15" s="29"/>
      <c r="Q15" s="29"/>
      <c r="R15" s="29"/>
      <c r="S15" s="29"/>
      <c r="T15" s="29"/>
      <c r="U15" s="29"/>
      <c r="V15" s="29"/>
      <c r="W15" s="29"/>
      <c r="X15" s="29"/>
      <c r="Y15" s="29"/>
      <c r="Z15" s="29"/>
    </row>
    <row r="16" ht="57.0" customHeight="1">
      <c r="A16" s="20">
        <v>45600.0</v>
      </c>
      <c r="B16" s="130" t="s">
        <v>56</v>
      </c>
      <c r="C16" s="8" t="s">
        <v>49</v>
      </c>
      <c r="D16" s="132" t="s">
        <v>95</v>
      </c>
      <c r="E16" s="133" t="s">
        <v>22</v>
      </c>
      <c r="F16" s="142" t="s">
        <v>16</v>
      </c>
      <c r="G16" s="25" t="s">
        <v>274</v>
      </c>
      <c r="H16" s="26" t="s">
        <v>61</v>
      </c>
      <c r="I16" s="56" t="s">
        <v>115</v>
      </c>
      <c r="J16" s="56"/>
      <c r="K16" s="144"/>
      <c r="L16" s="143" t="s">
        <v>71</v>
      </c>
      <c r="M16" s="28"/>
      <c r="N16" s="29"/>
      <c r="O16" s="29"/>
      <c r="P16" s="29"/>
      <c r="Q16" s="29"/>
      <c r="R16" s="29"/>
      <c r="S16" s="29"/>
      <c r="T16" s="29"/>
      <c r="U16" s="29"/>
      <c r="V16" s="29"/>
      <c r="W16" s="29"/>
      <c r="X16" s="29"/>
      <c r="Y16" s="29"/>
      <c r="Z16" s="29"/>
    </row>
    <row r="17" ht="33.0" customHeight="1">
      <c r="A17" s="20">
        <v>45603.0</v>
      </c>
      <c r="B17" s="130" t="s">
        <v>56</v>
      </c>
      <c r="C17" s="8" t="s">
        <v>83</v>
      </c>
      <c r="D17" s="132" t="s">
        <v>44</v>
      </c>
      <c r="E17" s="133" t="s">
        <v>64</v>
      </c>
      <c r="F17" s="142" t="s">
        <v>16</v>
      </c>
      <c r="G17" s="25" t="s">
        <v>275</v>
      </c>
      <c r="H17" s="26" t="s">
        <v>61</v>
      </c>
      <c r="I17" s="56" t="s">
        <v>66</v>
      </c>
      <c r="J17" s="56"/>
      <c r="K17" s="144"/>
      <c r="L17" s="143" t="s">
        <v>162</v>
      </c>
      <c r="M17" s="28"/>
      <c r="N17" s="29"/>
      <c r="O17" s="29"/>
      <c r="P17" s="29"/>
      <c r="Q17" s="29"/>
      <c r="R17" s="29"/>
      <c r="S17" s="29"/>
      <c r="T17" s="29"/>
      <c r="U17" s="29"/>
      <c r="V17" s="29"/>
      <c r="W17" s="29"/>
      <c r="X17" s="29"/>
      <c r="Y17" s="29"/>
      <c r="Z17" s="29"/>
    </row>
    <row r="18" ht="210.75" customHeight="1">
      <c r="A18" s="20">
        <v>45581.0</v>
      </c>
      <c r="B18" s="130" t="s">
        <v>121</v>
      </c>
      <c r="C18" s="8" t="s">
        <v>76</v>
      </c>
      <c r="D18" s="132" t="s">
        <v>95</v>
      </c>
      <c r="E18" s="133" t="s">
        <v>22</v>
      </c>
      <c r="F18" s="142" t="s">
        <v>16</v>
      </c>
      <c r="G18" s="25" t="s">
        <v>276</v>
      </c>
      <c r="H18" s="26" t="s">
        <v>112</v>
      </c>
      <c r="I18" s="56" t="s">
        <v>79</v>
      </c>
      <c r="J18" s="56"/>
      <c r="K18" s="144"/>
      <c r="L18" s="143" t="s">
        <v>167</v>
      </c>
      <c r="M18" s="28"/>
      <c r="N18" s="29"/>
      <c r="O18" s="29"/>
      <c r="P18" s="29"/>
      <c r="Q18" s="29"/>
      <c r="R18" s="29"/>
      <c r="S18" s="29"/>
      <c r="T18" s="29"/>
      <c r="U18" s="29"/>
      <c r="V18" s="29"/>
      <c r="W18" s="29"/>
      <c r="X18" s="29"/>
      <c r="Y18" s="29"/>
      <c r="Z18" s="29"/>
    </row>
    <row r="19">
      <c r="A19" s="20">
        <v>45580.0</v>
      </c>
      <c r="B19" s="130" t="s">
        <v>121</v>
      </c>
      <c r="C19" s="8" t="s">
        <v>36</v>
      </c>
      <c r="D19" s="132" t="s">
        <v>77</v>
      </c>
      <c r="E19" s="133" t="s">
        <v>22</v>
      </c>
      <c r="F19" s="142" t="s">
        <v>16</v>
      </c>
      <c r="G19" s="25" t="s">
        <v>277</v>
      </c>
      <c r="H19" s="34"/>
      <c r="I19" s="56" t="s">
        <v>66</v>
      </c>
      <c r="J19" s="56"/>
      <c r="K19" s="144"/>
      <c r="L19" s="143" t="s">
        <v>63</v>
      </c>
      <c r="M19" s="28"/>
      <c r="N19" s="29"/>
      <c r="O19" s="29"/>
      <c r="P19" s="29"/>
      <c r="Q19" s="29"/>
      <c r="R19" s="29"/>
      <c r="S19" s="29"/>
      <c r="T19" s="29"/>
      <c r="U19" s="29"/>
      <c r="V19" s="29"/>
      <c r="W19" s="29"/>
      <c r="X19" s="29"/>
      <c r="Y19" s="29"/>
      <c r="Z19" s="29"/>
    </row>
    <row r="20">
      <c r="A20" s="20">
        <v>45577.0</v>
      </c>
      <c r="B20" s="130" t="s">
        <v>121</v>
      </c>
      <c r="C20" s="8" t="s">
        <v>83</v>
      </c>
      <c r="D20" s="132" t="s">
        <v>77</v>
      </c>
      <c r="E20" s="133" t="s">
        <v>64</v>
      </c>
      <c r="F20" s="142" t="s">
        <v>16</v>
      </c>
      <c r="G20" s="25" t="s">
        <v>278</v>
      </c>
      <c r="H20" s="34"/>
      <c r="I20" s="56" t="s">
        <v>66</v>
      </c>
      <c r="J20" s="56" t="s">
        <v>127</v>
      </c>
      <c r="K20" s="144"/>
      <c r="L20" s="143" t="s">
        <v>63</v>
      </c>
      <c r="M20" s="28"/>
      <c r="N20" s="29"/>
      <c r="O20" s="29"/>
      <c r="P20" s="29"/>
      <c r="Q20" s="29"/>
      <c r="R20" s="29"/>
      <c r="S20" s="29"/>
      <c r="T20" s="29"/>
      <c r="U20" s="29"/>
      <c r="V20" s="29"/>
      <c r="W20" s="29"/>
      <c r="X20" s="29"/>
      <c r="Y20" s="29"/>
      <c r="Z20" s="29"/>
    </row>
    <row r="21">
      <c r="A21" s="20">
        <v>45533.0</v>
      </c>
      <c r="B21" s="130" t="s">
        <v>75</v>
      </c>
      <c r="C21" s="8" t="s">
        <v>26</v>
      </c>
      <c r="D21" s="132" t="s">
        <v>27</v>
      </c>
      <c r="E21" s="133" t="s">
        <v>64</v>
      </c>
      <c r="F21" s="133" t="s">
        <v>64</v>
      </c>
      <c r="G21" s="25" t="s">
        <v>279</v>
      </c>
      <c r="H21" s="34"/>
      <c r="I21" s="56" t="s">
        <v>66</v>
      </c>
      <c r="J21" s="56"/>
      <c r="K21" s="144"/>
      <c r="L21" s="138"/>
      <c r="M21" s="28"/>
      <c r="N21" s="29"/>
      <c r="O21" s="29"/>
      <c r="P21" s="29"/>
      <c r="Q21" s="29"/>
      <c r="R21" s="29"/>
      <c r="S21" s="29"/>
      <c r="T21" s="29"/>
      <c r="U21" s="29"/>
      <c r="V21" s="29"/>
      <c r="W21" s="29"/>
      <c r="X21" s="29"/>
      <c r="Y21" s="29"/>
      <c r="Z21" s="29"/>
    </row>
    <row r="22">
      <c r="A22" s="20">
        <v>45533.0</v>
      </c>
      <c r="B22" s="130" t="s">
        <v>75</v>
      </c>
      <c r="C22" s="8" t="s">
        <v>30</v>
      </c>
      <c r="D22" s="132" t="s">
        <v>81</v>
      </c>
      <c r="E22" s="133" t="s">
        <v>64</v>
      </c>
      <c r="F22" s="142" t="s">
        <v>16</v>
      </c>
      <c r="G22" s="25" t="s">
        <v>280</v>
      </c>
      <c r="H22" s="26" t="s">
        <v>112</v>
      </c>
      <c r="I22" s="56" t="s">
        <v>127</v>
      </c>
      <c r="J22" s="56"/>
      <c r="K22" s="144"/>
      <c r="L22" s="143" t="s">
        <v>63</v>
      </c>
      <c r="M22" s="28"/>
      <c r="N22" s="29"/>
      <c r="O22" s="29"/>
      <c r="P22" s="29"/>
      <c r="Q22" s="29"/>
      <c r="R22" s="29"/>
      <c r="S22" s="29"/>
      <c r="T22" s="29"/>
      <c r="U22" s="29"/>
      <c r="V22" s="29"/>
      <c r="W22" s="29"/>
      <c r="X22" s="29"/>
      <c r="Y22" s="29"/>
      <c r="Z22" s="29"/>
    </row>
    <row r="23">
      <c r="A23" s="20"/>
      <c r="B23" s="21"/>
      <c r="C23" s="22"/>
      <c r="D23" s="23"/>
      <c r="E23" s="23"/>
      <c r="F23" s="49"/>
      <c r="G23" s="147"/>
      <c r="H23" s="144"/>
      <c r="I23" s="143"/>
      <c r="J23" s="143"/>
      <c r="K23" s="144"/>
      <c r="L23" s="138"/>
      <c r="M23" s="28"/>
      <c r="N23" s="29"/>
      <c r="O23" s="29"/>
      <c r="P23" s="29"/>
      <c r="Q23" s="29"/>
      <c r="R23" s="29"/>
      <c r="S23" s="29"/>
      <c r="T23" s="29"/>
      <c r="U23" s="29"/>
      <c r="V23" s="29"/>
      <c r="W23" s="29"/>
      <c r="X23" s="29"/>
      <c r="Y23" s="29"/>
      <c r="Z23" s="29"/>
    </row>
    <row r="24">
      <c r="A24" s="20"/>
      <c r="B24" s="130"/>
      <c r="C24" s="131"/>
      <c r="D24" s="132"/>
      <c r="E24" s="132"/>
      <c r="F24" s="49"/>
      <c r="G24" s="130"/>
      <c r="H24" s="144"/>
      <c r="I24" s="148"/>
      <c r="J24" s="143"/>
      <c r="K24" s="144"/>
      <c r="L24" s="138"/>
      <c r="M24" s="28"/>
      <c r="N24" s="29"/>
      <c r="O24" s="29"/>
      <c r="P24" s="29"/>
      <c r="Q24" s="29"/>
      <c r="R24" s="29"/>
      <c r="S24" s="29"/>
      <c r="T24" s="29"/>
      <c r="U24" s="29"/>
      <c r="V24" s="29"/>
      <c r="W24" s="29"/>
      <c r="X24" s="29"/>
      <c r="Y24" s="29"/>
      <c r="Z24" s="29"/>
    </row>
    <row r="25">
      <c r="A25" s="31"/>
      <c r="B25" s="130"/>
      <c r="C25" s="131"/>
      <c r="D25" s="140"/>
      <c r="E25" s="140"/>
      <c r="F25" s="49"/>
      <c r="G25" s="130"/>
      <c r="H25" s="149"/>
      <c r="I25" s="148"/>
      <c r="J25" s="138"/>
      <c r="K25" s="138"/>
      <c r="L25" s="138"/>
      <c r="M25" s="28"/>
      <c r="N25" s="29"/>
      <c r="O25" s="29"/>
      <c r="P25" s="29"/>
      <c r="Q25" s="29"/>
      <c r="R25" s="29"/>
      <c r="S25" s="29"/>
      <c r="T25" s="29"/>
      <c r="U25" s="29"/>
      <c r="V25" s="29"/>
      <c r="W25" s="29"/>
      <c r="X25" s="29"/>
      <c r="Y25" s="29"/>
      <c r="Z25" s="29"/>
    </row>
    <row r="26">
      <c r="A26" s="20"/>
      <c r="B26" s="32"/>
      <c r="C26" s="22"/>
      <c r="D26" s="23"/>
      <c r="E26" s="23"/>
      <c r="F26" s="49"/>
      <c r="G26" s="21"/>
      <c r="H26" s="34"/>
      <c r="I26" s="56"/>
      <c r="J26" s="30"/>
      <c r="K26" s="150"/>
      <c r="L26" s="30"/>
      <c r="M26" s="28"/>
      <c r="N26" s="29"/>
      <c r="O26" s="29"/>
      <c r="P26" s="29"/>
      <c r="Q26" s="29"/>
      <c r="R26" s="29"/>
      <c r="S26" s="29"/>
      <c r="T26" s="29"/>
      <c r="U26" s="29"/>
      <c r="V26" s="29"/>
      <c r="W26" s="29"/>
      <c r="X26" s="29"/>
      <c r="Y26" s="29"/>
      <c r="Z26" s="29"/>
    </row>
    <row r="27">
      <c r="A27" s="20"/>
      <c r="B27" s="21"/>
      <c r="C27" s="22"/>
      <c r="D27" s="23"/>
      <c r="E27" s="23"/>
      <c r="F27" s="49"/>
      <c r="G27" s="147"/>
      <c r="H27" s="45"/>
      <c r="I27" s="56"/>
      <c r="J27" s="56"/>
      <c r="K27" s="150"/>
      <c r="L27" s="34"/>
      <c r="M27" s="28"/>
      <c r="N27" s="29"/>
      <c r="O27" s="29"/>
      <c r="P27" s="29"/>
      <c r="Q27" s="29"/>
      <c r="R27" s="29"/>
      <c r="S27" s="29"/>
      <c r="T27" s="29"/>
      <c r="U27" s="29"/>
      <c r="V27" s="29"/>
      <c r="W27" s="29"/>
      <c r="X27" s="29"/>
      <c r="Y27" s="29"/>
      <c r="Z27" s="29"/>
    </row>
    <row r="28">
      <c r="A28" s="20"/>
      <c r="B28" s="21"/>
      <c r="C28" s="22"/>
      <c r="D28" s="23"/>
      <c r="E28" s="23"/>
      <c r="F28" s="49"/>
      <c r="G28" s="147"/>
      <c r="H28" s="45"/>
      <c r="I28" s="56"/>
      <c r="J28" s="56"/>
      <c r="K28" s="150"/>
      <c r="L28" s="34"/>
      <c r="M28" s="28"/>
      <c r="N28" s="29"/>
      <c r="O28" s="29"/>
      <c r="P28" s="29"/>
      <c r="Q28" s="29"/>
      <c r="R28" s="29"/>
      <c r="S28" s="29"/>
      <c r="T28" s="29"/>
      <c r="U28" s="29"/>
      <c r="V28" s="29"/>
      <c r="W28" s="29"/>
      <c r="X28" s="29"/>
      <c r="Y28" s="29"/>
      <c r="Z28" s="29"/>
    </row>
    <row r="29">
      <c r="A29" s="20"/>
      <c r="B29" s="21"/>
      <c r="C29" s="22"/>
      <c r="D29" s="23"/>
      <c r="E29" s="23"/>
      <c r="F29" s="49"/>
      <c r="G29" s="147"/>
      <c r="H29" s="45"/>
      <c r="I29" s="56"/>
      <c r="J29" s="56"/>
      <c r="K29" s="151"/>
      <c r="L29" s="34"/>
      <c r="M29" s="28"/>
      <c r="N29" s="29"/>
      <c r="O29" s="29"/>
      <c r="P29" s="29"/>
      <c r="Q29" s="29"/>
      <c r="R29" s="29"/>
      <c r="S29" s="29"/>
      <c r="T29" s="29"/>
      <c r="U29" s="29"/>
      <c r="V29" s="29"/>
      <c r="W29" s="29"/>
      <c r="X29" s="29"/>
      <c r="Y29" s="29"/>
      <c r="Z29" s="29"/>
    </row>
    <row r="30">
      <c r="A30" s="20"/>
      <c r="B30" s="21"/>
      <c r="C30" s="22"/>
      <c r="D30" s="23"/>
      <c r="E30" s="23"/>
      <c r="F30" s="49"/>
      <c r="G30" s="54"/>
      <c r="H30" s="45"/>
      <c r="I30" s="56"/>
      <c r="J30" s="56"/>
      <c r="K30" s="34"/>
      <c r="L30" s="34"/>
      <c r="M30" s="28"/>
      <c r="N30" s="29"/>
      <c r="O30" s="29"/>
      <c r="P30" s="29"/>
      <c r="Q30" s="29"/>
      <c r="R30" s="29"/>
      <c r="S30" s="29"/>
      <c r="T30" s="29"/>
      <c r="U30" s="29"/>
      <c r="V30" s="29"/>
      <c r="W30" s="29"/>
      <c r="X30" s="29"/>
      <c r="Y30" s="29"/>
      <c r="Z30" s="29"/>
    </row>
    <row r="31">
      <c r="A31" s="20"/>
      <c r="B31" s="21"/>
      <c r="C31" s="22"/>
      <c r="D31" s="23"/>
      <c r="E31" s="23"/>
      <c r="F31" s="49"/>
      <c r="G31" s="152"/>
      <c r="H31" s="45"/>
      <c r="I31" s="56"/>
      <c r="J31" s="56"/>
      <c r="K31" s="34"/>
      <c r="L31" s="34"/>
      <c r="M31" s="28"/>
      <c r="N31" s="29"/>
      <c r="O31" s="29"/>
      <c r="P31" s="29"/>
      <c r="Q31" s="29"/>
      <c r="R31" s="29"/>
      <c r="S31" s="29"/>
      <c r="T31" s="29"/>
      <c r="U31" s="29"/>
      <c r="V31" s="29"/>
      <c r="W31" s="29"/>
      <c r="X31" s="29"/>
      <c r="Y31" s="29"/>
      <c r="Z31" s="29"/>
    </row>
    <row r="32">
      <c r="A32" s="20"/>
      <c r="B32" s="21"/>
      <c r="C32" s="22"/>
      <c r="D32" s="23"/>
      <c r="E32" s="23"/>
      <c r="F32" s="49"/>
      <c r="G32" s="152"/>
      <c r="H32" s="45"/>
      <c r="I32" s="56"/>
      <c r="J32" s="56"/>
      <c r="K32" s="34"/>
      <c r="L32" s="34"/>
      <c r="M32" s="28">
        <f>2.77*4.28</f>
        <v>11.8556</v>
      </c>
      <c r="N32" s="29">
        <f>0.78*11.9</f>
        <v>9.282</v>
      </c>
      <c r="O32" s="29"/>
      <c r="P32" s="29"/>
      <c r="Q32" s="29"/>
      <c r="R32" s="29"/>
      <c r="S32" s="29"/>
      <c r="T32" s="29"/>
      <c r="U32" s="29"/>
      <c r="V32" s="29"/>
      <c r="W32" s="29"/>
      <c r="X32" s="29"/>
      <c r="Y32" s="29"/>
      <c r="Z32" s="29"/>
    </row>
    <row r="33">
      <c r="A33" s="20"/>
      <c r="B33" s="21"/>
      <c r="C33" s="22"/>
      <c r="D33" s="23"/>
      <c r="E33" s="23"/>
      <c r="F33" s="49"/>
      <c r="G33" s="147"/>
      <c r="H33" s="45"/>
      <c r="I33" s="56"/>
      <c r="J33" s="56"/>
      <c r="K33" s="34"/>
      <c r="L33" s="34"/>
      <c r="M33" s="28"/>
      <c r="N33" s="29"/>
      <c r="O33" s="29"/>
      <c r="P33" s="29"/>
      <c r="Q33" s="29"/>
      <c r="R33" s="29"/>
      <c r="S33" s="29"/>
      <c r="T33" s="29"/>
      <c r="U33" s="29"/>
      <c r="V33" s="29"/>
      <c r="W33" s="29"/>
      <c r="X33" s="29"/>
      <c r="Y33" s="29"/>
      <c r="Z33" s="29"/>
    </row>
    <row r="34">
      <c r="A34" s="20"/>
      <c r="B34" s="21"/>
      <c r="C34" s="22"/>
      <c r="D34" s="23"/>
      <c r="E34" s="23"/>
      <c r="F34" s="49"/>
      <c r="G34" s="147"/>
      <c r="H34" s="45"/>
      <c r="I34" s="56"/>
      <c r="J34" s="56"/>
      <c r="K34" s="34"/>
      <c r="L34" s="34"/>
      <c r="M34" s="28"/>
      <c r="N34" s="29"/>
      <c r="O34" s="29"/>
      <c r="P34" s="29"/>
      <c r="Q34" s="29"/>
      <c r="R34" s="29"/>
      <c r="S34" s="29"/>
      <c r="T34" s="29"/>
      <c r="U34" s="29"/>
      <c r="V34" s="29"/>
      <c r="W34" s="29"/>
      <c r="X34" s="29"/>
      <c r="Y34" s="29"/>
      <c r="Z34" s="29"/>
    </row>
    <row r="35">
      <c r="A35" s="20"/>
      <c r="B35" s="130"/>
      <c r="C35" s="8"/>
      <c r="D35" s="132"/>
      <c r="E35" s="132"/>
      <c r="F35" s="142"/>
      <c r="G35" s="153"/>
      <c r="H35" s="45"/>
      <c r="I35" s="56"/>
      <c r="J35" s="56"/>
      <c r="K35" s="144"/>
      <c r="L35" s="144"/>
      <c r="M35" s="28"/>
      <c r="N35" s="29"/>
      <c r="O35" s="29"/>
      <c r="P35" s="29"/>
      <c r="Q35" s="29"/>
      <c r="R35" s="29"/>
      <c r="S35" s="29"/>
      <c r="T35" s="29"/>
      <c r="U35" s="29"/>
      <c r="V35" s="29"/>
      <c r="W35" s="29"/>
      <c r="X35" s="29"/>
      <c r="Y35" s="29"/>
      <c r="Z35" s="29"/>
    </row>
    <row r="36">
      <c r="A36" s="20"/>
      <c r="B36" s="130"/>
      <c r="C36" s="8"/>
      <c r="D36" s="132"/>
      <c r="E36" s="132"/>
      <c r="F36" s="142"/>
      <c r="G36" s="153"/>
      <c r="H36" s="45"/>
      <c r="I36" s="56"/>
      <c r="J36" s="56"/>
      <c r="K36" s="144"/>
      <c r="L36" s="144"/>
      <c r="M36" s="28"/>
      <c r="N36" s="29"/>
      <c r="O36" s="29"/>
      <c r="P36" s="29"/>
      <c r="Q36" s="29"/>
      <c r="R36" s="29"/>
      <c r="S36" s="29"/>
      <c r="T36" s="29"/>
      <c r="U36" s="29"/>
      <c r="V36" s="29"/>
      <c r="W36" s="29"/>
      <c r="X36" s="29"/>
      <c r="Y36" s="29"/>
      <c r="Z36" s="29"/>
    </row>
    <row r="37">
      <c r="A37" s="20"/>
      <c r="B37" s="130"/>
      <c r="C37" s="8"/>
      <c r="D37" s="132"/>
      <c r="E37" s="132"/>
      <c r="F37" s="142"/>
      <c r="G37" s="153"/>
      <c r="H37" s="45"/>
      <c r="I37" s="56"/>
      <c r="J37" s="56"/>
      <c r="K37" s="154"/>
      <c r="L37" s="144"/>
      <c r="M37" s="28"/>
      <c r="N37" s="29"/>
      <c r="O37" s="29"/>
      <c r="P37" s="29"/>
      <c r="Q37" s="29"/>
      <c r="R37" s="29"/>
      <c r="S37" s="29"/>
      <c r="T37" s="29"/>
      <c r="U37" s="29"/>
      <c r="V37" s="29"/>
      <c r="W37" s="29"/>
      <c r="X37" s="29"/>
      <c r="Y37" s="29"/>
      <c r="Z37" s="29"/>
    </row>
    <row r="38">
      <c r="A38" s="20"/>
      <c r="B38" s="130"/>
      <c r="C38" s="8"/>
      <c r="D38" s="132"/>
      <c r="E38" s="132"/>
      <c r="F38" s="142"/>
      <c r="G38" s="155"/>
      <c r="H38" s="45"/>
      <c r="I38" s="56"/>
      <c r="J38" s="56"/>
      <c r="K38" s="144"/>
      <c r="L38" s="144"/>
      <c r="M38" s="28"/>
      <c r="N38" s="29"/>
      <c r="O38" s="29"/>
      <c r="P38" s="29"/>
      <c r="Q38" s="29"/>
      <c r="R38" s="29"/>
      <c r="S38" s="29"/>
      <c r="T38" s="29"/>
      <c r="U38" s="29"/>
      <c r="V38" s="29"/>
      <c r="W38" s="29"/>
      <c r="X38" s="29"/>
      <c r="Y38" s="29"/>
      <c r="Z38" s="29"/>
    </row>
    <row r="39">
      <c r="A39" s="20"/>
      <c r="B39" s="130"/>
      <c r="C39" s="8"/>
      <c r="D39" s="132"/>
      <c r="E39" s="132"/>
      <c r="F39" s="142"/>
      <c r="G39" s="153"/>
      <c r="H39" s="45"/>
      <c r="I39" s="56"/>
      <c r="J39" s="56"/>
      <c r="K39" s="144"/>
      <c r="L39" s="144"/>
      <c r="M39" s="28"/>
      <c r="N39" s="29"/>
      <c r="O39" s="29"/>
      <c r="P39" s="29"/>
      <c r="Q39" s="29"/>
      <c r="R39" s="29"/>
      <c r="S39" s="29"/>
      <c r="T39" s="29"/>
      <c r="U39" s="29"/>
      <c r="V39" s="29"/>
      <c r="W39" s="29"/>
      <c r="X39" s="29"/>
      <c r="Y39" s="29"/>
      <c r="Z39" s="29"/>
    </row>
    <row r="40">
      <c r="A40" s="20"/>
      <c r="B40" s="130"/>
      <c r="C40" s="8"/>
      <c r="D40" s="132"/>
      <c r="E40" s="132"/>
      <c r="F40" s="142"/>
      <c r="G40" s="153"/>
      <c r="H40" s="45"/>
      <c r="I40" s="56"/>
      <c r="J40" s="56"/>
      <c r="K40" s="144"/>
      <c r="L40" s="144"/>
      <c r="M40" s="28"/>
      <c r="N40" s="29"/>
      <c r="O40" s="29"/>
      <c r="P40" s="29"/>
      <c r="Q40" s="29"/>
      <c r="R40" s="29"/>
      <c r="S40" s="29"/>
      <c r="T40" s="29"/>
      <c r="U40" s="29"/>
      <c r="V40" s="29"/>
      <c r="W40" s="29"/>
      <c r="X40" s="29"/>
      <c r="Y40" s="29"/>
      <c r="Z40" s="29"/>
    </row>
    <row r="41">
      <c r="A41" s="20"/>
      <c r="B41" s="130"/>
      <c r="C41" s="8"/>
      <c r="D41" s="132"/>
      <c r="E41" s="132"/>
      <c r="F41" s="142"/>
      <c r="G41" s="153"/>
      <c r="H41" s="45"/>
      <c r="I41" s="56"/>
      <c r="J41" s="56"/>
      <c r="K41" s="144"/>
      <c r="L41" s="144"/>
      <c r="M41" s="28"/>
      <c r="N41" s="29"/>
      <c r="O41" s="29"/>
      <c r="P41" s="29"/>
      <c r="Q41" s="29"/>
      <c r="R41" s="29"/>
      <c r="S41" s="29"/>
      <c r="T41" s="29"/>
      <c r="U41" s="29"/>
      <c r="V41" s="29"/>
      <c r="W41" s="29"/>
      <c r="X41" s="29"/>
      <c r="Y41" s="29"/>
      <c r="Z41" s="29"/>
    </row>
    <row r="42" ht="63.75" customHeight="1">
      <c r="A42" s="20"/>
      <c r="B42" s="130"/>
      <c r="C42" s="8"/>
      <c r="D42" s="132"/>
      <c r="E42" s="132"/>
      <c r="F42" s="142"/>
      <c r="G42" s="153"/>
      <c r="H42" s="45"/>
      <c r="I42" s="56"/>
      <c r="J42" s="56"/>
      <c r="K42" s="144"/>
      <c r="L42" s="144"/>
      <c r="M42" s="28"/>
      <c r="N42" s="29"/>
      <c r="O42" s="29"/>
      <c r="P42" s="29"/>
      <c r="Q42" s="29"/>
      <c r="R42" s="29"/>
      <c r="S42" s="29"/>
      <c r="T42" s="29"/>
      <c r="U42" s="29"/>
      <c r="V42" s="29"/>
      <c r="W42" s="29"/>
      <c r="X42" s="29"/>
      <c r="Y42" s="29"/>
      <c r="Z42" s="29"/>
    </row>
    <row r="43">
      <c r="A43" s="20"/>
      <c r="B43" s="130"/>
      <c r="C43" s="8"/>
      <c r="D43" s="132"/>
      <c r="E43" s="132"/>
      <c r="F43" s="142"/>
      <c r="G43" s="155"/>
      <c r="H43" s="45"/>
      <c r="I43" s="56"/>
      <c r="J43" s="56"/>
      <c r="K43" s="144"/>
      <c r="L43" s="144"/>
      <c r="M43" s="28"/>
      <c r="N43" s="29"/>
      <c r="O43" s="29"/>
      <c r="P43" s="29"/>
      <c r="Q43" s="29"/>
      <c r="R43" s="29"/>
      <c r="S43" s="29"/>
      <c r="T43" s="29"/>
      <c r="U43" s="29"/>
      <c r="V43" s="29"/>
      <c r="W43" s="29"/>
      <c r="X43" s="29"/>
      <c r="Y43" s="29"/>
      <c r="Z43" s="29"/>
    </row>
    <row r="44">
      <c r="A44" s="20"/>
      <c r="B44" s="130"/>
      <c r="C44" s="8"/>
      <c r="D44" s="132"/>
      <c r="E44" s="132"/>
      <c r="F44" s="142"/>
      <c r="G44" s="155"/>
      <c r="H44" s="45"/>
      <c r="I44" s="56"/>
      <c r="J44" s="56"/>
      <c r="K44" s="144"/>
      <c r="L44" s="144"/>
      <c r="M44" s="28"/>
      <c r="N44" s="29"/>
      <c r="O44" s="29"/>
      <c r="P44" s="29"/>
      <c r="Q44" s="29"/>
      <c r="R44" s="29"/>
      <c r="S44" s="29"/>
      <c r="T44" s="29"/>
      <c r="U44" s="29"/>
      <c r="V44" s="29"/>
      <c r="W44" s="29"/>
      <c r="X44" s="29"/>
      <c r="Y44" s="29"/>
      <c r="Z44" s="29"/>
    </row>
    <row r="45">
      <c r="A45" s="20"/>
      <c r="B45" s="130"/>
      <c r="C45" s="8"/>
      <c r="D45" s="132"/>
      <c r="E45" s="132"/>
      <c r="F45" s="142"/>
      <c r="G45" s="155"/>
      <c r="H45" s="45"/>
      <c r="I45" s="56"/>
      <c r="J45" s="56"/>
      <c r="K45" s="144"/>
      <c r="L45" s="144"/>
      <c r="M45" s="28"/>
      <c r="N45" s="29"/>
      <c r="O45" s="29"/>
      <c r="P45" s="29"/>
      <c r="Q45" s="29"/>
      <c r="R45" s="29"/>
      <c r="S45" s="29"/>
      <c r="T45" s="29"/>
      <c r="U45" s="29"/>
      <c r="V45" s="29"/>
      <c r="W45" s="29"/>
      <c r="X45" s="29"/>
      <c r="Y45" s="29"/>
      <c r="Z45" s="29"/>
    </row>
    <row r="46">
      <c r="A46" s="20"/>
      <c r="B46" s="130"/>
      <c r="C46" s="8"/>
      <c r="D46" s="132"/>
      <c r="E46" s="132"/>
      <c r="F46" s="142"/>
      <c r="G46" s="155"/>
      <c r="H46" s="45"/>
      <c r="I46" s="56"/>
      <c r="J46" s="56"/>
      <c r="K46" s="144"/>
      <c r="L46" s="144"/>
      <c r="M46" s="28"/>
      <c r="N46" s="29"/>
      <c r="O46" s="29"/>
      <c r="P46" s="29"/>
      <c r="Q46" s="29"/>
      <c r="R46" s="29"/>
      <c r="S46" s="29"/>
      <c r="T46" s="29"/>
      <c r="U46" s="29"/>
      <c r="V46" s="29"/>
      <c r="W46" s="29"/>
      <c r="X46" s="29"/>
      <c r="Y46" s="29"/>
      <c r="Z46" s="29"/>
    </row>
    <row r="47">
      <c r="A47" s="20"/>
      <c r="B47" s="130"/>
      <c r="C47" s="8"/>
      <c r="D47" s="132"/>
      <c r="E47" s="132"/>
      <c r="F47" s="142"/>
      <c r="G47" s="155"/>
      <c r="H47" s="35"/>
      <c r="I47" s="56"/>
      <c r="J47" s="56"/>
      <c r="K47" s="45"/>
      <c r="L47" s="144"/>
      <c r="M47" s="28"/>
      <c r="N47" s="29"/>
      <c r="O47" s="29"/>
      <c r="P47" s="29"/>
      <c r="Q47" s="29"/>
      <c r="R47" s="29"/>
      <c r="S47" s="29"/>
      <c r="T47" s="29"/>
      <c r="U47" s="29"/>
      <c r="V47" s="29"/>
      <c r="W47" s="29"/>
      <c r="X47" s="29"/>
      <c r="Y47" s="29"/>
      <c r="Z47" s="29"/>
    </row>
    <row r="48">
      <c r="A48" s="20"/>
      <c r="B48" s="130"/>
      <c r="C48" s="8"/>
      <c r="D48" s="132"/>
      <c r="E48" s="132"/>
      <c r="F48" s="142"/>
      <c r="G48" s="155"/>
      <c r="H48" s="45"/>
      <c r="I48" s="56"/>
      <c r="J48" s="56"/>
      <c r="K48" s="144"/>
      <c r="L48" s="144"/>
      <c r="M48" s="28"/>
      <c r="N48" s="29"/>
      <c r="O48" s="29"/>
      <c r="P48" s="29"/>
      <c r="Q48" s="29"/>
      <c r="R48" s="29"/>
      <c r="S48" s="29"/>
      <c r="T48" s="29"/>
      <c r="U48" s="29"/>
      <c r="V48" s="29"/>
      <c r="W48" s="29"/>
      <c r="X48" s="29"/>
      <c r="Y48" s="29"/>
      <c r="Z48" s="29"/>
    </row>
    <row r="49">
      <c r="A49" s="20"/>
      <c r="B49" s="130"/>
      <c r="C49" s="8"/>
      <c r="D49" s="132"/>
      <c r="E49" s="132"/>
      <c r="F49" s="142"/>
      <c r="G49" s="155"/>
      <c r="H49" s="45"/>
      <c r="I49" s="56"/>
      <c r="J49" s="56"/>
      <c r="K49" s="144"/>
      <c r="L49" s="144"/>
      <c r="M49" s="28"/>
      <c r="N49" s="29"/>
      <c r="O49" s="29"/>
      <c r="P49" s="29"/>
      <c r="Q49" s="29"/>
      <c r="R49" s="29"/>
      <c r="S49" s="29"/>
      <c r="T49" s="29"/>
      <c r="U49" s="29"/>
      <c r="V49" s="29"/>
      <c r="W49" s="29"/>
      <c r="X49" s="29"/>
      <c r="Y49" s="29"/>
      <c r="Z49" s="29"/>
    </row>
    <row r="50">
      <c r="A50" s="20"/>
      <c r="B50" s="130"/>
      <c r="C50" s="8"/>
      <c r="D50" s="132"/>
      <c r="E50" s="132"/>
      <c r="F50" s="142"/>
      <c r="G50" s="155"/>
      <c r="H50" s="45"/>
      <c r="I50" s="56"/>
      <c r="J50" s="56"/>
      <c r="K50" s="144"/>
      <c r="L50" s="144"/>
      <c r="M50" s="28"/>
      <c r="N50" s="29"/>
      <c r="O50" s="29"/>
      <c r="P50" s="29"/>
      <c r="Q50" s="29"/>
      <c r="R50" s="29"/>
      <c r="S50" s="29"/>
      <c r="T50" s="29"/>
      <c r="U50" s="29"/>
      <c r="V50" s="29"/>
      <c r="W50" s="29"/>
      <c r="X50" s="29"/>
      <c r="Y50" s="29"/>
      <c r="Z50" s="29"/>
    </row>
    <row r="51">
      <c r="A51" s="20"/>
      <c r="B51" s="130"/>
      <c r="C51" s="8"/>
      <c r="D51" s="132"/>
      <c r="E51" s="132"/>
      <c r="F51" s="142"/>
      <c r="G51" s="155"/>
      <c r="H51" s="45"/>
      <c r="I51" s="56"/>
      <c r="J51" s="56"/>
      <c r="K51" s="144"/>
      <c r="L51" s="144"/>
      <c r="M51" s="28"/>
      <c r="N51" s="29"/>
      <c r="O51" s="29"/>
      <c r="P51" s="29"/>
      <c r="Q51" s="29"/>
      <c r="R51" s="29"/>
      <c r="S51" s="29"/>
      <c r="T51" s="29"/>
      <c r="U51" s="29"/>
      <c r="V51" s="29"/>
      <c r="W51" s="29"/>
      <c r="X51" s="29"/>
      <c r="Y51" s="29"/>
      <c r="Z51" s="29"/>
    </row>
    <row r="52">
      <c r="A52" s="20"/>
      <c r="B52" s="130"/>
      <c r="C52" s="8"/>
      <c r="D52" s="132"/>
      <c r="E52" s="132"/>
      <c r="F52" s="142"/>
      <c r="G52" s="155"/>
      <c r="H52" s="45"/>
      <c r="I52" s="152"/>
      <c r="J52" s="56"/>
      <c r="K52" s="144"/>
      <c r="L52" s="144"/>
      <c r="M52" s="28"/>
      <c r="N52" s="29"/>
      <c r="O52" s="29"/>
      <c r="P52" s="29"/>
      <c r="Q52" s="29"/>
      <c r="R52" s="29"/>
      <c r="S52" s="29"/>
      <c r="T52" s="29"/>
      <c r="U52" s="29"/>
      <c r="V52" s="29"/>
      <c r="W52" s="29"/>
      <c r="X52" s="29"/>
      <c r="Y52" s="29"/>
      <c r="Z52" s="29"/>
    </row>
    <row r="53">
      <c r="A53" s="20"/>
      <c r="B53" s="130"/>
      <c r="C53" s="8"/>
      <c r="D53" s="132"/>
      <c r="E53" s="132"/>
      <c r="F53" s="142"/>
      <c r="G53" s="155"/>
      <c r="H53" s="45"/>
      <c r="I53" s="152"/>
      <c r="J53" s="56"/>
      <c r="K53" s="144"/>
      <c r="L53" s="144"/>
      <c r="M53" s="28"/>
      <c r="N53" s="29"/>
      <c r="O53" s="29"/>
      <c r="P53" s="29"/>
      <c r="Q53" s="29"/>
      <c r="R53" s="29"/>
      <c r="S53" s="29"/>
      <c r="T53" s="29"/>
      <c r="U53" s="29"/>
      <c r="V53" s="29"/>
      <c r="W53" s="29"/>
      <c r="X53" s="29"/>
      <c r="Y53" s="29"/>
      <c r="Z53" s="29"/>
    </row>
    <row r="54">
      <c r="A54" s="20"/>
      <c r="B54" s="130"/>
      <c r="C54" s="8"/>
      <c r="D54" s="132"/>
      <c r="E54" s="132"/>
      <c r="F54" s="142"/>
      <c r="G54" s="155"/>
      <c r="H54" s="45"/>
      <c r="I54" s="152"/>
      <c r="J54" s="56"/>
      <c r="K54" s="144"/>
      <c r="L54" s="144"/>
      <c r="M54" s="28"/>
      <c r="N54" s="29"/>
      <c r="O54" s="29"/>
      <c r="P54" s="29"/>
      <c r="Q54" s="29"/>
      <c r="R54" s="29"/>
      <c r="S54" s="29"/>
      <c r="T54" s="29"/>
      <c r="U54" s="29"/>
      <c r="V54" s="29"/>
      <c r="W54" s="29"/>
      <c r="X54" s="29"/>
      <c r="Y54" s="29"/>
      <c r="Z54" s="29"/>
    </row>
    <row r="55">
      <c r="A55" s="20"/>
      <c r="B55" s="130"/>
      <c r="C55" s="8"/>
      <c r="D55" s="132"/>
      <c r="E55" s="132"/>
      <c r="F55" s="142"/>
      <c r="G55" s="155"/>
      <c r="H55" s="45"/>
      <c r="I55" s="152"/>
      <c r="J55" s="56"/>
      <c r="K55" s="144"/>
      <c r="L55" s="144"/>
      <c r="M55" s="28"/>
      <c r="N55" s="29"/>
      <c r="O55" s="29"/>
      <c r="P55" s="29"/>
      <c r="Q55" s="29"/>
      <c r="R55" s="29"/>
      <c r="S55" s="29"/>
      <c r="T55" s="29"/>
      <c r="U55" s="29"/>
      <c r="V55" s="29"/>
      <c r="W55" s="29"/>
      <c r="X55" s="29"/>
      <c r="Y55" s="29"/>
      <c r="Z55" s="29"/>
    </row>
    <row r="56">
      <c r="A56" s="20"/>
      <c r="B56" s="130"/>
      <c r="C56" s="8"/>
      <c r="D56" s="132"/>
      <c r="E56" s="132"/>
      <c r="F56" s="142"/>
      <c r="G56" s="155"/>
      <c r="H56" s="45"/>
      <c r="I56" s="152"/>
      <c r="J56" s="56"/>
      <c r="K56" s="144"/>
      <c r="L56" s="144"/>
      <c r="M56" s="28"/>
      <c r="N56" s="29"/>
      <c r="O56" s="29"/>
      <c r="P56" s="29"/>
      <c r="Q56" s="29"/>
      <c r="R56" s="29"/>
      <c r="S56" s="29"/>
      <c r="T56" s="29"/>
      <c r="U56" s="29"/>
      <c r="V56" s="29"/>
      <c r="W56" s="29"/>
      <c r="X56" s="29"/>
      <c r="Y56" s="29"/>
      <c r="Z56" s="29"/>
    </row>
    <row r="57">
      <c r="A57" s="20"/>
      <c r="B57" s="130"/>
      <c r="C57" s="8"/>
      <c r="D57" s="132"/>
      <c r="E57" s="132"/>
      <c r="F57" s="142"/>
      <c r="G57" s="155"/>
      <c r="H57" s="45"/>
      <c r="I57" s="152"/>
      <c r="J57" s="56"/>
      <c r="K57" s="144"/>
      <c r="L57" s="144"/>
      <c r="M57" s="28"/>
      <c r="N57" s="29"/>
      <c r="O57" s="29"/>
      <c r="P57" s="29"/>
      <c r="Q57" s="29"/>
      <c r="R57" s="29"/>
      <c r="S57" s="29"/>
      <c r="T57" s="29"/>
      <c r="U57" s="29"/>
      <c r="V57" s="29"/>
      <c r="W57" s="29"/>
      <c r="X57" s="29"/>
      <c r="Y57" s="29"/>
      <c r="Z57" s="29"/>
    </row>
    <row r="58">
      <c r="A58" s="20"/>
      <c r="B58" s="130"/>
      <c r="C58" s="8"/>
      <c r="D58" s="132"/>
      <c r="E58" s="132"/>
      <c r="F58" s="142"/>
      <c r="G58" s="155"/>
      <c r="H58" s="45"/>
      <c r="I58" s="152"/>
      <c r="J58" s="56"/>
      <c r="K58" s="144"/>
      <c r="L58" s="144"/>
      <c r="M58" s="28"/>
      <c r="N58" s="29"/>
      <c r="O58" s="29"/>
      <c r="P58" s="29"/>
      <c r="Q58" s="29"/>
      <c r="R58" s="29"/>
      <c r="S58" s="29"/>
      <c r="T58" s="29"/>
      <c r="U58" s="29"/>
      <c r="V58" s="29"/>
      <c r="W58" s="29"/>
      <c r="X58" s="29"/>
      <c r="Y58" s="29"/>
      <c r="Z58" s="29"/>
    </row>
    <row r="59" ht="95.25" customHeight="1">
      <c r="A59" s="20"/>
      <c r="B59" s="130"/>
      <c r="C59" s="8"/>
      <c r="D59" s="132"/>
      <c r="E59" s="132"/>
      <c r="F59" s="142"/>
      <c r="G59" s="155"/>
      <c r="H59" s="45"/>
      <c r="I59" s="152"/>
      <c r="J59" s="56"/>
      <c r="K59" s="144"/>
      <c r="L59" s="144"/>
      <c r="M59" s="28"/>
      <c r="N59" s="29"/>
      <c r="O59" s="29"/>
      <c r="P59" s="29"/>
      <c r="Q59" s="29"/>
      <c r="R59" s="29"/>
      <c r="S59" s="29"/>
      <c r="T59" s="29"/>
      <c r="U59" s="29"/>
      <c r="V59" s="29"/>
      <c r="W59" s="29"/>
      <c r="X59" s="29"/>
      <c r="Y59" s="29"/>
      <c r="Z59" s="29"/>
    </row>
    <row r="60" ht="87.75" customHeight="1">
      <c r="A60" s="20"/>
      <c r="B60" s="130"/>
      <c r="C60" s="8"/>
      <c r="D60" s="132"/>
      <c r="E60" s="132"/>
      <c r="F60" s="142"/>
      <c r="G60" s="155"/>
      <c r="H60" s="45"/>
      <c r="I60" s="152"/>
      <c r="J60" s="56"/>
      <c r="K60" s="144"/>
      <c r="L60" s="143"/>
      <c r="M60" s="28"/>
      <c r="N60" s="29"/>
      <c r="O60" s="29"/>
      <c r="P60" s="29"/>
      <c r="Q60" s="29"/>
      <c r="R60" s="29"/>
      <c r="S60" s="29"/>
      <c r="T60" s="29"/>
      <c r="U60" s="29"/>
      <c r="V60" s="29"/>
      <c r="W60" s="29"/>
      <c r="X60" s="29"/>
      <c r="Y60" s="29"/>
      <c r="Z60" s="29"/>
    </row>
    <row r="61" ht="84.75" customHeight="1">
      <c r="A61" s="20"/>
      <c r="B61" s="130"/>
      <c r="C61" s="8"/>
      <c r="D61" s="132"/>
      <c r="E61" s="132"/>
      <c r="F61" s="142"/>
      <c r="G61" s="155"/>
      <c r="H61" s="45"/>
      <c r="I61" s="152"/>
      <c r="J61" s="56"/>
      <c r="K61" s="144"/>
      <c r="L61" s="143"/>
      <c r="M61" s="28"/>
      <c r="N61" s="29"/>
      <c r="O61" s="29"/>
      <c r="P61" s="29"/>
      <c r="Q61" s="29"/>
      <c r="R61" s="29"/>
      <c r="S61" s="29"/>
      <c r="T61" s="29"/>
      <c r="U61" s="29"/>
      <c r="V61" s="29"/>
      <c r="W61" s="29"/>
      <c r="X61" s="29"/>
      <c r="Y61" s="29"/>
      <c r="Z61" s="29"/>
    </row>
    <row r="62">
      <c r="A62" s="20"/>
      <c r="B62" s="130"/>
      <c r="C62" s="8"/>
      <c r="D62" s="132"/>
      <c r="E62" s="132"/>
      <c r="F62" s="142"/>
      <c r="G62" s="155"/>
      <c r="H62" s="45"/>
      <c r="I62" s="152"/>
      <c r="J62" s="56"/>
      <c r="K62" s="144"/>
      <c r="L62" s="144"/>
      <c r="M62" s="28"/>
      <c r="N62" s="29"/>
      <c r="O62" s="29"/>
      <c r="P62" s="29"/>
      <c r="Q62" s="29"/>
      <c r="R62" s="29"/>
      <c r="S62" s="29"/>
      <c r="T62" s="29"/>
      <c r="U62" s="29"/>
      <c r="V62" s="29"/>
      <c r="W62" s="29"/>
      <c r="X62" s="29"/>
      <c r="Y62" s="29"/>
      <c r="Z62" s="29"/>
    </row>
    <row r="63">
      <c r="A63" s="20"/>
      <c r="B63" s="130"/>
      <c r="C63" s="8"/>
      <c r="D63" s="132"/>
      <c r="E63" s="132"/>
      <c r="F63" s="142"/>
      <c r="G63" s="155"/>
      <c r="H63" s="45"/>
      <c r="I63" s="152"/>
      <c r="J63" s="56"/>
      <c r="K63" s="144"/>
      <c r="L63" s="144"/>
      <c r="M63" s="28"/>
      <c r="N63" s="29"/>
      <c r="O63" s="29"/>
      <c r="P63" s="29"/>
      <c r="Q63" s="29"/>
      <c r="R63" s="29"/>
      <c r="S63" s="29"/>
      <c r="T63" s="29"/>
      <c r="U63" s="29"/>
      <c r="V63" s="29"/>
      <c r="W63" s="29"/>
      <c r="X63" s="29"/>
      <c r="Y63" s="29"/>
      <c r="Z63" s="29"/>
    </row>
    <row r="64" ht="151.5" customHeight="1">
      <c r="A64" s="20"/>
      <c r="B64" s="130"/>
      <c r="D64" s="132"/>
      <c r="E64" s="132"/>
      <c r="F64" s="142"/>
      <c r="G64" s="156"/>
      <c r="H64" s="45"/>
      <c r="I64" s="152"/>
      <c r="J64" s="56"/>
      <c r="K64" s="144"/>
      <c r="L64" s="144"/>
      <c r="M64" s="28"/>
      <c r="N64" s="29"/>
      <c r="O64" s="29"/>
      <c r="P64" s="29"/>
      <c r="Q64" s="29"/>
      <c r="R64" s="29"/>
      <c r="S64" s="29"/>
      <c r="T64" s="29"/>
      <c r="U64" s="29"/>
      <c r="V64" s="29"/>
      <c r="W64" s="29"/>
      <c r="X64" s="29"/>
      <c r="Y64" s="29"/>
      <c r="Z64" s="29"/>
    </row>
    <row r="65" ht="108.0" customHeight="1">
      <c r="A65" s="20"/>
      <c r="B65" s="130"/>
      <c r="C65" s="8"/>
      <c r="D65" s="132"/>
      <c r="E65" s="132"/>
      <c r="F65" s="142"/>
      <c r="G65" s="155"/>
      <c r="H65" s="45"/>
      <c r="I65" s="56"/>
      <c r="J65" s="56"/>
      <c r="K65" s="144"/>
      <c r="L65" s="143"/>
      <c r="M65" s="28"/>
      <c r="N65" s="29"/>
      <c r="O65" s="29"/>
      <c r="P65" s="29"/>
      <c r="Q65" s="29"/>
      <c r="R65" s="29"/>
      <c r="S65" s="29"/>
      <c r="T65" s="29"/>
      <c r="U65" s="29"/>
      <c r="V65" s="29"/>
      <c r="W65" s="29"/>
      <c r="X65" s="29"/>
      <c r="Y65" s="29"/>
      <c r="Z65" s="29"/>
    </row>
    <row r="66" ht="63.75" customHeight="1">
      <c r="A66" s="20"/>
      <c r="B66" s="130"/>
      <c r="C66" s="8"/>
      <c r="D66" s="132"/>
      <c r="E66" s="132"/>
      <c r="F66" s="142"/>
      <c r="G66" s="155"/>
      <c r="H66" s="157"/>
      <c r="I66" s="56"/>
      <c r="J66" s="56"/>
      <c r="K66" s="144"/>
      <c r="L66" s="143"/>
      <c r="M66" s="28"/>
      <c r="N66" s="29"/>
      <c r="O66" s="29"/>
      <c r="P66" s="29"/>
      <c r="Q66" s="29"/>
      <c r="R66" s="29"/>
      <c r="S66" s="29"/>
      <c r="T66" s="29"/>
      <c r="U66" s="29"/>
      <c r="V66" s="29"/>
      <c r="W66" s="29"/>
      <c r="X66" s="29"/>
      <c r="Y66" s="29"/>
      <c r="Z66" s="29"/>
    </row>
  </sheetData>
  <customSheetViews>
    <customSheetView guid="{7E71B5F7-61AF-4C93-AAAA-D905E381EEB1}" filter="1" showAutoFilter="1">
      <autoFilter ref="$A$1:$Z$1060"/>
    </customSheetView>
  </customSheetViews>
  <conditionalFormatting sqref="F2:F20 F22:F66">
    <cfRule type="containsText" dxfId="0" priority="1" operator="containsText" text="Closed">
      <formula>NOT(ISERROR(SEARCH(("Closed"),(F2))))</formula>
    </cfRule>
  </conditionalFormatting>
  <conditionalFormatting sqref="F2:F20 F22:F66">
    <cfRule type="containsText" dxfId="3" priority="2" operator="containsText" text="Monitor">
      <formula>NOT(ISERROR(SEARCH(("Monitor"),(F2))))</formula>
    </cfRule>
  </conditionalFormatting>
  <conditionalFormatting sqref="F2:F20 F22:F66">
    <cfRule type="containsText" dxfId="4" priority="3" operator="containsText" text="Open">
      <formula>NOT(ISERROR(SEARCH(("Open"),(F2))))</formula>
    </cfRule>
  </conditionalFormatting>
  <conditionalFormatting sqref="F2:F20 F22:F66">
    <cfRule type="containsText" dxfId="5" priority="4" operator="containsText" text="NA">
      <formula>NOT(ISERROR(SEARCH(("NA"),(F2))))</formula>
    </cfRule>
  </conditionalFormatting>
  <dataValidations>
    <dataValidation type="list" allowBlank="1" sqref="B2:B66">
      <formula1>Option!$C$2:$C$16</formula1>
    </dataValidation>
    <dataValidation type="list" allowBlank="1" sqref="I2:J51 J52:J64 I65:J66">
      <formula1>Option!$K$2:$K$17</formula1>
    </dataValidation>
    <dataValidation type="list" allowBlank="1" sqref="D2:D66">
      <formula1>Option!$D$2:$D$15</formula1>
    </dataValidation>
    <dataValidation type="list" allowBlank="1" sqref="F2:F20 F22:F66">
      <formula1>Option!$F$2:$F$5</formula1>
    </dataValidation>
    <dataValidation type="list" allowBlank="1" sqref="C23:C63 C65:C66">
      <formula1>Option!$E$2:$E$13</formula1>
    </dataValidation>
    <dataValidation type="list" allowBlank="1" sqref="L2:L66">
      <formula1>"1.SCH,2.PCB,3.BOM,4.Parameter,5.SW/ME/RF/ANT/Component/MFG/Vendor,6.No Change"</formula1>
    </dataValidation>
    <dataValidation type="list" allowBlank="1" sqref="E2:E20 E21:F21 E22:E66">
      <formula1>Option!$G$2:$G$5</formula1>
    </dataValidation>
    <dataValidation type="list" allowBlank="1" sqref="C2:C22">
      <formula1>Option!$E$2:$E$15</formula1>
    </dataValidation>
  </dataValidations>
  <hyperlinks>
    <hyperlink r:id="rId4" location="slide=id.g32151359908_0_5" ref="H2"/>
    <hyperlink r:id="rId5" location="slide=id.g32151359908_0_0" ref="H3"/>
    <hyperlink r:id="rId6" ref="M3"/>
    <hyperlink r:id="rId7" location="slide=id.g323b7f8f252_1_12" ref="H4"/>
    <hyperlink r:id="rId8" ref="M4"/>
    <hyperlink r:id="rId9" ref="H5"/>
    <hyperlink r:id="rId10" location="gid=0" ref="K5"/>
    <hyperlink r:id="rId11" ref="M5"/>
    <hyperlink r:id="rId12" location="slide=id.g4057557fca_0_46" ref="H6"/>
    <hyperlink r:id="rId13" location="slide=id.g31f9364cc12_0_0" ref="H8"/>
    <hyperlink r:id="rId14" location="slide=id.g31c9564d21f_0_0" ref="H10"/>
    <hyperlink r:id="rId15" ref="H11"/>
    <hyperlink r:id="rId16" location="gid=834224490" ref="K12"/>
    <hyperlink r:id="rId17" location="slide=id.g319ec615630_0_4" ref="H14"/>
    <hyperlink r:id="rId18" location="slide=id.g315b26081f2_0_0" ref="H16"/>
    <hyperlink r:id="rId19" location="slide=id.g2a7eadedb74_0_4" ref="H17"/>
    <hyperlink r:id="rId20" location="slide=id.g27bcfd4d04d_0_1" ref="H18"/>
    <hyperlink r:id="rId21" location="slide=id.p" ref="H22"/>
  </hyperlinks>
  <drawing r:id="rId22"/>
  <legacyDrawing r:id="rId2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5.13" defaultRowHeight="15.0"/>
  <cols>
    <col customWidth="1" min="1" max="1" width="13.0"/>
    <col customWidth="1" min="2" max="2" width="11.0"/>
    <col customWidth="1" min="3" max="3" width="15.25"/>
    <col customWidth="1" min="4" max="4" width="10.75"/>
    <col customWidth="1" min="5" max="5" width="12.88"/>
    <col customWidth="1" min="7" max="7" width="107.63"/>
    <col customWidth="1" min="8" max="8" width="12.75"/>
    <col customWidth="1" min="11" max="11" width="24.13"/>
    <col customWidth="1" min="12" max="12" width="33.88"/>
  </cols>
  <sheetData>
    <row r="1">
      <c r="A1" s="4" t="s">
        <v>54</v>
      </c>
      <c r="B1" s="4" t="s">
        <v>1</v>
      </c>
      <c r="C1" s="4" t="s">
        <v>2</v>
      </c>
      <c r="D1" s="4" t="s">
        <v>3</v>
      </c>
      <c r="E1" s="4" t="s">
        <v>4</v>
      </c>
      <c r="F1" s="4" t="s">
        <v>5</v>
      </c>
      <c r="G1" s="4" t="s">
        <v>6</v>
      </c>
      <c r="H1" s="4" t="s">
        <v>7</v>
      </c>
      <c r="I1" s="3" t="s">
        <v>8</v>
      </c>
      <c r="J1" s="3" t="s">
        <v>9</v>
      </c>
      <c r="K1" s="4" t="s">
        <v>10</v>
      </c>
      <c r="L1" s="4" t="s">
        <v>11</v>
      </c>
      <c r="M1" s="19" t="s">
        <v>55</v>
      </c>
    </row>
    <row r="2">
      <c r="A2" s="20">
        <v>45740.0</v>
      </c>
      <c r="B2" s="21" t="s">
        <v>12</v>
      </c>
      <c r="C2" s="43" t="s">
        <v>36</v>
      </c>
      <c r="D2" s="23" t="s">
        <v>27</v>
      </c>
      <c r="E2" s="23" t="s">
        <v>64</v>
      </c>
      <c r="F2" s="44" t="s">
        <v>16</v>
      </c>
      <c r="G2" s="25" t="s">
        <v>281</v>
      </c>
      <c r="H2" s="135" t="s">
        <v>61</v>
      </c>
      <c r="I2" s="136" t="s">
        <v>66</v>
      </c>
      <c r="J2" s="30"/>
      <c r="K2" s="53"/>
      <c r="L2" s="27" t="s">
        <v>68</v>
      </c>
      <c r="N2" s="57"/>
      <c r="O2" s="29"/>
      <c r="P2" s="29"/>
      <c r="Q2" s="29"/>
      <c r="R2" s="29"/>
      <c r="S2" s="29"/>
      <c r="T2" s="29"/>
      <c r="U2" s="29"/>
      <c r="V2" s="29"/>
      <c r="W2" s="29"/>
      <c r="X2" s="29"/>
      <c r="Y2" s="29"/>
      <c r="Z2" s="29"/>
    </row>
    <row r="3">
      <c r="A3" s="20">
        <v>45651.0</v>
      </c>
      <c r="B3" s="21" t="s">
        <v>19</v>
      </c>
      <c r="C3" s="22" t="s">
        <v>36</v>
      </c>
      <c r="D3" s="23" t="s">
        <v>95</v>
      </c>
      <c r="E3" s="23" t="s">
        <v>22</v>
      </c>
      <c r="F3" s="49" t="s">
        <v>16</v>
      </c>
      <c r="G3" s="25" t="s">
        <v>282</v>
      </c>
      <c r="H3" s="158" t="s">
        <v>61</v>
      </c>
      <c r="I3" s="56" t="s">
        <v>66</v>
      </c>
      <c r="J3" s="56"/>
      <c r="K3" s="159" t="s">
        <v>283</v>
      </c>
      <c r="L3" s="152" t="s">
        <v>71</v>
      </c>
      <c r="M3" s="28"/>
      <c r="N3" s="160" t="s">
        <v>284</v>
      </c>
      <c r="O3" s="29"/>
      <c r="P3" s="29"/>
      <c r="Q3" s="29"/>
      <c r="R3" s="29"/>
      <c r="S3" s="29"/>
      <c r="T3" s="29"/>
      <c r="U3" s="29"/>
      <c r="V3" s="29"/>
      <c r="W3" s="29"/>
      <c r="X3" s="29"/>
      <c r="Y3" s="29"/>
      <c r="Z3" s="29"/>
    </row>
    <row r="4">
      <c r="A4" s="20">
        <v>45628.0</v>
      </c>
      <c r="B4" s="21" t="s">
        <v>19</v>
      </c>
      <c r="C4" s="22" t="s">
        <v>49</v>
      </c>
      <c r="D4" s="23" t="s">
        <v>27</v>
      </c>
      <c r="E4" s="23" t="s">
        <v>22</v>
      </c>
      <c r="F4" s="49" t="s">
        <v>16</v>
      </c>
      <c r="G4" s="25" t="s">
        <v>285</v>
      </c>
      <c r="H4" s="158" t="s">
        <v>61</v>
      </c>
      <c r="I4" s="56" t="s">
        <v>67</v>
      </c>
      <c r="J4" s="56" t="s">
        <v>66</v>
      </c>
      <c r="K4" s="159" t="s">
        <v>286</v>
      </c>
      <c r="L4" s="152" t="s">
        <v>71</v>
      </c>
      <c r="M4" s="28"/>
      <c r="N4" s="161"/>
      <c r="O4" s="29"/>
      <c r="P4" s="29"/>
      <c r="Q4" s="29"/>
      <c r="R4" s="29"/>
      <c r="S4" s="29"/>
      <c r="T4" s="29"/>
      <c r="U4" s="29"/>
      <c r="V4" s="29"/>
      <c r="W4" s="29"/>
      <c r="X4" s="29"/>
      <c r="Y4" s="29"/>
      <c r="Z4" s="29"/>
    </row>
    <row r="5">
      <c r="A5" s="20">
        <v>45628.0</v>
      </c>
      <c r="B5" s="21" t="s">
        <v>19</v>
      </c>
      <c r="C5" s="22" t="s">
        <v>49</v>
      </c>
      <c r="D5" s="23" t="s">
        <v>27</v>
      </c>
      <c r="E5" s="23" t="s">
        <v>22</v>
      </c>
      <c r="F5" s="49" t="s">
        <v>16</v>
      </c>
      <c r="G5" s="25" t="s">
        <v>287</v>
      </c>
      <c r="H5" s="158" t="s">
        <v>61</v>
      </c>
      <c r="I5" s="56" t="s">
        <v>115</v>
      </c>
      <c r="J5" s="56"/>
      <c r="K5" s="162"/>
      <c r="L5" s="152" t="s">
        <v>71</v>
      </c>
      <c r="M5" s="28"/>
      <c r="N5" s="161"/>
      <c r="O5" s="29"/>
      <c r="P5" s="29"/>
      <c r="Q5" s="29"/>
      <c r="R5" s="29"/>
      <c r="S5" s="29"/>
      <c r="T5" s="29"/>
      <c r="U5" s="29"/>
      <c r="V5" s="29"/>
      <c r="W5" s="29"/>
      <c r="X5" s="29"/>
      <c r="Y5" s="29"/>
      <c r="Z5" s="29"/>
    </row>
    <row r="6">
      <c r="A6" s="20">
        <v>45614.0</v>
      </c>
      <c r="B6" s="21" t="s">
        <v>19</v>
      </c>
      <c r="C6" s="22" t="s">
        <v>33</v>
      </c>
      <c r="D6" s="23" t="s">
        <v>89</v>
      </c>
      <c r="E6" s="23" t="s">
        <v>22</v>
      </c>
      <c r="F6" s="49" t="s">
        <v>16</v>
      </c>
      <c r="G6" s="25" t="s">
        <v>288</v>
      </c>
      <c r="H6" s="158" t="s">
        <v>61</v>
      </c>
      <c r="I6" s="56" t="s">
        <v>151</v>
      </c>
      <c r="J6" s="56" t="s">
        <v>66</v>
      </c>
      <c r="K6" s="162"/>
      <c r="L6" s="152" t="s">
        <v>68</v>
      </c>
      <c r="M6" s="28"/>
      <c r="N6" s="161"/>
      <c r="O6" s="29"/>
      <c r="P6" s="29"/>
      <c r="Q6" s="29"/>
      <c r="R6" s="29"/>
      <c r="S6" s="29"/>
      <c r="T6" s="29"/>
      <c r="U6" s="29"/>
      <c r="V6" s="29"/>
      <c r="W6" s="29"/>
      <c r="X6" s="29"/>
      <c r="Y6" s="29"/>
      <c r="Z6" s="29"/>
    </row>
    <row r="7">
      <c r="A7" s="20">
        <v>45614.0</v>
      </c>
      <c r="B7" s="21" t="s">
        <v>19</v>
      </c>
      <c r="C7" s="22" t="s">
        <v>49</v>
      </c>
      <c r="D7" s="23" t="s">
        <v>27</v>
      </c>
      <c r="E7" s="23" t="s">
        <v>22</v>
      </c>
      <c r="F7" s="49" t="s">
        <v>16</v>
      </c>
      <c r="G7" s="25" t="s">
        <v>289</v>
      </c>
      <c r="H7" s="158" t="s">
        <v>61</v>
      </c>
      <c r="I7" s="56" t="s">
        <v>115</v>
      </c>
      <c r="J7" s="56" t="s">
        <v>66</v>
      </c>
      <c r="K7" s="162"/>
      <c r="L7" s="152" t="s">
        <v>71</v>
      </c>
      <c r="M7" s="28"/>
      <c r="N7" s="161"/>
      <c r="O7" s="29"/>
      <c r="P7" s="29"/>
      <c r="Q7" s="29"/>
      <c r="R7" s="29"/>
      <c r="S7" s="29"/>
      <c r="T7" s="29"/>
      <c r="U7" s="29"/>
      <c r="V7" s="29"/>
      <c r="W7" s="29"/>
      <c r="X7" s="29"/>
      <c r="Y7" s="29"/>
      <c r="Z7" s="29"/>
    </row>
    <row r="8">
      <c r="A8" s="20">
        <v>45614.0</v>
      </c>
      <c r="B8" s="21" t="s">
        <v>19</v>
      </c>
      <c r="C8" s="22" t="s">
        <v>57</v>
      </c>
      <c r="D8" s="23" t="s">
        <v>21</v>
      </c>
      <c r="E8" s="23" t="s">
        <v>22</v>
      </c>
      <c r="F8" s="49" t="s">
        <v>16</v>
      </c>
      <c r="G8" s="25" t="s">
        <v>290</v>
      </c>
      <c r="H8" s="158" t="s">
        <v>61</v>
      </c>
      <c r="I8" s="56" t="s">
        <v>62</v>
      </c>
      <c r="J8" s="56" t="s">
        <v>115</v>
      </c>
      <c r="K8" s="162"/>
      <c r="L8" s="152" t="s">
        <v>71</v>
      </c>
      <c r="M8" s="28"/>
      <c r="N8" s="161"/>
      <c r="O8" s="29"/>
      <c r="P8" s="29"/>
      <c r="Q8" s="29"/>
      <c r="R8" s="29"/>
      <c r="S8" s="29"/>
      <c r="T8" s="29"/>
      <c r="U8" s="29"/>
      <c r="V8" s="29"/>
      <c r="W8" s="29"/>
      <c r="X8" s="29"/>
      <c r="Y8" s="29"/>
      <c r="Z8" s="29"/>
    </row>
    <row r="9">
      <c r="A9" s="20">
        <v>45583.0</v>
      </c>
      <c r="B9" s="21" t="s">
        <v>43</v>
      </c>
      <c r="C9" s="22" t="s">
        <v>57</v>
      </c>
      <c r="D9" s="23" t="s">
        <v>21</v>
      </c>
      <c r="E9" s="23" t="s">
        <v>22</v>
      </c>
      <c r="F9" s="49" t="s">
        <v>16</v>
      </c>
      <c r="G9" s="25" t="s">
        <v>291</v>
      </c>
      <c r="H9" s="158" t="s">
        <v>61</v>
      </c>
      <c r="I9" s="56" t="s">
        <v>66</v>
      </c>
      <c r="J9" s="56" t="s">
        <v>62</v>
      </c>
      <c r="K9" s="162"/>
      <c r="L9" s="152" t="s">
        <v>144</v>
      </c>
      <c r="M9" s="28"/>
      <c r="N9" s="161"/>
      <c r="O9" s="29"/>
      <c r="P9" s="29"/>
      <c r="Q9" s="29"/>
      <c r="R9" s="29"/>
      <c r="S9" s="29"/>
      <c r="T9" s="29"/>
      <c r="U9" s="29"/>
      <c r="V9" s="29"/>
      <c r="W9" s="29"/>
      <c r="X9" s="29"/>
      <c r="Y9" s="29"/>
      <c r="Z9" s="29"/>
    </row>
    <row r="10">
      <c r="A10" s="20">
        <v>45614.0</v>
      </c>
      <c r="B10" s="21" t="s">
        <v>19</v>
      </c>
      <c r="C10" s="22" t="s">
        <v>26</v>
      </c>
      <c r="D10" s="23" t="s">
        <v>58</v>
      </c>
      <c r="E10" s="23" t="s">
        <v>15</v>
      </c>
      <c r="F10" s="49" t="s">
        <v>16</v>
      </c>
      <c r="G10" s="25" t="s">
        <v>292</v>
      </c>
      <c r="H10" s="45"/>
      <c r="I10" s="56" t="s">
        <v>67</v>
      </c>
      <c r="J10" s="56" t="s">
        <v>66</v>
      </c>
      <c r="K10" s="162"/>
      <c r="L10" s="152" t="s">
        <v>71</v>
      </c>
      <c r="M10" s="28"/>
      <c r="N10" s="161"/>
      <c r="O10" s="29"/>
      <c r="P10" s="29"/>
      <c r="Q10" s="29"/>
      <c r="R10" s="29"/>
      <c r="S10" s="29"/>
      <c r="T10" s="29"/>
      <c r="U10" s="29"/>
      <c r="V10" s="29"/>
      <c r="W10" s="29"/>
      <c r="X10" s="29"/>
      <c r="Y10" s="29"/>
      <c r="Z10" s="29"/>
    </row>
    <row r="11">
      <c r="A11" s="20">
        <v>45583.0</v>
      </c>
      <c r="B11" s="21" t="s">
        <v>43</v>
      </c>
      <c r="C11" s="22" t="s">
        <v>83</v>
      </c>
      <c r="D11" s="23" t="s">
        <v>21</v>
      </c>
      <c r="E11" s="23" t="s">
        <v>22</v>
      </c>
      <c r="F11" s="49" t="s">
        <v>16</v>
      </c>
      <c r="G11" s="25" t="s">
        <v>293</v>
      </c>
      <c r="H11" s="158" t="s">
        <v>61</v>
      </c>
      <c r="I11" s="56" t="s">
        <v>66</v>
      </c>
      <c r="J11" s="56" t="s">
        <v>62</v>
      </c>
      <c r="K11" s="162"/>
      <c r="L11" s="152" t="s">
        <v>68</v>
      </c>
      <c r="M11" s="28"/>
      <c r="N11" s="161"/>
      <c r="O11" s="29"/>
      <c r="P11" s="29"/>
      <c r="Q11" s="29"/>
      <c r="R11" s="29"/>
      <c r="S11" s="29"/>
      <c r="T11" s="29"/>
      <c r="U11" s="29"/>
      <c r="V11" s="29"/>
      <c r="W11" s="29"/>
      <c r="X11" s="29"/>
      <c r="Y11" s="29"/>
      <c r="Z11" s="29"/>
    </row>
    <row r="12">
      <c r="A12" s="20">
        <v>45580.0</v>
      </c>
      <c r="B12" s="21" t="s">
        <v>43</v>
      </c>
      <c r="C12" s="22" t="s">
        <v>57</v>
      </c>
      <c r="D12" s="23" t="s">
        <v>58</v>
      </c>
      <c r="E12" s="23" t="s">
        <v>22</v>
      </c>
      <c r="F12" s="49" t="s">
        <v>16</v>
      </c>
      <c r="G12" s="25" t="s">
        <v>294</v>
      </c>
      <c r="H12" s="158" t="s">
        <v>61</v>
      </c>
      <c r="I12" s="56" t="s">
        <v>62</v>
      </c>
      <c r="J12" s="56" t="s">
        <v>127</v>
      </c>
      <c r="K12" s="162"/>
      <c r="L12" s="152" t="s">
        <v>63</v>
      </c>
      <c r="M12" s="28"/>
      <c r="N12" s="161"/>
      <c r="O12" s="29"/>
      <c r="P12" s="29"/>
      <c r="Q12" s="29"/>
      <c r="R12" s="29"/>
      <c r="S12" s="29"/>
      <c r="T12" s="29"/>
      <c r="U12" s="29"/>
      <c r="V12" s="29"/>
      <c r="W12" s="29"/>
      <c r="X12" s="29"/>
      <c r="Y12" s="29"/>
      <c r="Z12" s="29"/>
    </row>
    <row r="13">
      <c r="A13" s="20">
        <v>45579.0</v>
      </c>
      <c r="B13" s="21" t="s">
        <v>43</v>
      </c>
      <c r="C13" s="22" t="s">
        <v>57</v>
      </c>
      <c r="D13" s="23" t="s">
        <v>58</v>
      </c>
      <c r="E13" s="23" t="s">
        <v>22</v>
      </c>
      <c r="F13" s="49" t="s">
        <v>16</v>
      </c>
      <c r="G13" s="25" t="s">
        <v>295</v>
      </c>
      <c r="H13" s="158" t="s">
        <v>61</v>
      </c>
      <c r="I13" s="56" t="s">
        <v>62</v>
      </c>
      <c r="J13" s="56" t="s">
        <v>66</v>
      </c>
      <c r="K13" s="162"/>
      <c r="L13" s="152" t="s">
        <v>71</v>
      </c>
      <c r="M13" s="28"/>
      <c r="N13" s="161"/>
      <c r="O13" s="29"/>
      <c r="P13" s="29"/>
      <c r="Q13" s="29"/>
      <c r="R13" s="29"/>
      <c r="S13" s="29"/>
      <c r="T13" s="29"/>
      <c r="U13" s="29"/>
      <c r="V13" s="29"/>
      <c r="W13" s="29"/>
      <c r="X13" s="29"/>
      <c r="Y13" s="29"/>
      <c r="Z13" s="29"/>
    </row>
    <row r="14">
      <c r="A14" s="20">
        <v>45583.0</v>
      </c>
      <c r="B14" s="21" t="s">
        <v>43</v>
      </c>
      <c r="C14" s="22" t="s">
        <v>26</v>
      </c>
      <c r="D14" s="23" t="s">
        <v>27</v>
      </c>
      <c r="E14" s="23" t="s">
        <v>22</v>
      </c>
      <c r="F14" s="49" t="s">
        <v>16</v>
      </c>
      <c r="G14" s="25" t="s">
        <v>296</v>
      </c>
      <c r="H14" s="45"/>
      <c r="I14" s="56" t="s">
        <v>70</v>
      </c>
      <c r="J14" s="56"/>
      <c r="K14" s="162"/>
      <c r="L14" s="152" t="s">
        <v>167</v>
      </c>
      <c r="M14" s="28"/>
      <c r="N14" s="161"/>
      <c r="O14" s="29"/>
      <c r="P14" s="29"/>
      <c r="Q14" s="29"/>
      <c r="R14" s="29"/>
      <c r="S14" s="29"/>
      <c r="T14" s="29"/>
      <c r="U14" s="29"/>
      <c r="V14" s="29"/>
      <c r="W14" s="29"/>
      <c r="X14" s="29"/>
      <c r="Y14" s="29"/>
      <c r="Z14" s="29"/>
    </row>
    <row r="15">
      <c r="A15" s="20">
        <v>45533.0</v>
      </c>
      <c r="B15" s="21" t="s">
        <v>43</v>
      </c>
      <c r="C15" s="22" t="s">
        <v>49</v>
      </c>
      <c r="D15" s="23" t="s">
        <v>44</v>
      </c>
      <c r="E15" s="23" t="s">
        <v>22</v>
      </c>
      <c r="F15" s="49" t="s">
        <v>16</v>
      </c>
      <c r="G15" s="25" t="s">
        <v>297</v>
      </c>
      <c r="H15" s="158" t="s">
        <v>61</v>
      </c>
      <c r="I15" s="56" t="s">
        <v>115</v>
      </c>
      <c r="J15" s="56"/>
      <c r="K15" s="162"/>
      <c r="L15" s="152" t="s">
        <v>71</v>
      </c>
      <c r="M15" s="28"/>
      <c r="N15" s="161"/>
      <c r="O15" s="29"/>
      <c r="P15" s="29"/>
      <c r="Q15" s="29"/>
      <c r="R15" s="29"/>
      <c r="S15" s="29"/>
      <c r="T15" s="29"/>
      <c r="U15" s="29"/>
      <c r="V15" s="29"/>
      <c r="W15" s="29"/>
      <c r="X15" s="29"/>
      <c r="Y15" s="29"/>
      <c r="Z15" s="29"/>
    </row>
    <row r="16">
      <c r="A16" s="20">
        <v>45562.0</v>
      </c>
      <c r="B16" s="21" t="s">
        <v>43</v>
      </c>
      <c r="C16" s="22" t="s">
        <v>76</v>
      </c>
      <c r="D16" s="23" t="s">
        <v>27</v>
      </c>
      <c r="E16" s="23" t="s">
        <v>22</v>
      </c>
      <c r="F16" s="49" t="s">
        <v>16</v>
      </c>
      <c r="G16" s="25" t="s">
        <v>298</v>
      </c>
      <c r="H16" s="158" t="s">
        <v>61</v>
      </c>
      <c r="I16" s="56" t="s">
        <v>79</v>
      </c>
      <c r="J16" s="56"/>
      <c r="K16" s="162"/>
      <c r="L16" s="152" t="s">
        <v>71</v>
      </c>
      <c r="M16" s="28"/>
      <c r="N16" s="161"/>
      <c r="O16" s="29"/>
      <c r="P16" s="29"/>
      <c r="Q16" s="29"/>
      <c r="R16" s="29"/>
      <c r="S16" s="29"/>
      <c r="T16" s="29"/>
      <c r="U16" s="29"/>
      <c r="V16" s="29"/>
      <c r="W16" s="29"/>
      <c r="X16" s="29"/>
      <c r="Y16" s="29"/>
      <c r="Z16" s="29"/>
    </row>
    <row r="17">
      <c r="A17" s="20">
        <v>45562.0</v>
      </c>
      <c r="B17" s="21" t="s">
        <v>43</v>
      </c>
      <c r="C17" s="22" t="s">
        <v>26</v>
      </c>
      <c r="D17" s="23" t="s">
        <v>58</v>
      </c>
      <c r="E17" s="23" t="s">
        <v>22</v>
      </c>
      <c r="F17" s="49" t="s">
        <v>16</v>
      </c>
      <c r="G17" s="25" t="s">
        <v>299</v>
      </c>
      <c r="H17" s="158" t="s">
        <v>97</v>
      </c>
      <c r="I17" s="56" t="s">
        <v>67</v>
      </c>
      <c r="J17" s="56" t="s">
        <v>66</v>
      </c>
      <c r="K17" s="162"/>
      <c r="L17" s="152" t="s">
        <v>71</v>
      </c>
      <c r="M17" s="28"/>
      <c r="N17" s="161"/>
      <c r="O17" s="29"/>
      <c r="P17" s="29"/>
      <c r="Q17" s="29"/>
      <c r="R17" s="29"/>
      <c r="S17" s="29"/>
      <c r="T17" s="29"/>
      <c r="U17" s="29"/>
      <c r="V17" s="29"/>
      <c r="W17" s="29"/>
      <c r="X17" s="29"/>
      <c r="Y17" s="29"/>
      <c r="Z17" s="29"/>
    </row>
    <row r="18">
      <c r="A18" s="20">
        <v>45562.0</v>
      </c>
      <c r="B18" s="21" t="s">
        <v>43</v>
      </c>
      <c r="C18" s="22" t="s">
        <v>57</v>
      </c>
      <c r="D18" s="23" t="s">
        <v>21</v>
      </c>
      <c r="E18" s="23" t="s">
        <v>22</v>
      </c>
      <c r="F18" s="49" t="s">
        <v>16</v>
      </c>
      <c r="G18" s="25" t="s">
        <v>300</v>
      </c>
      <c r="H18" s="158" t="s">
        <v>61</v>
      </c>
      <c r="I18" s="56" t="s">
        <v>62</v>
      </c>
      <c r="J18" s="56" t="s">
        <v>79</v>
      </c>
      <c r="K18" s="162"/>
      <c r="L18" s="152" t="s">
        <v>71</v>
      </c>
      <c r="M18" s="28"/>
      <c r="N18" s="161"/>
      <c r="O18" s="29"/>
      <c r="P18" s="29"/>
      <c r="Q18" s="29"/>
      <c r="R18" s="29"/>
      <c r="S18" s="29"/>
      <c r="T18" s="29"/>
      <c r="U18" s="29"/>
      <c r="V18" s="29"/>
      <c r="W18" s="29"/>
      <c r="X18" s="29"/>
      <c r="Y18" s="29"/>
      <c r="Z18" s="29"/>
    </row>
    <row r="19">
      <c r="A19" s="20">
        <v>45545.0</v>
      </c>
      <c r="B19" s="21" t="s">
        <v>56</v>
      </c>
      <c r="C19" s="22" t="s">
        <v>33</v>
      </c>
      <c r="D19" s="23" t="s">
        <v>44</v>
      </c>
      <c r="E19" s="23" t="s">
        <v>64</v>
      </c>
      <c r="F19" s="49" t="s">
        <v>16</v>
      </c>
      <c r="G19" s="25" t="s">
        <v>301</v>
      </c>
      <c r="H19" s="158" t="s">
        <v>61</v>
      </c>
      <c r="I19" s="56" t="s">
        <v>151</v>
      </c>
      <c r="J19" s="56"/>
      <c r="K19" s="162"/>
      <c r="L19" s="152" t="s">
        <v>71</v>
      </c>
      <c r="M19" s="28"/>
      <c r="N19" s="161"/>
      <c r="O19" s="29"/>
      <c r="P19" s="29"/>
      <c r="Q19" s="29"/>
      <c r="R19" s="29"/>
      <c r="S19" s="29"/>
      <c r="T19" s="29"/>
      <c r="U19" s="29"/>
      <c r="V19" s="29"/>
      <c r="W19" s="29"/>
      <c r="X19" s="29"/>
      <c r="Y19" s="29"/>
      <c r="Z19" s="29"/>
    </row>
    <row r="20">
      <c r="A20" s="20">
        <v>45583.0</v>
      </c>
      <c r="B20" s="21" t="s">
        <v>43</v>
      </c>
      <c r="C20" s="22" t="s">
        <v>83</v>
      </c>
      <c r="D20" s="23" t="s">
        <v>27</v>
      </c>
      <c r="E20" s="23" t="s">
        <v>64</v>
      </c>
      <c r="F20" s="49" t="s">
        <v>16</v>
      </c>
      <c r="G20" s="25" t="s">
        <v>302</v>
      </c>
      <c r="H20" s="45"/>
      <c r="I20" s="56" t="s">
        <v>66</v>
      </c>
      <c r="J20" s="56" t="s">
        <v>127</v>
      </c>
      <c r="K20" s="159" t="s">
        <v>303</v>
      </c>
      <c r="L20" s="152" t="s">
        <v>71</v>
      </c>
      <c r="M20" s="28"/>
      <c r="N20" s="161"/>
      <c r="O20" s="29"/>
      <c r="P20" s="29"/>
      <c r="Q20" s="29"/>
      <c r="R20" s="29"/>
      <c r="S20" s="29"/>
      <c r="T20" s="29"/>
      <c r="U20" s="29"/>
      <c r="V20" s="29"/>
      <c r="W20" s="29"/>
      <c r="X20" s="29"/>
      <c r="Y20" s="29"/>
      <c r="Z20" s="29"/>
    </row>
    <row r="21">
      <c r="A21" s="20">
        <v>45562.0</v>
      </c>
      <c r="B21" s="21" t="s">
        <v>43</v>
      </c>
      <c r="C21" s="22" t="s">
        <v>76</v>
      </c>
      <c r="D21" s="23" t="s">
        <v>27</v>
      </c>
      <c r="E21" s="23" t="s">
        <v>22</v>
      </c>
      <c r="F21" s="49" t="s">
        <v>16</v>
      </c>
      <c r="G21" s="25" t="s">
        <v>304</v>
      </c>
      <c r="H21" s="158" t="s">
        <v>112</v>
      </c>
      <c r="I21" s="56" t="s">
        <v>79</v>
      </c>
      <c r="J21" s="56" t="s">
        <v>66</v>
      </c>
      <c r="K21" s="162"/>
      <c r="L21" s="152" t="s">
        <v>71</v>
      </c>
      <c r="M21" s="28"/>
      <c r="N21" s="161"/>
      <c r="O21" s="29"/>
      <c r="P21" s="29"/>
      <c r="Q21" s="29"/>
      <c r="R21" s="29"/>
      <c r="S21" s="29"/>
      <c r="T21" s="29"/>
      <c r="U21" s="29"/>
      <c r="V21" s="29"/>
      <c r="W21" s="29"/>
      <c r="X21" s="29"/>
      <c r="Y21" s="29"/>
      <c r="Z21" s="29"/>
    </row>
    <row r="22">
      <c r="A22" s="20">
        <v>45555.0</v>
      </c>
      <c r="B22" s="21" t="s">
        <v>56</v>
      </c>
      <c r="C22" s="22" t="s">
        <v>49</v>
      </c>
      <c r="D22" s="23" t="s">
        <v>58</v>
      </c>
      <c r="E22" s="23" t="s">
        <v>22</v>
      </c>
      <c r="F22" s="49" t="s">
        <v>16</v>
      </c>
      <c r="G22" s="25" t="s">
        <v>305</v>
      </c>
      <c r="H22" s="158" t="s">
        <v>61</v>
      </c>
      <c r="I22" s="56" t="s">
        <v>115</v>
      </c>
      <c r="J22" s="56" t="s">
        <v>306</v>
      </c>
      <c r="K22" s="162"/>
      <c r="L22" s="152" t="s">
        <v>167</v>
      </c>
      <c r="M22" s="28"/>
      <c r="N22" s="161"/>
      <c r="O22" s="29"/>
      <c r="P22" s="29"/>
      <c r="Q22" s="29"/>
      <c r="R22" s="29"/>
      <c r="S22" s="29"/>
      <c r="T22" s="29"/>
      <c r="U22" s="29"/>
      <c r="V22" s="29"/>
      <c r="W22" s="29"/>
      <c r="X22" s="29"/>
      <c r="Y22" s="29"/>
      <c r="Z22" s="29"/>
    </row>
    <row r="23">
      <c r="A23" s="20">
        <v>45553.0</v>
      </c>
      <c r="B23" s="21" t="s">
        <v>43</v>
      </c>
      <c r="C23" s="22" t="s">
        <v>30</v>
      </c>
      <c r="D23" s="23" t="s">
        <v>27</v>
      </c>
      <c r="E23" s="23" t="s">
        <v>15</v>
      </c>
      <c r="F23" s="49" t="s">
        <v>64</v>
      </c>
      <c r="G23" s="25" t="s">
        <v>307</v>
      </c>
      <c r="H23" s="45"/>
      <c r="I23" s="56" t="s">
        <v>132</v>
      </c>
      <c r="J23" s="56" t="s">
        <v>308</v>
      </c>
      <c r="K23" s="162"/>
      <c r="L23" s="152" t="s">
        <v>167</v>
      </c>
      <c r="M23" s="28"/>
      <c r="N23" s="161"/>
      <c r="O23" s="29"/>
      <c r="P23" s="29"/>
      <c r="Q23" s="29"/>
      <c r="R23" s="29"/>
      <c r="S23" s="29"/>
      <c r="T23" s="29"/>
      <c r="U23" s="29"/>
      <c r="V23" s="29"/>
      <c r="W23" s="29"/>
      <c r="X23" s="29"/>
      <c r="Y23" s="29"/>
      <c r="Z23" s="29"/>
    </row>
    <row r="24">
      <c r="A24" s="20">
        <v>45533.0</v>
      </c>
      <c r="B24" s="21" t="s">
        <v>56</v>
      </c>
      <c r="C24" s="22" t="s">
        <v>49</v>
      </c>
      <c r="D24" s="23" t="s">
        <v>44</v>
      </c>
      <c r="E24" s="23" t="s">
        <v>22</v>
      </c>
      <c r="F24" s="49" t="s">
        <v>16</v>
      </c>
      <c r="G24" s="25" t="s">
        <v>309</v>
      </c>
      <c r="H24" s="45"/>
      <c r="I24" s="56" t="s">
        <v>115</v>
      </c>
      <c r="J24" s="56" t="s">
        <v>66</v>
      </c>
      <c r="K24" s="162"/>
      <c r="L24" s="152" t="s">
        <v>71</v>
      </c>
      <c r="M24" s="28"/>
      <c r="N24" s="161"/>
      <c r="O24" s="29"/>
      <c r="P24" s="29"/>
      <c r="Q24" s="29"/>
      <c r="R24" s="29"/>
      <c r="S24" s="29"/>
      <c r="T24" s="29"/>
      <c r="U24" s="29"/>
      <c r="V24" s="29"/>
      <c r="W24" s="29"/>
      <c r="X24" s="29"/>
      <c r="Y24" s="29"/>
      <c r="Z24" s="29"/>
    </row>
    <row r="25">
      <c r="A25" s="20">
        <v>45526.0</v>
      </c>
      <c r="B25" s="21" t="s">
        <v>56</v>
      </c>
      <c r="C25" s="22" t="s">
        <v>49</v>
      </c>
      <c r="D25" s="23" t="s">
        <v>58</v>
      </c>
      <c r="E25" s="23" t="s">
        <v>22</v>
      </c>
      <c r="F25" s="49" t="s">
        <v>16</v>
      </c>
      <c r="G25" s="25" t="s">
        <v>310</v>
      </c>
      <c r="H25" s="45"/>
      <c r="I25" s="56" t="s">
        <v>115</v>
      </c>
      <c r="J25" s="56" t="s">
        <v>66</v>
      </c>
      <c r="K25" s="159" t="s">
        <v>311</v>
      </c>
      <c r="L25" s="152" t="s">
        <v>71</v>
      </c>
      <c r="M25" s="28"/>
      <c r="N25" s="161"/>
      <c r="O25" s="29"/>
      <c r="P25" s="29"/>
      <c r="Q25" s="29"/>
      <c r="R25" s="29"/>
      <c r="S25" s="29"/>
      <c r="T25" s="29"/>
      <c r="U25" s="29"/>
      <c r="V25" s="29"/>
      <c r="W25" s="29"/>
      <c r="X25" s="29"/>
      <c r="Y25" s="29"/>
      <c r="Z25" s="29"/>
    </row>
    <row r="26">
      <c r="A26" s="20">
        <v>45525.0</v>
      </c>
      <c r="B26" s="21" t="s">
        <v>56</v>
      </c>
      <c r="C26" s="22" t="s">
        <v>57</v>
      </c>
      <c r="D26" s="23" t="s">
        <v>21</v>
      </c>
      <c r="E26" s="23" t="s">
        <v>22</v>
      </c>
      <c r="F26" s="49" t="s">
        <v>16</v>
      </c>
      <c r="G26" s="25" t="s">
        <v>312</v>
      </c>
      <c r="H26" s="45"/>
      <c r="I26" s="56" t="s">
        <v>62</v>
      </c>
      <c r="J26" s="56" t="s">
        <v>66</v>
      </c>
      <c r="K26" s="159" t="s">
        <v>313</v>
      </c>
      <c r="L26" s="152" t="s">
        <v>68</v>
      </c>
      <c r="M26" s="28"/>
      <c r="N26" s="161"/>
      <c r="O26" s="29"/>
      <c r="P26" s="29"/>
      <c r="Q26" s="29"/>
      <c r="R26" s="29"/>
      <c r="S26" s="29"/>
      <c r="T26" s="29"/>
      <c r="U26" s="29"/>
      <c r="V26" s="29"/>
      <c r="W26" s="29"/>
      <c r="X26" s="29"/>
      <c r="Y26" s="29"/>
      <c r="Z26" s="29"/>
    </row>
    <row r="27">
      <c r="A27" s="20">
        <v>45526.0</v>
      </c>
      <c r="B27" s="21" t="s">
        <v>56</v>
      </c>
      <c r="C27" s="22" t="s">
        <v>30</v>
      </c>
      <c r="D27" s="23" t="s">
        <v>58</v>
      </c>
      <c r="E27" s="23" t="s">
        <v>22</v>
      </c>
      <c r="F27" s="49" t="s">
        <v>16</v>
      </c>
      <c r="G27" s="25" t="s">
        <v>314</v>
      </c>
      <c r="H27" s="158" t="s">
        <v>112</v>
      </c>
      <c r="I27" s="56" t="s">
        <v>127</v>
      </c>
      <c r="J27" s="56"/>
      <c r="K27" s="159" t="s">
        <v>315</v>
      </c>
      <c r="L27" s="152" t="s">
        <v>167</v>
      </c>
      <c r="M27" s="28"/>
      <c r="N27" s="161"/>
      <c r="O27" s="29"/>
      <c r="P27" s="29"/>
      <c r="Q27" s="29"/>
      <c r="R27" s="29"/>
      <c r="S27" s="29"/>
      <c r="T27" s="29"/>
      <c r="U27" s="29"/>
      <c r="V27" s="29"/>
      <c r="W27" s="29"/>
      <c r="X27" s="29"/>
      <c r="Y27" s="29"/>
      <c r="Z27" s="29"/>
    </row>
    <row r="28">
      <c r="A28" s="20">
        <v>45554.0</v>
      </c>
      <c r="B28" s="21" t="s">
        <v>56</v>
      </c>
      <c r="C28" s="22" t="s">
        <v>49</v>
      </c>
      <c r="D28" s="23" t="s">
        <v>58</v>
      </c>
      <c r="E28" s="23" t="s">
        <v>64</v>
      </c>
      <c r="F28" s="49" t="s">
        <v>64</v>
      </c>
      <c r="G28" s="25" t="s">
        <v>316</v>
      </c>
      <c r="H28" s="45"/>
      <c r="I28" s="56" t="s">
        <v>115</v>
      </c>
      <c r="J28" s="56"/>
      <c r="K28" s="162"/>
      <c r="L28" s="152" t="s">
        <v>71</v>
      </c>
      <c r="M28" s="28"/>
      <c r="N28" s="161"/>
      <c r="O28" s="29"/>
      <c r="P28" s="29"/>
      <c r="Q28" s="29"/>
      <c r="R28" s="29"/>
      <c r="S28" s="29"/>
      <c r="T28" s="29"/>
      <c r="U28" s="29"/>
      <c r="V28" s="29"/>
      <c r="W28" s="29"/>
      <c r="X28" s="29"/>
      <c r="Y28" s="29"/>
      <c r="Z28" s="29"/>
    </row>
    <row r="29">
      <c r="A29" s="20">
        <v>45526.0</v>
      </c>
      <c r="B29" s="21" t="s">
        <v>56</v>
      </c>
      <c r="C29" s="22" t="s">
        <v>49</v>
      </c>
      <c r="D29" s="23" t="s">
        <v>58</v>
      </c>
      <c r="E29" s="23" t="s">
        <v>22</v>
      </c>
      <c r="F29" s="49" t="s">
        <v>16</v>
      </c>
      <c r="G29" s="25" t="s">
        <v>317</v>
      </c>
      <c r="H29" s="158" t="s">
        <v>61</v>
      </c>
      <c r="I29" s="56" t="s">
        <v>127</v>
      </c>
      <c r="J29" s="56"/>
      <c r="K29" s="162"/>
      <c r="L29" s="152" t="s">
        <v>71</v>
      </c>
      <c r="M29" s="28"/>
      <c r="N29" s="161"/>
      <c r="O29" s="29"/>
      <c r="P29" s="29"/>
      <c r="Q29" s="29"/>
      <c r="R29" s="29"/>
      <c r="S29" s="29"/>
      <c r="T29" s="29"/>
      <c r="U29" s="29"/>
      <c r="V29" s="29"/>
      <c r="W29" s="29"/>
      <c r="X29" s="29"/>
      <c r="Y29" s="29"/>
      <c r="Z29" s="29"/>
    </row>
    <row r="30">
      <c r="A30" s="20">
        <v>45533.0</v>
      </c>
      <c r="B30" s="21" t="s">
        <v>56</v>
      </c>
      <c r="C30" s="22" t="s">
        <v>49</v>
      </c>
      <c r="D30" s="23" t="s">
        <v>44</v>
      </c>
      <c r="E30" s="23" t="s">
        <v>22</v>
      </c>
      <c r="F30" s="49" t="s">
        <v>16</v>
      </c>
      <c r="G30" s="25" t="s">
        <v>318</v>
      </c>
      <c r="H30" s="45"/>
      <c r="I30" s="56" t="s">
        <v>115</v>
      </c>
      <c r="J30" s="56" t="s">
        <v>66</v>
      </c>
      <c r="K30" s="162"/>
      <c r="L30" s="152" t="s">
        <v>71</v>
      </c>
      <c r="M30" s="28"/>
      <c r="N30" s="161"/>
      <c r="O30" s="29"/>
      <c r="P30" s="29"/>
      <c r="Q30" s="29"/>
      <c r="R30" s="29"/>
      <c r="S30" s="29"/>
      <c r="T30" s="29"/>
      <c r="U30" s="29"/>
      <c r="V30" s="29"/>
      <c r="W30" s="29"/>
      <c r="X30" s="29"/>
      <c r="Y30" s="29"/>
      <c r="Z30" s="29"/>
    </row>
    <row r="31">
      <c r="A31" s="20">
        <v>45531.0</v>
      </c>
      <c r="B31" s="21" t="s">
        <v>56</v>
      </c>
      <c r="C31" s="22" t="s">
        <v>94</v>
      </c>
      <c r="D31" s="23" t="s">
        <v>27</v>
      </c>
      <c r="E31" s="23" t="s">
        <v>64</v>
      </c>
      <c r="F31" s="49" t="s">
        <v>64</v>
      </c>
      <c r="G31" s="25" t="s">
        <v>319</v>
      </c>
      <c r="H31" s="45"/>
      <c r="I31" s="56" t="s">
        <v>70</v>
      </c>
      <c r="J31" s="56"/>
      <c r="K31" s="162"/>
      <c r="L31" s="152" t="s">
        <v>68</v>
      </c>
      <c r="M31" s="28"/>
      <c r="N31" s="161"/>
      <c r="O31" s="29"/>
      <c r="P31" s="29"/>
      <c r="Q31" s="29"/>
      <c r="R31" s="29"/>
      <c r="S31" s="29"/>
      <c r="T31" s="29"/>
      <c r="U31" s="29"/>
      <c r="V31" s="29"/>
      <c r="W31" s="29"/>
      <c r="X31" s="29"/>
      <c r="Y31" s="29"/>
      <c r="Z31" s="29"/>
    </row>
    <row r="32">
      <c r="A32" s="20">
        <v>45526.0</v>
      </c>
      <c r="B32" s="21" t="s">
        <v>56</v>
      </c>
      <c r="C32" s="22" t="s">
        <v>30</v>
      </c>
      <c r="D32" s="23" t="s">
        <v>58</v>
      </c>
      <c r="E32" s="23" t="s">
        <v>22</v>
      </c>
      <c r="F32" s="49" t="s">
        <v>16</v>
      </c>
      <c r="G32" s="25" t="s">
        <v>320</v>
      </c>
      <c r="H32" s="45"/>
      <c r="I32" s="56" t="s">
        <v>74</v>
      </c>
      <c r="J32" s="56" t="s">
        <v>66</v>
      </c>
      <c r="K32" s="159" t="s">
        <v>315</v>
      </c>
      <c r="L32" s="152" t="s">
        <v>71</v>
      </c>
      <c r="M32" s="28"/>
      <c r="N32" s="161"/>
      <c r="O32" s="29"/>
      <c r="P32" s="29"/>
      <c r="Q32" s="29"/>
      <c r="R32" s="29"/>
      <c r="S32" s="29"/>
      <c r="T32" s="29"/>
      <c r="U32" s="29"/>
      <c r="V32" s="29"/>
      <c r="W32" s="29"/>
      <c r="X32" s="29"/>
      <c r="Y32" s="29"/>
      <c r="Z32" s="29"/>
    </row>
    <row r="33">
      <c r="A33" s="20">
        <v>45527.0</v>
      </c>
      <c r="B33" s="21" t="s">
        <v>56</v>
      </c>
      <c r="C33" s="22" t="s">
        <v>76</v>
      </c>
      <c r="D33" s="23" t="s">
        <v>81</v>
      </c>
      <c r="E33" s="23" t="s">
        <v>22</v>
      </c>
      <c r="F33" s="49" t="s">
        <v>16</v>
      </c>
      <c r="G33" s="25" t="s">
        <v>321</v>
      </c>
      <c r="H33" s="158" t="s">
        <v>97</v>
      </c>
      <c r="I33" s="56" t="s">
        <v>79</v>
      </c>
      <c r="J33" s="56"/>
      <c r="K33" s="162"/>
      <c r="L33" s="152" t="s">
        <v>167</v>
      </c>
      <c r="M33" s="28"/>
      <c r="N33" s="161"/>
      <c r="O33" s="29"/>
      <c r="P33" s="29"/>
      <c r="Q33" s="29"/>
      <c r="R33" s="29"/>
      <c r="S33" s="29"/>
      <c r="T33" s="29"/>
      <c r="U33" s="29"/>
      <c r="V33" s="29"/>
      <c r="W33" s="29"/>
      <c r="X33" s="29"/>
      <c r="Y33" s="29"/>
      <c r="Z33" s="29"/>
    </row>
    <row r="34">
      <c r="A34" s="20">
        <v>45537.0</v>
      </c>
      <c r="B34" s="21" t="s">
        <v>56</v>
      </c>
      <c r="C34" s="22" t="s">
        <v>83</v>
      </c>
      <c r="D34" s="23" t="s">
        <v>44</v>
      </c>
      <c r="E34" s="23" t="s">
        <v>64</v>
      </c>
      <c r="F34" s="49" t="s">
        <v>16</v>
      </c>
      <c r="G34" s="25" t="s">
        <v>322</v>
      </c>
      <c r="H34" s="158" t="s">
        <v>61</v>
      </c>
      <c r="I34" s="56" t="s">
        <v>66</v>
      </c>
      <c r="J34" s="56"/>
      <c r="K34" s="162"/>
      <c r="L34" s="152" t="s">
        <v>71</v>
      </c>
      <c r="M34" s="28"/>
      <c r="N34" s="161"/>
      <c r="O34" s="29"/>
      <c r="P34" s="29"/>
      <c r="Q34" s="29"/>
      <c r="R34" s="29"/>
      <c r="S34" s="29"/>
      <c r="T34" s="29"/>
      <c r="U34" s="29"/>
      <c r="V34" s="29"/>
      <c r="W34" s="29"/>
      <c r="X34" s="29"/>
      <c r="Y34" s="29"/>
      <c r="Z34" s="29"/>
    </row>
    <row r="35">
      <c r="A35" s="20">
        <v>45533.0</v>
      </c>
      <c r="B35" s="21" t="s">
        <v>56</v>
      </c>
      <c r="C35" s="22" t="s">
        <v>76</v>
      </c>
      <c r="D35" s="23" t="s">
        <v>44</v>
      </c>
      <c r="E35" s="23" t="s">
        <v>22</v>
      </c>
      <c r="F35" s="49" t="s">
        <v>16</v>
      </c>
      <c r="G35" s="25" t="s">
        <v>323</v>
      </c>
      <c r="H35" s="158" t="s">
        <v>61</v>
      </c>
      <c r="I35" s="56" t="s">
        <v>79</v>
      </c>
      <c r="J35" s="56"/>
      <c r="K35" s="162"/>
      <c r="L35" s="152" t="s">
        <v>71</v>
      </c>
      <c r="M35" s="28"/>
      <c r="N35" s="161"/>
      <c r="O35" s="29"/>
      <c r="P35" s="29"/>
      <c r="Q35" s="29"/>
      <c r="R35" s="29"/>
      <c r="S35" s="29"/>
      <c r="T35" s="29"/>
      <c r="U35" s="29"/>
      <c r="V35" s="29"/>
      <c r="W35" s="29"/>
      <c r="X35" s="29"/>
      <c r="Y35" s="29"/>
      <c r="Z35" s="29"/>
    </row>
    <row r="36">
      <c r="A36" s="20">
        <v>45525.0</v>
      </c>
      <c r="B36" s="21" t="s">
        <v>56</v>
      </c>
      <c r="C36" s="22" t="s">
        <v>57</v>
      </c>
      <c r="D36" s="23" t="s">
        <v>21</v>
      </c>
      <c r="E36" s="23" t="s">
        <v>22</v>
      </c>
      <c r="F36" s="49" t="s">
        <v>16</v>
      </c>
      <c r="G36" s="25" t="s">
        <v>324</v>
      </c>
      <c r="H36" s="45"/>
      <c r="I36" s="56" t="s">
        <v>62</v>
      </c>
      <c r="J36" s="56" t="s">
        <v>127</v>
      </c>
      <c r="K36" s="159" t="s">
        <v>313</v>
      </c>
      <c r="L36" s="152" t="s">
        <v>68</v>
      </c>
      <c r="M36" s="28"/>
      <c r="N36" s="161"/>
      <c r="O36" s="29"/>
      <c r="P36" s="29"/>
      <c r="Q36" s="29"/>
      <c r="R36" s="29"/>
      <c r="S36" s="29"/>
      <c r="T36" s="29"/>
      <c r="U36" s="29"/>
      <c r="V36" s="29"/>
      <c r="W36" s="29"/>
      <c r="X36" s="29"/>
      <c r="Y36" s="29"/>
      <c r="Z36" s="29"/>
    </row>
    <row r="37">
      <c r="A37" s="20">
        <v>45525.0</v>
      </c>
      <c r="B37" s="21" t="s">
        <v>56</v>
      </c>
      <c r="C37" s="22" t="s">
        <v>57</v>
      </c>
      <c r="D37" s="23" t="s">
        <v>21</v>
      </c>
      <c r="E37" s="23" t="s">
        <v>22</v>
      </c>
      <c r="F37" s="49" t="s">
        <v>16</v>
      </c>
      <c r="G37" s="25" t="s">
        <v>325</v>
      </c>
      <c r="H37" s="45"/>
      <c r="I37" s="56" t="s">
        <v>62</v>
      </c>
      <c r="J37" s="56" t="s">
        <v>127</v>
      </c>
      <c r="K37" s="159" t="s">
        <v>313</v>
      </c>
      <c r="L37" s="152" t="s">
        <v>68</v>
      </c>
      <c r="M37" s="28"/>
      <c r="N37" s="161"/>
      <c r="O37" s="29"/>
      <c r="P37" s="29"/>
      <c r="Q37" s="29"/>
      <c r="R37" s="29"/>
      <c r="S37" s="29"/>
      <c r="T37" s="29"/>
      <c r="U37" s="29"/>
      <c r="V37" s="29"/>
      <c r="W37" s="29"/>
      <c r="X37" s="29"/>
      <c r="Y37" s="29"/>
      <c r="Z37" s="29"/>
    </row>
    <row r="38">
      <c r="A38" s="20">
        <v>45533.0</v>
      </c>
      <c r="B38" s="21" t="s">
        <v>56</v>
      </c>
      <c r="C38" s="22" t="s">
        <v>76</v>
      </c>
      <c r="D38" s="23" t="s">
        <v>44</v>
      </c>
      <c r="E38" s="23" t="s">
        <v>64</v>
      </c>
      <c r="F38" s="49" t="s">
        <v>16</v>
      </c>
      <c r="G38" s="25" t="s">
        <v>326</v>
      </c>
      <c r="H38" s="45"/>
      <c r="I38" s="56" t="s">
        <v>79</v>
      </c>
      <c r="J38" s="56"/>
      <c r="K38" s="162"/>
      <c r="L38" s="152" t="s">
        <v>68</v>
      </c>
      <c r="M38" s="28"/>
      <c r="N38" s="161"/>
      <c r="O38" s="29"/>
      <c r="P38" s="29"/>
      <c r="Q38" s="29"/>
      <c r="R38" s="29"/>
      <c r="S38" s="29"/>
      <c r="T38" s="29"/>
      <c r="U38" s="29"/>
      <c r="V38" s="29"/>
      <c r="W38" s="29"/>
      <c r="X38" s="29"/>
      <c r="Y38" s="29"/>
      <c r="Z38" s="29"/>
    </row>
    <row r="39">
      <c r="A39" s="20">
        <v>45476.0</v>
      </c>
      <c r="B39" s="21" t="s">
        <v>327</v>
      </c>
      <c r="C39" s="22" t="s">
        <v>49</v>
      </c>
      <c r="D39" s="23" t="s">
        <v>81</v>
      </c>
      <c r="E39" s="23" t="s">
        <v>64</v>
      </c>
      <c r="F39" s="49" t="s">
        <v>16</v>
      </c>
      <c r="G39" s="25" t="s">
        <v>328</v>
      </c>
      <c r="H39" s="158" t="s">
        <v>61</v>
      </c>
      <c r="I39" s="56" t="s">
        <v>115</v>
      </c>
      <c r="J39" s="56" t="s">
        <v>66</v>
      </c>
      <c r="K39" s="162"/>
      <c r="L39" s="152" t="s">
        <v>68</v>
      </c>
      <c r="M39" s="28"/>
      <c r="N39" s="161"/>
      <c r="O39" s="29"/>
      <c r="P39" s="29"/>
      <c r="Q39" s="29"/>
      <c r="R39" s="29"/>
      <c r="S39" s="29"/>
      <c r="T39" s="29"/>
      <c r="U39" s="29"/>
      <c r="V39" s="29"/>
      <c r="W39" s="29"/>
      <c r="X39" s="29"/>
      <c r="Y39" s="29"/>
      <c r="Z39" s="29"/>
    </row>
    <row r="40">
      <c r="A40" s="20">
        <v>45497.0</v>
      </c>
      <c r="B40" s="21" t="s">
        <v>121</v>
      </c>
      <c r="C40" s="22" t="s">
        <v>26</v>
      </c>
      <c r="D40" s="23" t="s">
        <v>77</v>
      </c>
      <c r="E40" s="23" t="s">
        <v>15</v>
      </c>
      <c r="F40" s="49" t="s">
        <v>16</v>
      </c>
      <c r="G40" s="25" t="s">
        <v>329</v>
      </c>
      <c r="H40" s="158" t="s">
        <v>97</v>
      </c>
      <c r="I40" s="56" t="s">
        <v>70</v>
      </c>
      <c r="J40" s="56" t="s">
        <v>66</v>
      </c>
      <c r="K40" s="162"/>
      <c r="L40" s="152" t="s">
        <v>167</v>
      </c>
      <c r="M40" s="28"/>
      <c r="N40" s="161"/>
      <c r="O40" s="29"/>
      <c r="P40" s="29"/>
      <c r="Q40" s="29"/>
      <c r="R40" s="29"/>
      <c r="S40" s="29"/>
      <c r="T40" s="29"/>
      <c r="U40" s="29"/>
      <c r="V40" s="29"/>
      <c r="W40" s="29"/>
      <c r="X40" s="29"/>
      <c r="Y40" s="29"/>
      <c r="Z40" s="29"/>
    </row>
    <row r="41">
      <c r="A41" s="20">
        <v>45497.0</v>
      </c>
      <c r="B41" s="21" t="s">
        <v>121</v>
      </c>
      <c r="C41" s="22" t="s">
        <v>36</v>
      </c>
      <c r="D41" s="23" t="s">
        <v>77</v>
      </c>
      <c r="E41" s="23" t="s">
        <v>64</v>
      </c>
      <c r="F41" s="24" t="s">
        <v>16</v>
      </c>
      <c r="G41" s="21" t="s">
        <v>330</v>
      </c>
      <c r="H41" s="26" t="s">
        <v>61</v>
      </c>
      <c r="I41" s="27" t="s">
        <v>66</v>
      </c>
      <c r="J41" s="27"/>
      <c r="K41" s="34"/>
      <c r="L41" s="27" t="s">
        <v>63</v>
      </c>
      <c r="M41" s="28"/>
      <c r="N41" s="29"/>
      <c r="O41" s="29"/>
      <c r="P41" s="29"/>
      <c r="Q41" s="29"/>
      <c r="R41" s="29"/>
      <c r="S41" s="29"/>
      <c r="T41" s="29"/>
      <c r="U41" s="29"/>
      <c r="V41" s="29"/>
      <c r="W41" s="29"/>
      <c r="X41" s="29"/>
      <c r="Y41" s="29"/>
      <c r="Z41" s="29"/>
    </row>
  </sheetData>
  <customSheetViews>
    <customSheetView guid="{7E71B5F7-61AF-4C93-AAAA-D905E381EEB1}" filter="1" showAutoFilter="1">
      <autoFilter ref="$A$1:$Z$41"/>
    </customSheetView>
  </customSheetViews>
  <conditionalFormatting sqref="F2:F41">
    <cfRule type="containsText" dxfId="0" priority="1" operator="containsText" text="Closed">
      <formula>NOT(ISERROR(SEARCH(("Closed"),(F2))))</formula>
    </cfRule>
  </conditionalFormatting>
  <conditionalFormatting sqref="F2:F41">
    <cfRule type="containsText" dxfId="3" priority="2" operator="containsText" text="Monitor">
      <formula>NOT(ISERROR(SEARCH(("Monitor"),(F2))))</formula>
    </cfRule>
  </conditionalFormatting>
  <conditionalFormatting sqref="F2:F41">
    <cfRule type="containsText" dxfId="4" priority="3" operator="containsText" text="Open">
      <formula>NOT(ISERROR(SEARCH(("Open"),(F2))))</formula>
    </cfRule>
  </conditionalFormatting>
  <conditionalFormatting sqref="F2:F41">
    <cfRule type="containsText" dxfId="5" priority="4" operator="containsText" text="NA">
      <formula>NOT(ISERROR(SEARCH(("NA"),(F2))))</formula>
    </cfRule>
  </conditionalFormatting>
  <dataValidations>
    <dataValidation type="list" allowBlank="1" sqref="B2:B41">
      <formula1>Option!$C$2:$C$16</formula1>
    </dataValidation>
    <dataValidation type="list" allowBlank="1" sqref="I2:J41">
      <formula1>Option!$K$2:$K$17</formula1>
    </dataValidation>
    <dataValidation type="list" allowBlank="1" sqref="D2:D41">
      <formula1>Option!$D$2:$D$15</formula1>
    </dataValidation>
    <dataValidation type="list" allowBlank="1" sqref="F2:F41">
      <formula1>Option!$F$2:$F$5</formula1>
    </dataValidation>
    <dataValidation type="list" allowBlank="1" sqref="L2:L41">
      <formula1>"1.SCH,2.PCB,3.BOM,4.Parameter,5.SW/ME/RF/ANT/Component/MFG/Vendor,6.No Change"</formula1>
    </dataValidation>
    <dataValidation type="list" allowBlank="1" sqref="E2:E41">
      <formula1>Option!$G$2:$G$5</formula1>
    </dataValidation>
    <dataValidation type="list" allowBlank="1" sqref="C2:C41">
      <formula1>Option!$E$2:$E$15</formula1>
    </dataValidation>
  </dataValidations>
  <hyperlinks>
    <hyperlink r:id="rId4" location="slide=id.g4057557fca_0_46" ref="H2"/>
    <hyperlink r:id="rId5" location="slide=id.g31c3b52f83f_0_12" ref="H3"/>
    <hyperlink r:id="rId6" ref="K3"/>
    <hyperlink r:id="rId7" ref="N3"/>
    <hyperlink r:id="rId8" location="slide=id.g30db623f609_0_57" ref="H4"/>
    <hyperlink r:id="rId9" location="slide=id.g4057557fca_0_46" ref="K4"/>
    <hyperlink r:id="rId10" location="slide=id.g3160a7821cd_0_0" ref="H5"/>
    <hyperlink r:id="rId11" location="slide=id.g31a3165efa1_0_14" ref="H6"/>
    <hyperlink r:id="rId12" location="slide=id.g319582c52c5_3_78" ref="H7"/>
    <hyperlink r:id="rId13" ref="H8"/>
    <hyperlink r:id="rId14" location="slide=id.g30db623f609_0_57" ref="H9"/>
    <hyperlink r:id="rId15" location="slide=id.g4057557fca_0_46" ref="H11"/>
    <hyperlink r:id="rId16" location="slide=id.g2fc595ca39f_0_2" ref="H12"/>
    <hyperlink r:id="rId17" ref="H13"/>
    <hyperlink r:id="rId18" location="slide=id.g2f69c0c11d2_0_4" ref="H15"/>
    <hyperlink r:id="rId19" location="slide=id.g65f08ae823ccad5e_1" ref="H16"/>
    <hyperlink r:id="rId20" location="slide=id.g27bcfd4d04d_0_1" ref="H17"/>
    <hyperlink r:id="rId21" location="slide=id.g2f9db49b7eb_0_0" ref="H18"/>
    <hyperlink r:id="rId22" location="slide=id.g2877b8f9f44_2_0" ref="H19"/>
    <hyperlink r:id="rId23" ref="K20"/>
    <hyperlink r:id="rId24" location="slide=id.p" ref="H21"/>
    <hyperlink r:id="rId25" location="slide=id.g30a6e20d3cf_1_0" ref="H22"/>
    <hyperlink r:id="rId26" location="slide=id.g2ee591f56b6_0_12" ref="K25"/>
    <hyperlink r:id="rId27" location="slide=id.g2ee50c526e7_0_0" ref="K26"/>
    <hyperlink r:id="rId28" location="slide=id.p" ref="H27"/>
    <hyperlink r:id="rId29" location="slide=id.g2831c155ae1_1_7" ref="K27"/>
    <hyperlink r:id="rId30" location="slide=id.g2e7b42fa3f9_0_1" ref="H29"/>
    <hyperlink r:id="rId31" location="slide=id.g2831c155ae1_1_1" ref="K32"/>
    <hyperlink r:id="rId32" location="slide=id.g2acd12b7e06_0_0" ref="H33"/>
    <hyperlink r:id="rId33" location="slide=id.g817f647ff0_0_38" ref="H34"/>
    <hyperlink r:id="rId34" location="slide=id.g2f625244999_1_7" ref="H35"/>
    <hyperlink r:id="rId35" location="slide=id.g2ee50c526e7_0_0" ref="K36"/>
    <hyperlink r:id="rId36" location="slide=id.g2ee50c526e7_0_0" ref="K37"/>
    <hyperlink r:id="rId37" location="slide=id.p" ref="H39"/>
    <hyperlink r:id="rId38" location="slide=id.g2acd12b7e06_0_0" ref="H40"/>
    <hyperlink r:id="rId39" location="slide=id.g2d03aeac7d6_0_6" ref="H41"/>
  </hyperlinks>
  <drawing r:id="rId40"/>
  <legacyDrawing r:id="rId4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2" max="2" width="14.38"/>
    <col customWidth="1" min="3" max="3" width="17.75"/>
    <col customWidth="1" min="5" max="5" width="12.88"/>
    <col customWidth="1" min="7" max="7" width="98.0"/>
    <col customWidth="1" min="8" max="8" width="8.13"/>
    <col customWidth="1" min="11" max="11" width="20.5"/>
  </cols>
  <sheetData>
    <row r="1">
      <c r="A1" s="4" t="s">
        <v>54</v>
      </c>
      <c r="B1" s="4" t="s">
        <v>1</v>
      </c>
      <c r="C1" s="4" t="s">
        <v>2</v>
      </c>
      <c r="D1" s="4" t="s">
        <v>3</v>
      </c>
      <c r="E1" s="4" t="s">
        <v>4</v>
      </c>
      <c r="F1" s="4" t="s">
        <v>5</v>
      </c>
      <c r="G1" s="4" t="s">
        <v>6</v>
      </c>
      <c r="H1" s="4" t="s">
        <v>7</v>
      </c>
      <c r="I1" s="3" t="s">
        <v>8</v>
      </c>
      <c r="J1" s="3" t="s">
        <v>9</v>
      </c>
      <c r="K1" s="4" t="s">
        <v>10</v>
      </c>
      <c r="L1" s="4" t="s">
        <v>11</v>
      </c>
      <c r="M1" s="51" t="s">
        <v>55</v>
      </c>
    </row>
    <row r="2" ht="81.0" customHeight="1">
      <c r="A2" s="20">
        <v>45594.0</v>
      </c>
      <c r="B2" s="130" t="s">
        <v>172</v>
      </c>
      <c r="C2" s="8" t="s">
        <v>20</v>
      </c>
      <c r="D2" s="132" t="s">
        <v>95</v>
      </c>
      <c r="E2" s="132" t="s">
        <v>64</v>
      </c>
      <c r="F2" s="142" t="s">
        <v>64</v>
      </c>
      <c r="G2" s="163" t="s">
        <v>331</v>
      </c>
      <c r="H2" s="158" t="s">
        <v>61</v>
      </c>
      <c r="I2" s="164" t="s">
        <v>66</v>
      </c>
      <c r="J2" s="56" t="s">
        <v>70</v>
      </c>
      <c r="K2" s="45"/>
      <c r="L2" s="144"/>
      <c r="M2" s="28"/>
      <c r="N2" s="29"/>
      <c r="O2" s="29"/>
      <c r="P2" s="29"/>
      <c r="Q2" s="29"/>
      <c r="R2" s="29"/>
      <c r="S2" s="29"/>
      <c r="T2" s="29"/>
      <c r="U2" s="29"/>
      <c r="V2" s="29"/>
      <c r="W2" s="29"/>
      <c r="X2" s="29"/>
      <c r="Y2" s="29"/>
      <c r="Z2" s="29"/>
    </row>
    <row r="3">
      <c r="A3" s="20">
        <v>45447.0</v>
      </c>
      <c r="B3" s="130" t="s">
        <v>25</v>
      </c>
      <c r="C3" s="8" t="s">
        <v>20</v>
      </c>
      <c r="D3" s="132" t="s">
        <v>58</v>
      </c>
      <c r="E3" s="132" t="s">
        <v>64</v>
      </c>
      <c r="F3" s="142" t="s">
        <v>64</v>
      </c>
      <c r="G3" s="163" t="s">
        <v>332</v>
      </c>
      <c r="H3" s="45"/>
      <c r="I3" s="164" t="s">
        <v>67</v>
      </c>
      <c r="J3" s="56" t="s">
        <v>66</v>
      </c>
      <c r="K3" s="158" t="s">
        <v>97</v>
      </c>
      <c r="L3" s="144"/>
      <c r="M3" s="28"/>
      <c r="N3" s="29"/>
      <c r="O3" s="29"/>
      <c r="P3" s="29"/>
      <c r="Q3" s="29"/>
      <c r="R3" s="29"/>
      <c r="S3" s="29"/>
      <c r="T3" s="29"/>
      <c r="U3" s="29"/>
      <c r="V3" s="29"/>
      <c r="W3" s="29"/>
      <c r="X3" s="29"/>
      <c r="Y3" s="29"/>
      <c r="Z3" s="29"/>
    </row>
    <row r="4">
      <c r="A4" s="20">
        <v>45434.0</v>
      </c>
      <c r="B4" s="130" t="s">
        <v>25</v>
      </c>
      <c r="C4" s="8" t="s">
        <v>36</v>
      </c>
      <c r="D4" s="132" t="s">
        <v>21</v>
      </c>
      <c r="E4" s="132" t="s">
        <v>46</v>
      </c>
      <c r="F4" s="142" t="s">
        <v>16</v>
      </c>
      <c r="G4" s="163" t="s">
        <v>333</v>
      </c>
      <c r="H4" s="158" t="s">
        <v>61</v>
      </c>
      <c r="I4" s="56" t="s">
        <v>66</v>
      </c>
      <c r="J4" s="165" t="s">
        <v>334</v>
      </c>
      <c r="K4" s="34"/>
      <c r="L4" s="144"/>
      <c r="M4" s="28"/>
      <c r="N4" s="29"/>
      <c r="O4" s="29"/>
      <c r="P4" s="29"/>
      <c r="Q4" s="29"/>
      <c r="R4" s="29"/>
      <c r="S4" s="29"/>
      <c r="T4" s="29"/>
      <c r="U4" s="29"/>
      <c r="V4" s="29"/>
      <c r="W4" s="29"/>
      <c r="X4" s="29"/>
      <c r="Y4" s="29"/>
      <c r="Z4" s="29"/>
    </row>
    <row r="5">
      <c r="A5" s="20">
        <v>45421.0</v>
      </c>
      <c r="B5" s="130" t="s">
        <v>19</v>
      </c>
      <c r="C5" s="8" t="s">
        <v>76</v>
      </c>
      <c r="D5" s="132" t="s">
        <v>14</v>
      </c>
      <c r="E5" s="132" t="s">
        <v>46</v>
      </c>
      <c r="F5" s="142" t="s">
        <v>16</v>
      </c>
      <c r="G5" s="163" t="s">
        <v>335</v>
      </c>
      <c r="H5" s="45"/>
      <c r="I5" s="165" t="s">
        <v>334</v>
      </c>
      <c r="J5" s="56" t="s">
        <v>67</v>
      </c>
      <c r="K5" s="26" t="s">
        <v>61</v>
      </c>
      <c r="L5" s="144"/>
      <c r="M5" s="28"/>
      <c r="N5" s="29"/>
      <c r="O5" s="29"/>
      <c r="P5" s="29"/>
      <c r="Q5" s="29"/>
      <c r="R5" s="29"/>
      <c r="S5" s="29"/>
      <c r="T5" s="29"/>
      <c r="U5" s="29"/>
      <c r="V5" s="29"/>
      <c r="W5" s="29"/>
      <c r="X5" s="29"/>
      <c r="Y5" s="29"/>
      <c r="Z5" s="29"/>
    </row>
    <row r="6">
      <c r="A6" s="20">
        <v>45420.0</v>
      </c>
      <c r="B6" s="130" t="s">
        <v>19</v>
      </c>
      <c r="C6" s="8" t="s">
        <v>20</v>
      </c>
      <c r="D6" s="132" t="s">
        <v>58</v>
      </c>
      <c r="E6" s="132" t="s">
        <v>15</v>
      </c>
      <c r="F6" s="142" t="s">
        <v>16</v>
      </c>
      <c r="G6" s="163" t="s">
        <v>336</v>
      </c>
      <c r="I6" s="164" t="s">
        <v>67</v>
      </c>
      <c r="J6" s="56" t="s">
        <v>66</v>
      </c>
      <c r="K6" s="158" t="s">
        <v>97</v>
      </c>
      <c r="L6" s="144"/>
      <c r="M6" s="28"/>
      <c r="N6" s="29"/>
      <c r="O6" s="29"/>
      <c r="P6" s="29"/>
      <c r="Q6" s="29"/>
      <c r="R6" s="29"/>
      <c r="S6" s="29"/>
      <c r="T6" s="29"/>
      <c r="U6" s="29"/>
      <c r="V6" s="29"/>
      <c r="W6" s="29"/>
      <c r="X6" s="29"/>
      <c r="Y6" s="29"/>
      <c r="Z6" s="29"/>
    </row>
    <row r="7">
      <c r="A7" s="20">
        <v>45419.0</v>
      </c>
      <c r="B7" s="130" t="s">
        <v>19</v>
      </c>
      <c r="C7" s="8" t="s">
        <v>36</v>
      </c>
      <c r="D7" s="132" t="s">
        <v>14</v>
      </c>
      <c r="E7" s="132" t="s">
        <v>64</v>
      </c>
      <c r="F7" s="142" t="s">
        <v>64</v>
      </c>
      <c r="G7" s="163" t="s">
        <v>337</v>
      </c>
      <c r="I7" s="56" t="s">
        <v>66</v>
      </c>
      <c r="J7" s="56" t="s">
        <v>151</v>
      </c>
      <c r="K7" s="158" t="s">
        <v>61</v>
      </c>
      <c r="L7" s="144"/>
      <c r="M7" s="28"/>
      <c r="N7" s="29"/>
      <c r="O7" s="29"/>
      <c r="P7" s="29"/>
      <c r="Q7" s="29"/>
      <c r="R7" s="29"/>
      <c r="S7" s="29"/>
      <c r="T7" s="29"/>
      <c r="U7" s="29"/>
      <c r="V7" s="29"/>
      <c r="W7" s="29"/>
      <c r="X7" s="29"/>
      <c r="Y7" s="29"/>
      <c r="Z7" s="29"/>
    </row>
    <row r="8">
      <c r="A8" s="20">
        <v>45385.0</v>
      </c>
      <c r="B8" s="130" t="s">
        <v>19</v>
      </c>
      <c r="C8" s="8" t="s">
        <v>49</v>
      </c>
      <c r="D8" s="132" t="s">
        <v>58</v>
      </c>
      <c r="E8" s="132" t="s">
        <v>46</v>
      </c>
      <c r="F8" s="142" t="s">
        <v>16</v>
      </c>
      <c r="G8" s="163" t="s">
        <v>338</v>
      </c>
      <c r="H8" s="45"/>
      <c r="I8" s="165" t="s">
        <v>334</v>
      </c>
      <c r="J8" s="56"/>
      <c r="K8" s="26" t="s">
        <v>61</v>
      </c>
      <c r="L8" s="144"/>
      <c r="M8" s="28"/>
      <c r="N8" s="29"/>
      <c r="O8" s="29"/>
      <c r="P8" s="29"/>
      <c r="Q8" s="29"/>
      <c r="R8" s="29"/>
      <c r="S8" s="29"/>
      <c r="T8" s="29"/>
      <c r="U8" s="29"/>
      <c r="V8" s="29"/>
      <c r="W8" s="29"/>
      <c r="X8" s="29"/>
      <c r="Y8" s="29"/>
      <c r="Z8" s="29"/>
    </row>
    <row r="9">
      <c r="A9" s="20">
        <v>45385.0</v>
      </c>
      <c r="B9" s="130" t="s">
        <v>43</v>
      </c>
      <c r="C9" s="8" t="s">
        <v>49</v>
      </c>
      <c r="D9" s="132" t="s">
        <v>58</v>
      </c>
      <c r="E9" s="132" t="s">
        <v>22</v>
      </c>
      <c r="F9" s="142" t="s">
        <v>16</v>
      </c>
      <c r="G9" s="166" t="s">
        <v>339</v>
      </c>
      <c r="H9" s="45"/>
      <c r="I9" s="165" t="s">
        <v>334</v>
      </c>
      <c r="J9" s="56"/>
      <c r="K9" s="26" t="s">
        <v>61</v>
      </c>
      <c r="L9" s="144"/>
      <c r="M9" s="28"/>
      <c r="N9" s="29"/>
      <c r="O9" s="29"/>
      <c r="P9" s="29"/>
      <c r="Q9" s="29"/>
      <c r="R9" s="29"/>
      <c r="S9" s="29"/>
      <c r="T9" s="29"/>
      <c r="U9" s="29"/>
      <c r="V9" s="29"/>
      <c r="W9" s="29"/>
      <c r="X9" s="29"/>
      <c r="Y9" s="29"/>
      <c r="Z9" s="29"/>
    </row>
    <row r="10">
      <c r="A10" s="20">
        <v>45385.0</v>
      </c>
      <c r="B10" s="130" t="s">
        <v>43</v>
      </c>
      <c r="C10" s="8" t="s">
        <v>72</v>
      </c>
      <c r="D10" s="132" t="s">
        <v>58</v>
      </c>
      <c r="E10" s="132" t="s">
        <v>46</v>
      </c>
      <c r="F10" s="142" t="s">
        <v>16</v>
      </c>
      <c r="G10" s="166" t="s">
        <v>340</v>
      </c>
      <c r="H10" s="45"/>
      <c r="I10" s="164" t="s">
        <v>67</v>
      </c>
      <c r="J10" s="56" t="s">
        <v>74</v>
      </c>
      <c r="K10" s="26" t="s">
        <v>61</v>
      </c>
      <c r="L10" s="144" t="s">
        <v>71</v>
      </c>
      <c r="M10" s="28"/>
      <c r="N10" s="29"/>
      <c r="O10" s="29"/>
      <c r="P10" s="29"/>
      <c r="Q10" s="29"/>
      <c r="R10" s="29"/>
      <c r="S10" s="29"/>
      <c r="T10" s="29"/>
      <c r="U10" s="29"/>
      <c r="V10" s="29"/>
      <c r="W10" s="29"/>
      <c r="X10" s="29"/>
      <c r="Y10" s="29"/>
      <c r="Z10" s="29"/>
    </row>
    <row r="11">
      <c r="A11" s="20">
        <v>45384.0</v>
      </c>
      <c r="B11" s="130" t="s">
        <v>43</v>
      </c>
      <c r="C11" s="8" t="s">
        <v>20</v>
      </c>
      <c r="D11" s="132" t="s">
        <v>21</v>
      </c>
      <c r="E11" s="132" t="s">
        <v>15</v>
      </c>
      <c r="F11" s="142" t="s">
        <v>16</v>
      </c>
      <c r="G11" s="166" t="s">
        <v>341</v>
      </c>
      <c r="H11" s="45"/>
      <c r="I11" s="164" t="s">
        <v>67</v>
      </c>
      <c r="J11" s="56"/>
      <c r="K11" s="26" t="s">
        <v>112</v>
      </c>
      <c r="L11" s="144"/>
      <c r="M11" s="28"/>
      <c r="N11" s="29"/>
      <c r="O11" s="29"/>
      <c r="P11" s="29"/>
      <c r="Q11" s="29"/>
      <c r="R11" s="29"/>
      <c r="S11" s="29"/>
      <c r="T11" s="29"/>
      <c r="U11" s="29"/>
      <c r="V11" s="29"/>
      <c r="W11" s="29"/>
      <c r="X11" s="29"/>
      <c r="Y11" s="29"/>
      <c r="Z11" s="29"/>
    </row>
    <row r="12">
      <c r="A12" s="20">
        <v>45369.0</v>
      </c>
      <c r="B12" s="130" t="s">
        <v>43</v>
      </c>
      <c r="C12" s="8" t="s">
        <v>36</v>
      </c>
      <c r="D12" s="132" t="s">
        <v>58</v>
      </c>
      <c r="E12" s="132" t="s">
        <v>22</v>
      </c>
      <c r="F12" s="142" t="s">
        <v>16</v>
      </c>
      <c r="G12" s="166" t="s">
        <v>342</v>
      </c>
      <c r="H12" s="45"/>
      <c r="I12" s="56" t="s">
        <v>66</v>
      </c>
      <c r="J12" s="56"/>
      <c r="K12" s="26" t="s">
        <v>61</v>
      </c>
      <c r="L12" s="144" t="s">
        <v>71</v>
      </c>
      <c r="M12" s="28"/>
      <c r="N12" s="29"/>
      <c r="O12" s="29"/>
      <c r="P12" s="29"/>
      <c r="Q12" s="29"/>
      <c r="R12" s="29"/>
      <c r="S12" s="29"/>
      <c r="T12" s="29"/>
      <c r="U12" s="29"/>
      <c r="V12" s="29"/>
      <c r="W12" s="29"/>
      <c r="X12" s="29"/>
      <c r="Y12" s="29"/>
      <c r="Z12" s="29"/>
    </row>
    <row r="13" ht="168.75" customHeight="1">
      <c r="A13" s="20">
        <v>45383.0</v>
      </c>
      <c r="B13" s="130" t="s">
        <v>43</v>
      </c>
      <c r="C13" s="8" t="s">
        <v>30</v>
      </c>
      <c r="D13" s="132" t="s">
        <v>58</v>
      </c>
      <c r="E13" s="132" t="s">
        <v>46</v>
      </c>
      <c r="F13" s="142" t="s">
        <v>16</v>
      </c>
      <c r="G13" s="166" t="s">
        <v>343</v>
      </c>
      <c r="H13" s="45"/>
      <c r="I13" s="56" t="s">
        <v>127</v>
      </c>
      <c r="J13" s="56" t="s">
        <v>79</v>
      </c>
      <c r="K13" s="26" t="s">
        <v>61</v>
      </c>
      <c r="L13" s="144" t="s">
        <v>71</v>
      </c>
      <c r="M13" s="28"/>
      <c r="N13" s="29"/>
      <c r="O13" s="29"/>
      <c r="P13" s="29"/>
      <c r="Q13" s="29"/>
      <c r="R13" s="29"/>
      <c r="S13" s="29"/>
      <c r="T13" s="29"/>
      <c r="U13" s="29"/>
      <c r="V13" s="29"/>
      <c r="W13" s="29"/>
      <c r="X13" s="29"/>
      <c r="Y13" s="29"/>
      <c r="Z13" s="29"/>
    </row>
    <row r="14" ht="180.75" customHeight="1">
      <c r="A14" s="20">
        <v>45380.0</v>
      </c>
      <c r="B14" s="130" t="s">
        <v>43</v>
      </c>
      <c r="C14" s="8" t="s">
        <v>13</v>
      </c>
      <c r="D14" s="132" t="s">
        <v>27</v>
      </c>
      <c r="E14" s="132" t="s">
        <v>22</v>
      </c>
      <c r="F14" s="142" t="s">
        <v>16</v>
      </c>
      <c r="G14" s="166" t="s">
        <v>344</v>
      </c>
      <c r="H14" s="45"/>
      <c r="I14" s="56" t="s">
        <v>79</v>
      </c>
      <c r="J14" s="56"/>
      <c r="K14" s="26" t="s">
        <v>61</v>
      </c>
      <c r="L14" s="144" t="s">
        <v>162</v>
      </c>
      <c r="M14" s="28"/>
      <c r="N14" s="29"/>
      <c r="O14" s="29"/>
      <c r="P14" s="29"/>
      <c r="Q14" s="29"/>
      <c r="R14" s="29"/>
      <c r="S14" s="29"/>
      <c r="T14" s="29"/>
      <c r="U14" s="29"/>
      <c r="V14" s="29"/>
      <c r="W14" s="29"/>
      <c r="X14" s="29"/>
      <c r="Y14" s="29"/>
      <c r="Z14" s="29"/>
    </row>
    <row r="15" ht="71.25" customHeight="1">
      <c r="A15" s="20">
        <v>45358.0</v>
      </c>
      <c r="B15" s="130" t="s">
        <v>43</v>
      </c>
      <c r="C15" s="8" t="s">
        <v>76</v>
      </c>
      <c r="D15" s="132" t="s">
        <v>95</v>
      </c>
      <c r="E15" s="132" t="s">
        <v>22</v>
      </c>
      <c r="F15" s="142" t="s">
        <v>16</v>
      </c>
      <c r="G15" s="166" t="s">
        <v>345</v>
      </c>
      <c r="H15" s="45"/>
      <c r="I15" s="56" t="s">
        <v>346</v>
      </c>
      <c r="J15" s="56"/>
      <c r="K15" s="34"/>
      <c r="L15" s="144"/>
      <c r="M15" s="28"/>
      <c r="N15" s="29"/>
      <c r="O15" s="29"/>
      <c r="P15" s="29"/>
      <c r="Q15" s="29"/>
      <c r="R15" s="29"/>
      <c r="S15" s="29"/>
      <c r="T15" s="29"/>
      <c r="U15" s="29"/>
      <c r="V15" s="29"/>
      <c r="W15" s="29"/>
      <c r="X15" s="29"/>
      <c r="Y15" s="29"/>
      <c r="Z15" s="29"/>
    </row>
    <row r="16" ht="71.25" customHeight="1">
      <c r="A16" s="20">
        <v>45356.0</v>
      </c>
      <c r="B16" s="130" t="s">
        <v>43</v>
      </c>
      <c r="C16" s="8" t="s">
        <v>76</v>
      </c>
      <c r="D16" s="132" t="s">
        <v>95</v>
      </c>
      <c r="E16" s="132" t="s">
        <v>22</v>
      </c>
      <c r="F16" s="142" t="s">
        <v>16</v>
      </c>
      <c r="G16" s="166" t="s">
        <v>347</v>
      </c>
      <c r="H16" s="45"/>
      <c r="I16" s="56" t="s">
        <v>346</v>
      </c>
      <c r="J16" s="56"/>
      <c r="K16" s="26" t="s">
        <v>61</v>
      </c>
      <c r="L16" s="144" t="s">
        <v>71</v>
      </c>
      <c r="M16" s="28"/>
      <c r="N16" s="29"/>
      <c r="O16" s="29"/>
      <c r="P16" s="29"/>
      <c r="Q16" s="29"/>
      <c r="R16" s="29"/>
      <c r="S16" s="29"/>
      <c r="T16" s="29"/>
      <c r="U16" s="29"/>
      <c r="V16" s="29"/>
      <c r="W16" s="29"/>
      <c r="X16" s="29"/>
      <c r="Y16" s="29"/>
      <c r="Z16" s="29"/>
    </row>
    <row r="17" ht="71.25" customHeight="1">
      <c r="A17" s="20">
        <v>45353.0</v>
      </c>
      <c r="B17" s="130" t="s">
        <v>43</v>
      </c>
      <c r="C17" s="8" t="s">
        <v>83</v>
      </c>
      <c r="D17" s="132" t="s">
        <v>27</v>
      </c>
      <c r="E17" s="132"/>
      <c r="F17" s="142" t="s">
        <v>16</v>
      </c>
      <c r="G17" s="167" t="s">
        <v>348</v>
      </c>
      <c r="H17" s="45"/>
      <c r="I17" s="56" t="s">
        <v>79</v>
      </c>
      <c r="J17" s="56" t="s">
        <v>66</v>
      </c>
      <c r="K17" s="26" t="s">
        <v>349</v>
      </c>
      <c r="L17" s="144" t="s">
        <v>167</v>
      </c>
      <c r="M17" s="28"/>
      <c r="N17" s="29"/>
      <c r="O17" s="29"/>
      <c r="P17" s="29"/>
      <c r="Q17" s="29"/>
      <c r="R17" s="29"/>
      <c r="S17" s="29"/>
      <c r="T17" s="29"/>
      <c r="U17" s="29"/>
      <c r="V17" s="29"/>
      <c r="W17" s="29"/>
      <c r="X17" s="29"/>
      <c r="Y17" s="29"/>
      <c r="Z17" s="29"/>
    </row>
    <row r="18" ht="71.25" customHeight="1">
      <c r="A18" s="20">
        <v>45343.0</v>
      </c>
      <c r="B18" s="130" t="s">
        <v>56</v>
      </c>
      <c r="C18" s="8" t="s">
        <v>26</v>
      </c>
      <c r="D18" s="132" t="s">
        <v>58</v>
      </c>
      <c r="E18" s="132"/>
      <c r="F18" s="142" t="s">
        <v>16</v>
      </c>
      <c r="G18" s="166" t="s">
        <v>350</v>
      </c>
      <c r="H18" s="45"/>
      <c r="I18" s="152" t="s">
        <v>351</v>
      </c>
      <c r="J18" s="56"/>
      <c r="K18" s="34"/>
      <c r="L18" s="144" t="s">
        <v>71</v>
      </c>
      <c r="M18" s="28"/>
      <c r="N18" s="29"/>
      <c r="O18" s="29"/>
      <c r="P18" s="29"/>
      <c r="Q18" s="29"/>
      <c r="R18" s="29"/>
      <c r="S18" s="29"/>
      <c r="T18" s="29"/>
      <c r="U18" s="29"/>
      <c r="V18" s="29"/>
      <c r="W18" s="29"/>
      <c r="X18" s="29"/>
      <c r="Y18" s="29"/>
      <c r="Z18" s="29"/>
    </row>
    <row r="19">
      <c r="A19" s="20">
        <v>45322.0</v>
      </c>
      <c r="B19" s="130" t="s">
        <v>56</v>
      </c>
      <c r="C19" s="8" t="s">
        <v>57</v>
      </c>
      <c r="D19" s="132" t="s">
        <v>21</v>
      </c>
      <c r="E19" s="132" t="s">
        <v>22</v>
      </c>
      <c r="F19" s="142" t="s">
        <v>16</v>
      </c>
      <c r="G19" s="166" t="s">
        <v>352</v>
      </c>
      <c r="H19" s="45"/>
      <c r="I19" s="152" t="s">
        <v>334</v>
      </c>
      <c r="J19" s="56" t="s">
        <v>67</v>
      </c>
      <c r="K19" s="34"/>
      <c r="L19" s="144" t="s">
        <v>167</v>
      </c>
      <c r="M19" s="28"/>
      <c r="N19" s="29"/>
      <c r="O19" s="29"/>
      <c r="P19" s="29"/>
      <c r="Q19" s="29"/>
      <c r="R19" s="29"/>
      <c r="S19" s="29"/>
      <c r="T19" s="29"/>
      <c r="U19" s="29"/>
      <c r="V19" s="29"/>
      <c r="W19" s="29"/>
      <c r="X19" s="29"/>
      <c r="Y19" s="29"/>
      <c r="Z19" s="29"/>
    </row>
    <row r="20">
      <c r="A20" s="20">
        <v>45320.0</v>
      </c>
      <c r="B20" s="130" t="s">
        <v>56</v>
      </c>
      <c r="C20" s="8" t="s">
        <v>36</v>
      </c>
      <c r="D20" s="132" t="s">
        <v>27</v>
      </c>
      <c r="E20" s="132" t="s">
        <v>64</v>
      </c>
      <c r="F20" s="142" t="s">
        <v>16</v>
      </c>
      <c r="G20" s="166" t="s">
        <v>353</v>
      </c>
      <c r="H20" s="158" t="s">
        <v>61</v>
      </c>
      <c r="I20" s="56" t="s">
        <v>66</v>
      </c>
      <c r="J20" s="55"/>
      <c r="K20" s="34"/>
      <c r="L20" s="144" t="s">
        <v>63</v>
      </c>
      <c r="M20" s="28"/>
      <c r="N20" s="29"/>
      <c r="O20" s="29"/>
      <c r="P20" s="29"/>
      <c r="Q20" s="29"/>
      <c r="R20" s="29"/>
      <c r="S20" s="29"/>
      <c r="T20" s="29"/>
      <c r="U20" s="29"/>
      <c r="V20" s="29"/>
      <c r="W20" s="29"/>
      <c r="X20" s="29"/>
      <c r="Y20" s="29"/>
      <c r="Z20" s="29"/>
    </row>
    <row r="21">
      <c r="A21" s="20">
        <v>45320.0</v>
      </c>
      <c r="B21" s="130" t="s">
        <v>56</v>
      </c>
      <c r="C21" s="8" t="s">
        <v>26</v>
      </c>
      <c r="D21" s="132" t="s">
        <v>27</v>
      </c>
      <c r="E21" s="132" t="s">
        <v>64</v>
      </c>
      <c r="F21" s="142" t="s">
        <v>16</v>
      </c>
      <c r="G21" s="168" t="s">
        <v>354</v>
      </c>
      <c r="H21" s="45"/>
      <c r="I21" s="152" t="s">
        <v>351</v>
      </c>
      <c r="J21" s="56" t="s">
        <v>79</v>
      </c>
      <c r="K21" s="34"/>
      <c r="L21" s="144" t="s">
        <v>63</v>
      </c>
      <c r="M21" s="28"/>
      <c r="N21" s="29"/>
      <c r="O21" s="29"/>
      <c r="P21" s="29"/>
      <c r="Q21" s="29"/>
      <c r="R21" s="29"/>
      <c r="S21" s="29"/>
      <c r="T21" s="29"/>
      <c r="U21" s="29"/>
      <c r="V21" s="29"/>
      <c r="W21" s="29"/>
      <c r="X21" s="29"/>
      <c r="Y21" s="29"/>
      <c r="Z21" s="29"/>
    </row>
    <row r="22">
      <c r="A22" s="20">
        <v>45313.0</v>
      </c>
      <c r="B22" s="130" t="s">
        <v>56</v>
      </c>
      <c r="C22" s="8" t="s">
        <v>36</v>
      </c>
      <c r="D22" s="132" t="s">
        <v>27</v>
      </c>
      <c r="E22" s="132" t="s">
        <v>64</v>
      </c>
      <c r="F22" s="142" t="s">
        <v>16</v>
      </c>
      <c r="G22" s="18" t="s">
        <v>355</v>
      </c>
      <c r="H22" s="45"/>
      <c r="I22" s="56" t="s">
        <v>66</v>
      </c>
      <c r="J22" s="55"/>
      <c r="K22" s="26" t="s">
        <v>356</v>
      </c>
      <c r="L22" s="144" t="s">
        <v>63</v>
      </c>
      <c r="M22" s="28"/>
      <c r="N22" s="29"/>
      <c r="O22" s="29"/>
      <c r="P22" s="29"/>
      <c r="Q22" s="29"/>
      <c r="R22" s="29"/>
      <c r="S22" s="29"/>
      <c r="T22" s="29"/>
      <c r="U22" s="29"/>
      <c r="V22" s="29"/>
      <c r="W22" s="29"/>
      <c r="X22" s="29"/>
      <c r="Y22" s="29"/>
      <c r="Z22" s="29"/>
    </row>
    <row r="23">
      <c r="A23" s="20"/>
      <c r="B23" s="130" t="s">
        <v>56</v>
      </c>
      <c r="C23" s="8" t="s">
        <v>20</v>
      </c>
      <c r="D23" s="132" t="s">
        <v>44</v>
      </c>
      <c r="E23" s="132" t="s">
        <v>64</v>
      </c>
      <c r="F23" s="142" t="s">
        <v>16</v>
      </c>
      <c r="G23" s="18" t="s">
        <v>357</v>
      </c>
      <c r="H23" s="45"/>
      <c r="I23" s="152" t="s">
        <v>358</v>
      </c>
      <c r="J23" s="56" t="s">
        <v>66</v>
      </c>
      <c r="K23" s="26" t="s">
        <v>359</v>
      </c>
      <c r="L23" s="144" t="s">
        <v>71</v>
      </c>
      <c r="M23" s="28"/>
      <c r="N23" s="29"/>
      <c r="O23" s="29"/>
      <c r="P23" s="29"/>
      <c r="Q23" s="29"/>
      <c r="R23" s="29"/>
      <c r="S23" s="29"/>
      <c r="T23" s="29"/>
      <c r="U23" s="29"/>
      <c r="V23" s="29"/>
      <c r="W23" s="29"/>
      <c r="X23" s="29"/>
      <c r="Y23" s="29"/>
      <c r="Z23" s="29"/>
    </row>
    <row r="24">
      <c r="A24" s="20"/>
      <c r="B24" s="21" t="s">
        <v>75</v>
      </c>
      <c r="C24" s="22" t="s">
        <v>26</v>
      </c>
      <c r="D24" s="23" t="s">
        <v>77</v>
      </c>
      <c r="E24" s="23" t="s">
        <v>22</v>
      </c>
      <c r="F24" s="49" t="s">
        <v>16</v>
      </c>
      <c r="G24" s="18" t="s">
        <v>360</v>
      </c>
      <c r="H24" s="45"/>
      <c r="I24" s="152" t="s">
        <v>361</v>
      </c>
      <c r="J24" s="56"/>
      <c r="K24" s="34"/>
      <c r="L24" s="144" t="s">
        <v>63</v>
      </c>
      <c r="M24" s="28"/>
      <c r="N24" s="29"/>
      <c r="O24" s="29"/>
      <c r="P24" s="29"/>
      <c r="Q24" s="29"/>
      <c r="R24" s="29"/>
      <c r="S24" s="29"/>
      <c r="T24" s="29"/>
      <c r="U24" s="29"/>
      <c r="V24" s="29"/>
      <c r="W24" s="29"/>
      <c r="X24" s="29"/>
      <c r="Y24" s="29"/>
      <c r="Z24" s="29"/>
    </row>
    <row r="25" ht="74.25" customHeight="1">
      <c r="A25" s="20"/>
      <c r="B25" s="130"/>
      <c r="C25" s="8"/>
      <c r="D25" s="132"/>
      <c r="E25" s="132"/>
      <c r="F25" s="142"/>
      <c r="G25" s="168"/>
      <c r="H25" s="45"/>
      <c r="I25" s="152"/>
      <c r="J25" s="56"/>
      <c r="K25" s="144"/>
      <c r="L25" s="144"/>
      <c r="M25" s="28"/>
      <c r="N25" s="29"/>
      <c r="O25" s="29"/>
      <c r="P25" s="29"/>
      <c r="Q25" s="29"/>
      <c r="R25" s="29"/>
      <c r="S25" s="29"/>
      <c r="T25" s="29"/>
      <c r="U25" s="29"/>
      <c r="V25" s="29"/>
      <c r="W25" s="29"/>
      <c r="X25" s="29"/>
      <c r="Y25" s="29"/>
      <c r="Z25" s="29"/>
    </row>
    <row r="26" ht="33.75" customHeight="1">
      <c r="A26" s="20"/>
      <c r="B26" s="130"/>
      <c r="C26" s="8"/>
      <c r="D26" s="132"/>
      <c r="E26" s="132"/>
      <c r="F26" s="142"/>
      <c r="G26" s="155"/>
      <c r="H26" s="45"/>
      <c r="I26" s="152"/>
      <c r="J26" s="56"/>
      <c r="K26" s="144"/>
      <c r="L26" s="144"/>
      <c r="M26" s="28"/>
      <c r="N26" s="29"/>
      <c r="O26" s="29"/>
      <c r="P26" s="29"/>
      <c r="Q26" s="29"/>
      <c r="R26" s="29"/>
      <c r="S26" s="29"/>
      <c r="T26" s="29"/>
      <c r="U26" s="29"/>
      <c r="V26" s="29"/>
      <c r="W26" s="29"/>
      <c r="X26" s="29"/>
      <c r="Y26" s="29"/>
      <c r="Z26" s="29"/>
    </row>
    <row r="27" ht="95.25" customHeight="1">
      <c r="A27" s="20"/>
      <c r="B27" s="130"/>
      <c r="C27" s="8"/>
      <c r="D27" s="132"/>
      <c r="E27" s="132"/>
      <c r="F27" s="142"/>
      <c r="G27" s="155"/>
      <c r="H27" s="45"/>
      <c r="I27" s="152"/>
      <c r="J27" s="56"/>
      <c r="K27" s="144"/>
      <c r="L27" s="144"/>
      <c r="M27" s="28"/>
      <c r="N27" s="29"/>
      <c r="O27" s="29"/>
      <c r="P27" s="29"/>
      <c r="Q27" s="29"/>
      <c r="R27" s="29"/>
      <c r="S27" s="29"/>
      <c r="T27" s="29"/>
      <c r="U27" s="29"/>
      <c r="V27" s="29"/>
      <c r="W27" s="29"/>
      <c r="X27" s="29"/>
      <c r="Y27" s="29"/>
      <c r="Z27" s="29"/>
    </row>
    <row r="28" ht="87.75" customHeight="1">
      <c r="A28" s="20"/>
      <c r="B28" s="130"/>
      <c r="C28" s="8"/>
      <c r="D28" s="132"/>
      <c r="E28" s="132"/>
      <c r="F28" s="142"/>
      <c r="G28" s="155"/>
      <c r="H28" s="45"/>
      <c r="I28" s="152"/>
      <c r="J28" s="56"/>
      <c r="K28" s="144"/>
      <c r="L28" s="143"/>
      <c r="M28" s="28"/>
      <c r="N28" s="29"/>
      <c r="O28" s="29"/>
      <c r="P28" s="29"/>
      <c r="Q28" s="29"/>
      <c r="R28" s="29"/>
      <c r="S28" s="29"/>
      <c r="T28" s="29"/>
      <c r="U28" s="29"/>
      <c r="V28" s="29"/>
      <c r="W28" s="29"/>
      <c r="X28" s="29"/>
      <c r="Y28" s="29"/>
      <c r="Z28" s="29"/>
    </row>
    <row r="29" ht="84.75" customHeight="1">
      <c r="A29" s="20"/>
      <c r="B29" s="130"/>
      <c r="C29" s="8"/>
      <c r="D29" s="132"/>
      <c r="E29" s="132"/>
      <c r="F29" s="142"/>
      <c r="G29" s="155"/>
      <c r="H29" s="45"/>
      <c r="I29" s="152"/>
      <c r="J29" s="56"/>
      <c r="K29" s="144"/>
      <c r="L29" s="143"/>
      <c r="M29" s="28"/>
      <c r="N29" s="29"/>
      <c r="O29" s="29"/>
      <c r="P29" s="29"/>
      <c r="Q29" s="29"/>
      <c r="R29" s="29"/>
      <c r="S29" s="29"/>
      <c r="T29" s="29"/>
      <c r="U29" s="29"/>
      <c r="V29" s="29"/>
      <c r="W29" s="29"/>
      <c r="X29" s="29"/>
      <c r="Y29" s="29"/>
      <c r="Z29" s="29"/>
    </row>
    <row r="30">
      <c r="A30" s="20"/>
      <c r="B30" s="130"/>
      <c r="C30" s="8"/>
      <c r="D30" s="132"/>
      <c r="E30" s="132"/>
      <c r="F30" s="142"/>
      <c r="G30" s="155"/>
      <c r="H30" s="45"/>
      <c r="I30" s="152"/>
      <c r="J30" s="56"/>
      <c r="K30" s="144"/>
      <c r="L30" s="144"/>
      <c r="M30" s="28"/>
      <c r="N30" s="29"/>
      <c r="O30" s="29"/>
      <c r="P30" s="29"/>
      <c r="Q30" s="29"/>
      <c r="R30" s="29"/>
      <c r="S30" s="29"/>
      <c r="T30" s="29"/>
      <c r="U30" s="29"/>
      <c r="V30" s="29"/>
      <c r="W30" s="29"/>
      <c r="X30" s="29"/>
      <c r="Y30" s="29"/>
      <c r="Z30" s="29"/>
    </row>
    <row r="31">
      <c r="A31" s="20"/>
      <c r="B31" s="130"/>
      <c r="C31" s="8"/>
      <c r="D31" s="132"/>
      <c r="E31" s="132"/>
      <c r="F31" s="142"/>
      <c r="G31" s="155"/>
      <c r="H31" s="45"/>
      <c r="I31" s="152"/>
      <c r="J31" s="56"/>
      <c r="K31" s="144"/>
      <c r="L31" s="144"/>
      <c r="M31" s="28"/>
      <c r="N31" s="29"/>
      <c r="O31" s="29"/>
      <c r="P31" s="29"/>
      <c r="Q31" s="29"/>
      <c r="R31" s="29"/>
      <c r="S31" s="29"/>
      <c r="T31" s="29"/>
      <c r="U31" s="29"/>
      <c r="V31" s="29"/>
      <c r="W31" s="29"/>
      <c r="X31" s="29"/>
      <c r="Y31" s="29"/>
      <c r="Z31" s="29"/>
    </row>
    <row r="32" ht="151.5" customHeight="1">
      <c r="A32" s="20"/>
      <c r="B32" s="130"/>
      <c r="D32" s="132"/>
      <c r="E32" s="132"/>
      <c r="F32" s="142"/>
      <c r="G32" s="156"/>
      <c r="H32" s="45"/>
      <c r="I32" s="152"/>
      <c r="J32" s="56"/>
      <c r="K32" s="144"/>
      <c r="L32" s="144"/>
      <c r="M32" s="28"/>
      <c r="N32" s="29"/>
      <c r="O32" s="29"/>
      <c r="P32" s="29"/>
      <c r="Q32" s="29"/>
      <c r="R32" s="29"/>
      <c r="S32" s="29"/>
      <c r="T32" s="29"/>
      <c r="U32" s="29"/>
      <c r="V32" s="29"/>
      <c r="W32" s="29"/>
      <c r="X32" s="29"/>
      <c r="Y32" s="29"/>
      <c r="Z32" s="29"/>
    </row>
    <row r="33" ht="108.0" customHeight="1">
      <c r="A33" s="20"/>
      <c r="B33" s="130"/>
      <c r="C33" s="8"/>
      <c r="D33" s="132"/>
      <c r="E33" s="132"/>
      <c r="F33" s="142"/>
      <c r="G33" s="155"/>
      <c r="H33" s="45"/>
      <c r="I33" s="56"/>
      <c r="J33" s="56"/>
      <c r="K33" s="144"/>
      <c r="L33" s="143"/>
      <c r="M33" s="28"/>
      <c r="N33" s="29"/>
      <c r="O33" s="29"/>
      <c r="P33" s="29"/>
      <c r="Q33" s="29"/>
      <c r="R33" s="29"/>
      <c r="S33" s="29"/>
      <c r="T33" s="29"/>
      <c r="U33" s="29"/>
      <c r="V33" s="29"/>
      <c r="W33" s="29"/>
      <c r="X33" s="29"/>
      <c r="Y33" s="29"/>
      <c r="Z33" s="29"/>
    </row>
    <row r="34" ht="63.75" customHeight="1">
      <c r="A34" s="20"/>
      <c r="B34" s="130"/>
      <c r="C34" s="8"/>
      <c r="D34" s="132"/>
      <c r="E34" s="132"/>
      <c r="F34" s="142"/>
      <c r="G34" s="155"/>
      <c r="H34" s="157"/>
      <c r="I34" s="56"/>
      <c r="J34" s="56"/>
      <c r="K34" s="144"/>
      <c r="L34" s="143"/>
      <c r="M34" s="28"/>
      <c r="N34" s="29"/>
      <c r="O34" s="29"/>
      <c r="P34" s="29"/>
      <c r="Q34" s="29"/>
      <c r="R34" s="29"/>
      <c r="S34" s="29"/>
      <c r="T34" s="29"/>
      <c r="U34" s="29"/>
      <c r="V34" s="29"/>
      <c r="W34" s="29"/>
      <c r="X34" s="29"/>
      <c r="Y34" s="29"/>
      <c r="Z34" s="29"/>
    </row>
  </sheetData>
  <conditionalFormatting sqref="F2:F34">
    <cfRule type="containsText" dxfId="0" priority="1" operator="containsText" text="Closed">
      <formula>NOT(ISERROR(SEARCH(("Closed"),(F2))))</formula>
    </cfRule>
  </conditionalFormatting>
  <conditionalFormatting sqref="F2:F34">
    <cfRule type="containsText" dxfId="3" priority="2" operator="containsText" text="Monitor">
      <formula>NOT(ISERROR(SEARCH(("Monitor"),(F2))))</formula>
    </cfRule>
  </conditionalFormatting>
  <conditionalFormatting sqref="F2:F34">
    <cfRule type="containsText" dxfId="4" priority="3" operator="containsText" text="Open">
      <formula>NOT(ISERROR(SEARCH(("Open"),(F2))))</formula>
    </cfRule>
  </conditionalFormatting>
  <conditionalFormatting sqref="F2:F34">
    <cfRule type="containsText" dxfId="5" priority="4" operator="containsText" text="NA">
      <formula>NOT(ISERROR(SEARCH(("NA"),(F2))))</formula>
    </cfRule>
  </conditionalFormatting>
  <dataValidations>
    <dataValidation type="list" allowBlank="1" sqref="B2:B34">
      <formula1>Option!$C$2:$C$16</formula1>
    </dataValidation>
    <dataValidation type="list" allowBlank="1" sqref="I2:J17 J18:J19 I20 J21 I22 J23:J32 I33:J34">
      <formula1>Option!$K$2:$K$17</formula1>
    </dataValidation>
    <dataValidation type="list" allowBlank="1" sqref="C2:C31 C33:C34">
      <formula1>Option!$E$2:$E$13</formula1>
    </dataValidation>
    <dataValidation type="list" allowBlank="1" sqref="D2:D34">
      <formula1>Option!$D$2:$D$15</formula1>
    </dataValidation>
    <dataValidation type="list" allowBlank="1" sqref="F2:F34">
      <formula1>Option!$F$2:$F$5</formula1>
    </dataValidation>
    <dataValidation type="list" allowBlank="1" sqref="L2:L34">
      <formula1>"1.SCH,2.PCB,3.BOM,4.Parameter,5.SW/ME/RF/ANT/Component/MFG/Vendor,6.No Change"</formula1>
    </dataValidation>
    <dataValidation type="list" allowBlank="1" sqref="E2:E34">
      <formula1>Option!$G$2:$G$5</formula1>
    </dataValidation>
  </dataValidations>
  <hyperlinks>
    <hyperlink r:id="rId4" location="gid=199168118" ref="M1"/>
    <hyperlink r:id="rId5" location="slide=id.g4057557fca_0_46" ref="H2"/>
    <hyperlink r:id="rId6" location="slide=id.g4057557fca_0_46" ref="K3"/>
    <hyperlink r:id="rId7" location="slide=id.g4057557fca_0_46" ref="H4"/>
    <hyperlink r:id="rId8" location="slide=id.g19493a58415_0_0" ref="K5"/>
    <hyperlink r:id="rId9" location="slide=id.g4057557fca_0_46" ref="K6"/>
    <hyperlink r:id="rId10" location="gid=0" ref="K7"/>
    <hyperlink r:id="rId11" location="slide=id.g2c9d495fe52_0_2" ref="K8"/>
    <hyperlink r:id="rId12" location="slide=id.g2c9d495fe52_0_2" ref="K9"/>
    <hyperlink r:id="rId13" location="slide=id.p" ref="K10"/>
    <hyperlink r:id="rId14" location="slide=id.g27bcfd4d04d_0_1" ref="K11"/>
    <hyperlink r:id="rId15" location="slide=id.g27bcfd4d04d_0_1" ref="K12"/>
    <hyperlink r:id="rId16" location="slide=id.g27bcfd4d04d_0_1" ref="K13"/>
    <hyperlink r:id="rId17" location="slide=id.g248b1e109db_0_7" ref="K14"/>
    <hyperlink r:id="rId18" location="slide=id.g26b06f0f994_0_1156" ref="K16"/>
    <hyperlink r:id="rId19" location="slide=id.g2bf26c1be4e_3_0" ref="K17"/>
    <hyperlink r:id="rId20" location="slide=id.g2adc025f3c2_0_1" ref="H20"/>
    <hyperlink r:id="rId21" location="slide=id.p" ref="K22"/>
    <hyperlink r:id="rId22" location="gid=256536643" ref="K23"/>
  </hyperlinks>
  <drawing r:id="rId23"/>
  <legacyDrawing r:id="rId2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2" max="2" width="10.63"/>
    <col customWidth="1" min="5" max="5" width="12.88"/>
    <col customWidth="1" min="7" max="7" width="100.25"/>
    <col customWidth="1" min="8" max="8" width="8.13"/>
  </cols>
  <sheetData>
    <row r="1">
      <c r="A1" s="4" t="s">
        <v>54</v>
      </c>
      <c r="B1" s="4" t="s">
        <v>1</v>
      </c>
      <c r="C1" s="4" t="s">
        <v>2</v>
      </c>
      <c r="D1" s="4" t="s">
        <v>3</v>
      </c>
      <c r="E1" s="4" t="s">
        <v>4</v>
      </c>
      <c r="F1" s="4" t="s">
        <v>5</v>
      </c>
      <c r="G1" s="4" t="s">
        <v>6</v>
      </c>
      <c r="H1" s="4" t="s">
        <v>7</v>
      </c>
      <c r="I1" s="3" t="s">
        <v>8</v>
      </c>
      <c r="J1" s="3" t="s">
        <v>9</v>
      </c>
      <c r="K1" s="4" t="s">
        <v>10</v>
      </c>
      <c r="L1" s="4" t="s">
        <v>11</v>
      </c>
      <c r="M1" s="51" t="s">
        <v>55</v>
      </c>
    </row>
    <row r="2" ht="74.25" customHeight="1">
      <c r="A2" s="31">
        <v>45405.0</v>
      </c>
      <c r="B2" s="169" t="s">
        <v>12</v>
      </c>
      <c r="C2" s="131" t="s">
        <v>36</v>
      </c>
      <c r="D2" s="140" t="s">
        <v>27</v>
      </c>
      <c r="E2" s="140" t="s">
        <v>64</v>
      </c>
      <c r="F2" s="8" t="s">
        <v>16</v>
      </c>
      <c r="G2" s="130" t="s">
        <v>362</v>
      </c>
      <c r="H2" s="138"/>
      <c r="I2" s="56" t="s">
        <v>66</v>
      </c>
      <c r="J2" s="138"/>
      <c r="K2" s="170"/>
      <c r="L2" s="143" t="s">
        <v>68</v>
      </c>
      <c r="M2" s="28"/>
      <c r="N2" s="29"/>
      <c r="O2" s="29"/>
      <c r="P2" s="29"/>
      <c r="Q2" s="29"/>
      <c r="R2" s="29"/>
      <c r="S2" s="29"/>
      <c r="T2" s="29"/>
      <c r="U2" s="29"/>
      <c r="V2" s="29"/>
      <c r="W2" s="29"/>
      <c r="X2" s="29"/>
      <c r="Y2" s="29"/>
      <c r="Z2" s="29"/>
    </row>
    <row r="3" ht="74.25" customHeight="1">
      <c r="A3" s="20">
        <v>45405.0</v>
      </c>
      <c r="B3" s="130" t="s">
        <v>12</v>
      </c>
      <c r="C3" s="8" t="s">
        <v>36</v>
      </c>
      <c r="D3" s="132" t="s">
        <v>27</v>
      </c>
      <c r="E3" s="132" t="s">
        <v>64</v>
      </c>
      <c r="F3" s="134" t="s">
        <v>16</v>
      </c>
      <c r="G3" s="155" t="s">
        <v>363</v>
      </c>
      <c r="H3" s="158" t="s">
        <v>61</v>
      </c>
      <c r="I3" s="56" t="s">
        <v>66</v>
      </c>
      <c r="J3" s="56"/>
      <c r="K3" s="154"/>
      <c r="L3" s="144" t="s">
        <v>68</v>
      </c>
      <c r="M3" s="28"/>
      <c r="N3" s="29"/>
      <c r="O3" s="29"/>
      <c r="P3" s="29"/>
      <c r="Q3" s="29"/>
      <c r="R3" s="29"/>
      <c r="S3" s="29"/>
      <c r="T3" s="29"/>
      <c r="U3" s="29"/>
      <c r="V3" s="29"/>
      <c r="W3" s="29"/>
      <c r="X3" s="29"/>
      <c r="Y3" s="29"/>
      <c r="Z3" s="29"/>
    </row>
    <row r="4">
      <c r="A4" s="20">
        <v>45397.0</v>
      </c>
      <c r="B4" s="130" t="s">
        <v>12</v>
      </c>
      <c r="C4" s="8" t="s">
        <v>26</v>
      </c>
      <c r="D4" s="132" t="s">
        <v>21</v>
      </c>
      <c r="E4" s="132" t="s">
        <v>22</v>
      </c>
      <c r="F4" s="134" t="s">
        <v>16</v>
      </c>
      <c r="G4" s="155" t="s">
        <v>364</v>
      </c>
      <c r="H4" s="158" t="s">
        <v>61</v>
      </c>
      <c r="I4" s="56" t="s">
        <v>66</v>
      </c>
      <c r="J4" s="56"/>
      <c r="K4" s="171" t="s">
        <v>365</v>
      </c>
      <c r="L4" s="144" t="s">
        <v>71</v>
      </c>
      <c r="M4" s="28"/>
      <c r="N4" s="29"/>
      <c r="O4" s="29"/>
      <c r="P4" s="29"/>
      <c r="Q4" s="29"/>
      <c r="R4" s="29"/>
      <c r="S4" s="29"/>
      <c r="T4" s="29"/>
      <c r="U4" s="29"/>
      <c r="V4" s="29"/>
      <c r="W4" s="29"/>
      <c r="X4" s="29"/>
      <c r="Y4" s="29"/>
      <c r="Z4" s="29"/>
    </row>
    <row r="5">
      <c r="A5" s="20">
        <v>45393.0</v>
      </c>
      <c r="B5" s="130" t="s">
        <v>12</v>
      </c>
      <c r="C5" s="8" t="s">
        <v>83</v>
      </c>
      <c r="D5" s="132" t="s">
        <v>27</v>
      </c>
      <c r="E5" s="132" t="s">
        <v>22</v>
      </c>
      <c r="F5" s="134" t="s">
        <v>16</v>
      </c>
      <c r="G5" s="155" t="s">
        <v>366</v>
      </c>
      <c r="H5" s="45" t="s">
        <v>97</v>
      </c>
      <c r="I5" s="56" t="s">
        <v>127</v>
      </c>
      <c r="J5" s="56" t="s">
        <v>66</v>
      </c>
      <c r="K5" s="58" t="s">
        <v>367</v>
      </c>
      <c r="L5" s="144" t="s">
        <v>71</v>
      </c>
      <c r="M5" s="28"/>
      <c r="N5" s="29"/>
      <c r="O5" s="29"/>
      <c r="P5" s="29"/>
      <c r="Q5" s="29"/>
      <c r="R5" s="29"/>
      <c r="S5" s="29"/>
      <c r="T5" s="29"/>
      <c r="U5" s="29"/>
      <c r="V5" s="29"/>
      <c r="W5" s="29"/>
      <c r="X5" s="29"/>
      <c r="Y5" s="29"/>
      <c r="Z5" s="29"/>
    </row>
    <row r="6">
      <c r="A6" s="20">
        <v>45345.0</v>
      </c>
      <c r="B6" s="130" t="s">
        <v>19</v>
      </c>
      <c r="C6" s="8" t="s">
        <v>20</v>
      </c>
      <c r="D6" s="140" t="s">
        <v>58</v>
      </c>
      <c r="E6" s="132" t="s">
        <v>22</v>
      </c>
      <c r="F6" s="134" t="s">
        <v>16</v>
      </c>
      <c r="G6" s="155" t="s">
        <v>368</v>
      </c>
      <c r="H6" s="158" t="s">
        <v>97</v>
      </c>
      <c r="I6" s="56" t="s">
        <v>67</v>
      </c>
      <c r="J6" s="56" t="s">
        <v>66</v>
      </c>
      <c r="K6" s="171" t="s">
        <v>369</v>
      </c>
      <c r="L6" s="144" t="s">
        <v>71</v>
      </c>
      <c r="M6" s="28"/>
      <c r="N6" s="29"/>
      <c r="O6" s="29"/>
      <c r="P6" s="29"/>
      <c r="Q6" s="29"/>
      <c r="R6" s="29"/>
      <c r="S6" s="29"/>
      <c r="T6" s="29"/>
      <c r="U6" s="29"/>
      <c r="V6" s="29"/>
      <c r="W6" s="29"/>
      <c r="X6" s="29"/>
      <c r="Y6" s="29"/>
      <c r="Z6" s="29"/>
    </row>
    <row r="7">
      <c r="A7" s="20">
        <v>45278.0</v>
      </c>
      <c r="B7" s="130" t="s">
        <v>43</v>
      </c>
      <c r="C7" s="8" t="s">
        <v>76</v>
      </c>
      <c r="D7" s="132" t="s">
        <v>95</v>
      </c>
      <c r="E7" s="132" t="s">
        <v>22</v>
      </c>
      <c r="F7" s="142" t="s">
        <v>16</v>
      </c>
      <c r="G7" s="155" t="s">
        <v>370</v>
      </c>
      <c r="H7" s="45"/>
      <c r="I7" s="56" t="s">
        <v>346</v>
      </c>
      <c r="J7" s="56"/>
      <c r="K7" s="154"/>
      <c r="L7" s="144" t="s">
        <v>71</v>
      </c>
      <c r="M7" s="28"/>
      <c r="N7" s="29"/>
      <c r="O7" s="29"/>
      <c r="P7" s="29"/>
      <c r="Q7" s="29"/>
      <c r="R7" s="29"/>
      <c r="S7" s="29"/>
      <c r="T7" s="29"/>
      <c r="U7" s="29"/>
      <c r="V7" s="29"/>
      <c r="W7" s="29"/>
      <c r="X7" s="29"/>
      <c r="Y7" s="29"/>
      <c r="Z7" s="29"/>
    </row>
    <row r="8">
      <c r="A8" s="20">
        <v>45301.0</v>
      </c>
      <c r="B8" s="130" t="s">
        <v>43</v>
      </c>
      <c r="C8" s="8" t="s">
        <v>371</v>
      </c>
      <c r="D8" s="132" t="s">
        <v>95</v>
      </c>
      <c r="E8" s="132"/>
      <c r="F8" s="142" t="s">
        <v>16</v>
      </c>
      <c r="G8" s="155" t="s">
        <v>372</v>
      </c>
      <c r="H8" s="158" t="s">
        <v>61</v>
      </c>
      <c r="I8" s="56" t="s">
        <v>151</v>
      </c>
      <c r="J8" s="56"/>
      <c r="K8" s="72"/>
      <c r="L8" s="144" t="s">
        <v>144</v>
      </c>
      <c r="M8" s="28"/>
      <c r="N8" s="29"/>
      <c r="O8" s="29"/>
      <c r="P8" s="29"/>
      <c r="Q8" s="29"/>
      <c r="R8" s="29"/>
      <c r="S8" s="29"/>
      <c r="T8" s="29"/>
      <c r="U8" s="29"/>
      <c r="V8" s="29"/>
      <c r="W8" s="29"/>
      <c r="X8" s="29"/>
      <c r="Y8" s="29"/>
      <c r="Z8" s="29"/>
    </row>
    <row r="9">
      <c r="A9" s="20">
        <v>45280.0</v>
      </c>
      <c r="B9" s="130" t="s">
        <v>43</v>
      </c>
      <c r="C9" s="8" t="s">
        <v>20</v>
      </c>
      <c r="D9" s="132" t="s">
        <v>58</v>
      </c>
      <c r="E9" s="132" t="s">
        <v>22</v>
      </c>
      <c r="F9" s="142" t="s">
        <v>16</v>
      </c>
      <c r="G9" s="155" t="s">
        <v>373</v>
      </c>
      <c r="H9" s="158" t="s">
        <v>61</v>
      </c>
      <c r="I9" s="56" t="s">
        <v>66</v>
      </c>
      <c r="J9" s="56"/>
      <c r="K9" s="58" t="s">
        <v>374</v>
      </c>
      <c r="L9" s="144" t="s">
        <v>68</v>
      </c>
      <c r="M9" s="28"/>
      <c r="N9" s="29"/>
      <c r="O9" s="29"/>
      <c r="P9" s="29"/>
      <c r="Q9" s="29"/>
      <c r="R9" s="29"/>
      <c r="S9" s="29"/>
      <c r="T9" s="29"/>
      <c r="U9" s="29"/>
      <c r="V9" s="29"/>
      <c r="W9" s="29"/>
      <c r="X9" s="29"/>
      <c r="Y9" s="29"/>
      <c r="Z9" s="29"/>
    </row>
    <row r="10">
      <c r="A10" s="20">
        <v>45278.0</v>
      </c>
      <c r="B10" s="130" t="s">
        <v>43</v>
      </c>
      <c r="C10" s="8" t="s">
        <v>76</v>
      </c>
      <c r="D10" s="132" t="s">
        <v>95</v>
      </c>
      <c r="E10" s="132" t="s">
        <v>15</v>
      </c>
      <c r="F10" s="142" t="s">
        <v>16</v>
      </c>
      <c r="G10" s="155" t="s">
        <v>375</v>
      </c>
      <c r="H10" s="45"/>
      <c r="I10" s="56" t="s">
        <v>346</v>
      </c>
      <c r="J10" s="56"/>
      <c r="K10" s="154"/>
      <c r="L10" s="144" t="s">
        <v>71</v>
      </c>
      <c r="M10" s="28"/>
      <c r="N10" s="29"/>
      <c r="O10" s="29"/>
      <c r="P10" s="29"/>
      <c r="Q10" s="29"/>
      <c r="R10" s="29"/>
      <c r="S10" s="29"/>
      <c r="T10" s="29"/>
      <c r="U10" s="29"/>
      <c r="V10" s="29"/>
      <c r="W10" s="29"/>
      <c r="X10" s="29"/>
      <c r="Y10" s="29"/>
      <c r="Z10" s="29"/>
    </row>
    <row r="11">
      <c r="A11" s="20">
        <v>45273.0</v>
      </c>
      <c r="B11" s="130" t="s">
        <v>56</v>
      </c>
      <c r="C11" s="8" t="s">
        <v>83</v>
      </c>
      <c r="D11" s="132" t="s">
        <v>14</v>
      </c>
      <c r="E11" s="132" t="s">
        <v>22</v>
      </c>
      <c r="F11" s="172" t="s">
        <v>16</v>
      </c>
      <c r="G11" s="155" t="s">
        <v>376</v>
      </c>
      <c r="H11" s="158" t="s">
        <v>61</v>
      </c>
      <c r="I11" s="56" t="s">
        <v>66</v>
      </c>
      <c r="J11" s="56"/>
      <c r="K11" s="171" t="s">
        <v>377</v>
      </c>
      <c r="L11" s="144" t="s">
        <v>71</v>
      </c>
      <c r="M11" s="28"/>
      <c r="N11" s="29"/>
      <c r="O11" s="29"/>
      <c r="P11" s="29"/>
      <c r="Q11" s="29"/>
      <c r="R11" s="29"/>
      <c r="S11" s="29"/>
      <c r="T11" s="29"/>
      <c r="U11" s="29"/>
      <c r="V11" s="29"/>
      <c r="W11" s="29"/>
      <c r="X11" s="29"/>
      <c r="Y11" s="29"/>
      <c r="Z11" s="29"/>
    </row>
    <row r="12">
      <c r="A12" s="20">
        <v>45247.0</v>
      </c>
      <c r="B12" s="130" t="s">
        <v>56</v>
      </c>
      <c r="C12" s="8" t="s">
        <v>57</v>
      </c>
      <c r="D12" s="132" t="s">
        <v>21</v>
      </c>
      <c r="E12" s="132" t="s">
        <v>15</v>
      </c>
      <c r="F12" s="142" t="s">
        <v>16</v>
      </c>
      <c r="G12" s="155" t="s">
        <v>378</v>
      </c>
      <c r="H12" s="158" t="s">
        <v>97</v>
      </c>
      <c r="I12" s="56" t="s">
        <v>334</v>
      </c>
      <c r="J12" s="56" t="s">
        <v>70</v>
      </c>
      <c r="K12" s="144"/>
      <c r="L12" s="144" t="s">
        <v>71</v>
      </c>
      <c r="M12" s="28"/>
      <c r="N12" s="29"/>
      <c r="O12" s="29"/>
      <c r="P12" s="29"/>
      <c r="Q12" s="29"/>
      <c r="R12" s="29"/>
      <c r="S12" s="29"/>
      <c r="T12" s="29"/>
      <c r="U12" s="29"/>
      <c r="V12" s="29"/>
      <c r="W12" s="29"/>
      <c r="X12" s="29"/>
      <c r="Y12" s="29"/>
      <c r="Z12" s="29"/>
    </row>
    <row r="13">
      <c r="A13" s="20">
        <v>45218.0</v>
      </c>
      <c r="B13" s="130" t="s">
        <v>121</v>
      </c>
      <c r="C13" s="8" t="s">
        <v>76</v>
      </c>
      <c r="D13" s="132" t="s">
        <v>77</v>
      </c>
      <c r="E13" s="132" t="s">
        <v>15</v>
      </c>
      <c r="F13" s="142" t="s">
        <v>16</v>
      </c>
      <c r="G13" s="155" t="s">
        <v>379</v>
      </c>
      <c r="H13" s="158" t="s">
        <v>97</v>
      </c>
      <c r="I13" s="56" t="s">
        <v>346</v>
      </c>
      <c r="J13" s="56" t="s">
        <v>127</v>
      </c>
      <c r="K13" s="144"/>
      <c r="L13" s="144" t="s">
        <v>167</v>
      </c>
      <c r="M13" s="28"/>
      <c r="N13" s="29"/>
      <c r="O13" s="29"/>
      <c r="P13" s="29"/>
      <c r="Q13" s="29"/>
      <c r="R13" s="29"/>
      <c r="S13" s="29"/>
      <c r="T13" s="29"/>
      <c r="U13" s="29"/>
      <c r="V13" s="29"/>
      <c r="W13" s="29"/>
      <c r="X13" s="29"/>
      <c r="Y13" s="29"/>
      <c r="Z13" s="29"/>
    </row>
    <row r="14">
      <c r="A14" s="20">
        <v>45189.0</v>
      </c>
      <c r="B14" s="130" t="s">
        <v>121</v>
      </c>
      <c r="C14" s="8" t="s">
        <v>36</v>
      </c>
      <c r="D14" s="132" t="s">
        <v>81</v>
      </c>
      <c r="E14" s="132" t="s">
        <v>22</v>
      </c>
      <c r="F14" s="142" t="s">
        <v>16</v>
      </c>
      <c r="G14" s="155" t="s">
        <v>380</v>
      </c>
      <c r="H14" s="45"/>
      <c r="I14" s="152" t="s">
        <v>381</v>
      </c>
      <c r="J14" s="56"/>
      <c r="K14" s="144"/>
      <c r="L14" s="144" t="s">
        <v>167</v>
      </c>
      <c r="M14" s="28"/>
      <c r="N14" s="29"/>
      <c r="O14" s="29"/>
      <c r="P14" s="29"/>
      <c r="Q14" s="29"/>
      <c r="R14" s="29"/>
      <c r="S14" s="29"/>
      <c r="T14" s="29"/>
      <c r="U14" s="29"/>
      <c r="V14" s="29"/>
      <c r="W14" s="29"/>
      <c r="X14" s="29"/>
      <c r="Y14" s="29"/>
      <c r="Z14" s="29"/>
    </row>
    <row r="15">
      <c r="A15" s="20">
        <v>45189.0</v>
      </c>
      <c r="B15" s="130" t="s">
        <v>121</v>
      </c>
      <c r="C15" s="8" t="s">
        <v>36</v>
      </c>
      <c r="D15" s="132" t="s">
        <v>44</v>
      </c>
      <c r="E15" s="132" t="s">
        <v>22</v>
      </c>
      <c r="F15" s="142" t="s">
        <v>16</v>
      </c>
      <c r="G15" s="155" t="s">
        <v>382</v>
      </c>
      <c r="H15" s="158" t="s">
        <v>61</v>
      </c>
      <c r="I15" s="152" t="s">
        <v>381</v>
      </c>
      <c r="J15" s="56"/>
      <c r="K15" s="144"/>
      <c r="L15" s="144" t="s">
        <v>63</v>
      </c>
      <c r="M15" s="28"/>
      <c r="N15" s="29"/>
      <c r="O15" s="29"/>
      <c r="P15" s="29"/>
      <c r="Q15" s="29"/>
      <c r="R15" s="29"/>
      <c r="S15" s="29"/>
      <c r="T15" s="29"/>
      <c r="U15" s="29"/>
      <c r="V15" s="29"/>
      <c r="W15" s="29"/>
      <c r="X15" s="29"/>
      <c r="Y15" s="29"/>
      <c r="Z15" s="29"/>
    </row>
  </sheetData>
  <conditionalFormatting sqref="F2:F15">
    <cfRule type="containsText" dxfId="0" priority="1" operator="containsText" text="Closed">
      <formula>NOT(ISERROR(SEARCH(("Closed"),(F2))))</formula>
    </cfRule>
  </conditionalFormatting>
  <conditionalFormatting sqref="F2:F15">
    <cfRule type="containsText" dxfId="3" priority="2" operator="containsText" text="Monitor">
      <formula>NOT(ISERROR(SEARCH(("Monitor"),(F2))))</formula>
    </cfRule>
  </conditionalFormatting>
  <conditionalFormatting sqref="F2:F15">
    <cfRule type="containsText" dxfId="4" priority="3" operator="containsText" text="Open">
      <formula>NOT(ISERROR(SEARCH(("Open"),(F2))))</formula>
    </cfRule>
  </conditionalFormatting>
  <conditionalFormatting sqref="F2:F15">
    <cfRule type="containsText" dxfId="5" priority="4" operator="containsText" text="NA">
      <formula>NOT(ISERROR(SEARCH(("NA"),(F2))))</formula>
    </cfRule>
  </conditionalFormatting>
  <dataValidations>
    <dataValidation type="list" allowBlank="1" sqref="B2:B15">
      <formula1>Option!$C$2:$C$16</formula1>
    </dataValidation>
    <dataValidation type="list" allowBlank="1" sqref="I2:J13 J14:J15">
      <formula1>Option!$K$2:$K$17</formula1>
    </dataValidation>
    <dataValidation type="list" allowBlank="1" sqref="C2:C15">
      <formula1>Option!$E$2:$E$13</formula1>
    </dataValidation>
    <dataValidation type="list" allowBlank="1" sqref="D2:D15">
      <formula1>Option!$D$2:$D$15</formula1>
    </dataValidation>
    <dataValidation type="list" allowBlank="1" sqref="F2:F15">
      <formula1>Option!$F$2:$F$5</formula1>
    </dataValidation>
    <dataValidation type="list" allowBlank="1" sqref="L2:L15">
      <formula1>"1.SCH,2.PCB,3.BOM,4.Parameter,5.SW/ME/RF/ANT/Component/MFG/Vendor,6.No Change"</formula1>
    </dataValidation>
    <dataValidation type="list" allowBlank="1" sqref="E2:E15">
      <formula1>Option!$G$2:$G$5</formula1>
    </dataValidation>
  </dataValidations>
  <hyperlinks>
    <hyperlink r:id="rId4" location="gid=0" ref="M1"/>
    <hyperlink r:id="rId5" location="slide=id.g2ce73e7d3a3_5_0" ref="H3"/>
    <hyperlink r:id="rId6" location="slide=id.p" ref="H4"/>
    <hyperlink r:id="rId7" ref="K4"/>
    <hyperlink r:id="rId8" location="slide=id.p" ref="K5"/>
    <hyperlink r:id="rId9" location="slide=id.p" ref="H6"/>
    <hyperlink r:id="rId10" ref="K6"/>
    <hyperlink r:id="rId11" location="slide=id.p" ref="H8"/>
    <hyperlink r:id="rId12" location="slide=id.p" ref="H9"/>
    <hyperlink r:id="rId13" location="slide=id.g2a7dfff8aae_0_24" ref="K9"/>
    <hyperlink r:id="rId14" location="slide=id.g27bcfd4d04d_0_37" ref="H11"/>
    <hyperlink r:id="rId15" ref="K11"/>
    <hyperlink r:id="rId16" location="slide=id.g261271f3ad1_0_18" ref="H12"/>
    <hyperlink r:id="rId17" location="slide=id.p" ref="H13"/>
    <hyperlink r:id="rId18" location="slide=id.p" ref="H15"/>
  </hyperlinks>
  <drawing r:id="rId19"/>
  <legacyDrawing r:id="rId20"/>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2" max="2" width="11.75"/>
    <col customWidth="1" min="5" max="5" width="12.88"/>
    <col customWidth="1" min="7" max="7" width="90.38"/>
    <col customWidth="1" min="8" max="8" width="8.13"/>
  </cols>
  <sheetData>
    <row r="1">
      <c r="A1" s="4" t="s">
        <v>54</v>
      </c>
      <c r="B1" s="4" t="s">
        <v>1</v>
      </c>
      <c r="C1" s="4" t="s">
        <v>2</v>
      </c>
      <c r="D1" s="4" t="s">
        <v>3</v>
      </c>
      <c r="E1" s="4" t="s">
        <v>4</v>
      </c>
      <c r="F1" s="4" t="s">
        <v>5</v>
      </c>
      <c r="G1" s="4" t="s">
        <v>6</v>
      </c>
      <c r="H1" s="4" t="s">
        <v>7</v>
      </c>
      <c r="I1" s="3" t="s">
        <v>8</v>
      </c>
      <c r="J1" s="3" t="s">
        <v>9</v>
      </c>
      <c r="K1" s="4" t="s">
        <v>10</v>
      </c>
      <c r="L1" s="4" t="s">
        <v>11</v>
      </c>
      <c r="M1" s="51" t="s">
        <v>55</v>
      </c>
    </row>
    <row r="2">
      <c r="A2" s="20">
        <v>45223.0</v>
      </c>
      <c r="B2" s="130" t="s">
        <v>43</v>
      </c>
      <c r="C2" s="8" t="s">
        <v>57</v>
      </c>
      <c r="D2" s="132" t="s">
        <v>21</v>
      </c>
      <c r="E2" s="132" t="s">
        <v>64</v>
      </c>
      <c r="F2" s="142" t="s">
        <v>64</v>
      </c>
      <c r="G2" s="155" t="s">
        <v>383</v>
      </c>
      <c r="H2" s="158" t="s">
        <v>61</v>
      </c>
      <c r="I2" s="56" t="s">
        <v>334</v>
      </c>
      <c r="J2" s="56" t="s">
        <v>66</v>
      </c>
      <c r="K2" s="144"/>
      <c r="L2" s="144"/>
      <c r="M2" s="28"/>
      <c r="N2" s="29"/>
      <c r="O2" s="29"/>
      <c r="P2" s="29"/>
      <c r="Q2" s="29"/>
      <c r="R2" s="29"/>
      <c r="S2" s="29"/>
      <c r="T2" s="29"/>
      <c r="U2" s="29"/>
      <c r="V2" s="29"/>
      <c r="W2" s="29"/>
      <c r="X2" s="29"/>
      <c r="Y2" s="29"/>
      <c r="Z2" s="29"/>
    </row>
    <row r="3">
      <c r="A3" s="20">
        <v>45223.0</v>
      </c>
      <c r="B3" s="130" t="s">
        <v>43</v>
      </c>
      <c r="C3" s="8" t="s">
        <v>36</v>
      </c>
      <c r="D3" s="132" t="s">
        <v>44</v>
      </c>
      <c r="E3" s="132" t="s">
        <v>22</v>
      </c>
      <c r="F3" s="142" t="s">
        <v>86</v>
      </c>
      <c r="G3" s="155" t="s">
        <v>384</v>
      </c>
      <c r="H3" s="45"/>
      <c r="I3" s="56" t="s">
        <v>70</v>
      </c>
      <c r="J3" s="56" t="s">
        <v>66</v>
      </c>
      <c r="K3" s="144"/>
      <c r="L3" s="144"/>
      <c r="M3" s="28"/>
      <c r="N3" s="29"/>
      <c r="O3" s="29"/>
      <c r="P3" s="29"/>
      <c r="Q3" s="29"/>
      <c r="R3" s="29"/>
      <c r="S3" s="29"/>
      <c r="T3" s="29"/>
      <c r="U3" s="29"/>
      <c r="V3" s="29"/>
      <c r="W3" s="29"/>
      <c r="X3" s="29"/>
      <c r="Y3" s="29"/>
      <c r="Z3" s="29"/>
    </row>
    <row r="4">
      <c r="A4" s="20">
        <v>45157.0</v>
      </c>
      <c r="B4" s="130" t="s">
        <v>385</v>
      </c>
      <c r="C4" s="8" t="s">
        <v>20</v>
      </c>
      <c r="D4" s="132" t="s">
        <v>386</v>
      </c>
      <c r="E4" s="132" t="s">
        <v>22</v>
      </c>
      <c r="F4" s="142" t="s">
        <v>16</v>
      </c>
      <c r="G4" s="155" t="s">
        <v>387</v>
      </c>
      <c r="H4" s="45"/>
      <c r="I4" s="56" t="s">
        <v>67</v>
      </c>
      <c r="J4" s="56" t="s">
        <v>66</v>
      </c>
      <c r="K4" s="144"/>
      <c r="L4" s="144" t="s">
        <v>71</v>
      </c>
      <c r="M4" s="28"/>
      <c r="N4" s="29"/>
      <c r="O4" s="29"/>
      <c r="P4" s="29"/>
      <c r="Q4" s="29"/>
      <c r="R4" s="29"/>
      <c r="S4" s="29"/>
      <c r="T4" s="29"/>
      <c r="U4" s="29"/>
      <c r="V4" s="29"/>
      <c r="W4" s="29"/>
      <c r="X4" s="29"/>
      <c r="Y4" s="29"/>
      <c r="Z4" s="29"/>
    </row>
    <row r="5">
      <c r="A5" s="20"/>
      <c r="B5" s="130"/>
      <c r="C5" s="8"/>
      <c r="D5" s="132"/>
      <c r="E5" s="132"/>
      <c r="F5" s="142"/>
      <c r="G5" s="155"/>
      <c r="H5" s="45"/>
      <c r="I5" s="56"/>
      <c r="J5" s="56"/>
      <c r="K5" s="144"/>
      <c r="L5" s="144"/>
      <c r="M5" s="28"/>
      <c r="N5" s="29"/>
      <c r="O5" s="29"/>
      <c r="P5" s="29"/>
      <c r="Q5" s="29"/>
      <c r="R5" s="29"/>
      <c r="S5" s="29"/>
      <c r="T5" s="29"/>
      <c r="U5" s="29"/>
      <c r="V5" s="29"/>
      <c r="W5" s="29"/>
      <c r="X5" s="29"/>
      <c r="Y5" s="29"/>
      <c r="Z5" s="29"/>
    </row>
    <row r="6">
      <c r="A6" s="20"/>
      <c r="B6" s="130"/>
      <c r="C6" s="8"/>
      <c r="D6" s="132"/>
      <c r="E6" s="132"/>
      <c r="F6" s="142"/>
      <c r="G6" s="155"/>
      <c r="H6" s="45"/>
      <c r="I6" s="56"/>
      <c r="J6" s="56"/>
      <c r="K6" s="144"/>
      <c r="L6" s="144"/>
      <c r="M6" s="28"/>
      <c r="N6" s="29"/>
      <c r="O6" s="29"/>
      <c r="P6" s="29"/>
      <c r="Q6" s="29"/>
      <c r="R6" s="29"/>
      <c r="S6" s="29"/>
      <c r="T6" s="29"/>
      <c r="U6" s="29"/>
      <c r="V6" s="29"/>
      <c r="W6" s="29"/>
      <c r="X6" s="29"/>
      <c r="Y6" s="29"/>
      <c r="Z6" s="29"/>
    </row>
    <row r="7">
      <c r="A7" s="20"/>
      <c r="B7" s="130"/>
      <c r="C7" s="8"/>
      <c r="D7" s="132"/>
      <c r="E7" s="132"/>
      <c r="F7" s="142"/>
      <c r="H7" s="45"/>
      <c r="I7" s="56"/>
      <c r="J7" s="56"/>
      <c r="K7" s="144"/>
      <c r="L7" s="144"/>
      <c r="M7" s="28"/>
      <c r="N7" s="29"/>
      <c r="O7" s="29"/>
      <c r="P7" s="29"/>
      <c r="Q7" s="29"/>
      <c r="R7" s="29"/>
      <c r="S7" s="29"/>
      <c r="T7" s="29"/>
      <c r="U7" s="29"/>
      <c r="V7" s="29"/>
      <c r="W7" s="29"/>
      <c r="X7" s="29"/>
      <c r="Y7" s="29"/>
      <c r="Z7" s="29"/>
    </row>
    <row r="8">
      <c r="A8" s="20"/>
      <c r="B8" s="130"/>
      <c r="C8" s="8"/>
      <c r="D8" s="132"/>
      <c r="E8" s="132"/>
      <c r="F8" s="142"/>
      <c r="G8" s="155"/>
      <c r="H8" s="45"/>
      <c r="I8" s="56"/>
      <c r="J8" s="56"/>
      <c r="K8" s="144"/>
      <c r="L8" s="144"/>
      <c r="M8" s="28"/>
      <c r="N8" s="29"/>
      <c r="O8" s="29"/>
      <c r="P8" s="29"/>
      <c r="Q8" s="29"/>
      <c r="R8" s="29"/>
      <c r="S8" s="29"/>
      <c r="T8" s="29"/>
      <c r="U8" s="29"/>
      <c r="V8" s="29"/>
      <c r="W8" s="29"/>
      <c r="X8" s="29"/>
      <c r="Y8" s="29"/>
      <c r="Z8" s="29"/>
    </row>
    <row r="9">
      <c r="A9" s="20"/>
      <c r="B9" s="130"/>
      <c r="C9" s="8"/>
      <c r="D9" s="132"/>
      <c r="E9" s="132"/>
      <c r="F9" s="142"/>
      <c r="G9" s="155"/>
      <c r="H9" s="45"/>
      <c r="I9" s="56"/>
      <c r="J9" s="56"/>
      <c r="K9" s="144"/>
      <c r="L9" s="144"/>
      <c r="M9" s="28"/>
      <c r="N9" s="29"/>
      <c r="O9" s="29"/>
      <c r="P9" s="29"/>
      <c r="Q9" s="29"/>
      <c r="R9" s="29"/>
      <c r="S9" s="29"/>
      <c r="T9" s="29"/>
      <c r="U9" s="29"/>
      <c r="V9" s="29"/>
      <c r="W9" s="29"/>
      <c r="X9" s="29"/>
      <c r="Y9" s="29"/>
      <c r="Z9" s="29"/>
    </row>
    <row r="10">
      <c r="A10" s="20"/>
      <c r="B10" s="130"/>
      <c r="C10" s="8"/>
      <c r="D10" s="132"/>
      <c r="E10" s="132"/>
      <c r="F10" s="142"/>
      <c r="G10" s="155"/>
      <c r="H10" s="45"/>
      <c r="I10" s="56"/>
      <c r="J10" s="56"/>
      <c r="K10" s="144"/>
      <c r="L10" s="143"/>
      <c r="M10" s="28"/>
      <c r="N10" s="29"/>
      <c r="O10" s="29"/>
      <c r="P10" s="29"/>
      <c r="Q10" s="29"/>
      <c r="R10" s="29"/>
      <c r="S10" s="29"/>
      <c r="T10" s="29"/>
      <c r="U10" s="29"/>
      <c r="V10" s="29"/>
      <c r="W10" s="29"/>
      <c r="X10" s="29"/>
      <c r="Y10" s="29"/>
      <c r="Z10" s="29"/>
    </row>
    <row r="11">
      <c r="A11" s="20"/>
      <c r="B11" s="130"/>
      <c r="C11" s="8"/>
      <c r="D11" s="132"/>
      <c r="E11" s="132"/>
      <c r="F11" s="142"/>
      <c r="G11" s="155"/>
      <c r="H11" s="45"/>
      <c r="I11" s="56"/>
      <c r="J11" s="56"/>
      <c r="K11" s="144"/>
      <c r="L11" s="143"/>
      <c r="M11" s="28"/>
      <c r="N11" s="29"/>
      <c r="O11" s="29"/>
      <c r="P11" s="29"/>
      <c r="Q11" s="29"/>
      <c r="R11" s="29"/>
      <c r="S11" s="29"/>
      <c r="T11" s="29"/>
      <c r="U11" s="29"/>
      <c r="V11" s="29"/>
      <c r="W11" s="29"/>
      <c r="X11" s="29"/>
      <c r="Y11" s="29"/>
      <c r="Z11" s="29"/>
    </row>
    <row r="12">
      <c r="A12" s="20"/>
      <c r="B12" s="130"/>
      <c r="C12" s="8"/>
      <c r="D12" s="132"/>
      <c r="E12" s="132"/>
      <c r="F12" s="142"/>
      <c r="G12" s="155"/>
      <c r="H12" s="45"/>
      <c r="I12" s="56"/>
      <c r="J12" s="56"/>
      <c r="K12" s="144"/>
      <c r="L12" s="144"/>
      <c r="M12" s="28"/>
      <c r="N12" s="29"/>
      <c r="O12" s="29"/>
      <c r="P12" s="29"/>
      <c r="Q12" s="29"/>
      <c r="R12" s="29"/>
      <c r="S12" s="29"/>
      <c r="T12" s="29"/>
      <c r="U12" s="29"/>
      <c r="V12" s="29"/>
      <c r="W12" s="29"/>
      <c r="X12" s="29"/>
      <c r="Y12" s="29"/>
      <c r="Z12" s="29"/>
    </row>
    <row r="13">
      <c r="A13" s="20"/>
      <c r="B13" s="130"/>
      <c r="C13" s="8"/>
      <c r="D13" s="132"/>
      <c r="E13" s="132"/>
      <c r="F13" s="142"/>
      <c r="G13" s="155"/>
      <c r="H13" s="45"/>
      <c r="I13" s="56"/>
      <c r="J13" s="56"/>
      <c r="K13" s="144"/>
      <c r="L13" s="144"/>
      <c r="M13" s="28"/>
      <c r="N13" s="29"/>
      <c r="O13" s="29"/>
      <c r="P13" s="29"/>
      <c r="Q13" s="29"/>
      <c r="R13" s="29"/>
      <c r="S13" s="29"/>
      <c r="T13" s="29"/>
      <c r="U13" s="29"/>
      <c r="V13" s="29"/>
      <c r="W13" s="29"/>
      <c r="X13" s="29"/>
      <c r="Y13" s="29"/>
      <c r="Z13" s="29"/>
    </row>
    <row r="14">
      <c r="A14" s="20"/>
      <c r="B14" s="130"/>
      <c r="D14" s="132"/>
      <c r="E14" s="132"/>
      <c r="F14" s="142"/>
      <c r="G14" s="156"/>
      <c r="H14" s="45"/>
      <c r="I14" s="56"/>
      <c r="J14" s="56"/>
      <c r="K14" s="144"/>
      <c r="L14" s="144"/>
      <c r="M14" s="28"/>
      <c r="N14" s="29"/>
      <c r="O14" s="29"/>
      <c r="P14" s="29"/>
      <c r="Q14" s="29"/>
      <c r="R14" s="29"/>
      <c r="S14" s="29"/>
      <c r="T14" s="29"/>
      <c r="U14" s="29"/>
      <c r="V14" s="29"/>
      <c r="W14" s="29"/>
      <c r="X14" s="29"/>
      <c r="Y14" s="29"/>
      <c r="Z14" s="29"/>
    </row>
    <row r="15">
      <c r="A15" s="20"/>
      <c r="B15" s="130"/>
      <c r="C15" s="8"/>
      <c r="D15" s="132"/>
      <c r="E15" s="132"/>
      <c r="F15" s="142"/>
      <c r="G15" s="155"/>
      <c r="H15" s="45"/>
      <c r="I15" s="56"/>
      <c r="J15" s="56"/>
      <c r="K15" s="144"/>
      <c r="L15" s="143"/>
      <c r="M15" s="28"/>
      <c r="N15" s="29"/>
      <c r="O15" s="29"/>
      <c r="P15" s="29"/>
      <c r="Q15" s="29"/>
      <c r="R15" s="29"/>
      <c r="S15" s="29"/>
      <c r="T15" s="29"/>
      <c r="U15" s="29"/>
      <c r="V15" s="29"/>
      <c r="W15" s="29"/>
      <c r="X15" s="29"/>
      <c r="Y15" s="29"/>
      <c r="Z15" s="29"/>
    </row>
    <row r="16">
      <c r="A16" s="20"/>
      <c r="B16" s="130"/>
      <c r="C16" s="8"/>
      <c r="D16" s="132"/>
      <c r="E16" s="132"/>
      <c r="F16" s="142"/>
      <c r="G16" s="155"/>
      <c r="H16" s="157"/>
      <c r="I16" s="56"/>
      <c r="J16" s="56"/>
      <c r="K16" s="144"/>
      <c r="L16" s="143"/>
      <c r="M16" s="28"/>
      <c r="N16" s="29"/>
      <c r="O16" s="29"/>
      <c r="P16" s="29"/>
      <c r="Q16" s="29"/>
      <c r="R16" s="29"/>
      <c r="S16" s="29"/>
      <c r="T16" s="29"/>
      <c r="U16" s="29"/>
      <c r="V16" s="29"/>
      <c r="W16" s="29"/>
      <c r="X16" s="29"/>
      <c r="Y16" s="29"/>
      <c r="Z16" s="29"/>
    </row>
  </sheetData>
  <conditionalFormatting sqref="F2:F16">
    <cfRule type="containsText" dxfId="0" priority="1" operator="containsText" text="Closed">
      <formula>NOT(ISERROR(SEARCH(("Closed"),(F2))))</formula>
    </cfRule>
  </conditionalFormatting>
  <conditionalFormatting sqref="F2:F16">
    <cfRule type="containsText" dxfId="3" priority="2" operator="containsText" text="Monitor">
      <formula>NOT(ISERROR(SEARCH(("Monitor"),(F2))))</formula>
    </cfRule>
  </conditionalFormatting>
  <conditionalFormatting sqref="F2:F16">
    <cfRule type="containsText" dxfId="4" priority="3" operator="containsText" text="Open">
      <formula>NOT(ISERROR(SEARCH(("Open"),(F2))))</formula>
    </cfRule>
  </conditionalFormatting>
  <conditionalFormatting sqref="F2:F16">
    <cfRule type="containsText" dxfId="5" priority="4" operator="containsText" text="NA">
      <formula>NOT(ISERROR(SEARCH(("NA"),(F2))))</formula>
    </cfRule>
  </conditionalFormatting>
  <dataValidations>
    <dataValidation type="list" allowBlank="1" sqref="B2:B16">
      <formula1>Option!$C$2:$C$16</formula1>
    </dataValidation>
    <dataValidation type="list" allowBlank="1" sqref="I2:J16">
      <formula1>Option!$K$2:$K$17</formula1>
    </dataValidation>
    <dataValidation type="list" allowBlank="1" sqref="C2:C13 C15:C16">
      <formula1>Option!$E$2:$E$13</formula1>
    </dataValidation>
    <dataValidation type="list" allowBlank="1" sqref="D2:D16">
      <formula1>Option!$D$2:$D$15</formula1>
    </dataValidation>
    <dataValidation type="list" allowBlank="1" sqref="F2:F16">
      <formula1>Option!$F$2:$F$5</formula1>
    </dataValidation>
    <dataValidation type="list" allowBlank="1" sqref="L2:L16">
      <formula1>"1.SCH,2.PCB,3.BOM,4.Parameter,5.SW/ME/RF/ANT/Component/MFG/Vendor,6.No Change"</formula1>
    </dataValidation>
    <dataValidation type="list" allowBlank="1" sqref="E2:E16">
      <formula1>Option!$G$2:$G$5</formula1>
    </dataValidation>
  </dataValidations>
  <hyperlinks>
    <hyperlink r:id="rId2" location="gid=0" ref="M1"/>
    <hyperlink r:id="rId3" location="slide=id.g10033b26bf6_0_0" ref="H2"/>
  </hyperlinks>
  <drawing r:id="rId4"/>
  <legacyDrawing r:id="rId5"/>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1" max="1" width="13.13"/>
    <col customWidth="1" min="2" max="2" width="10.63"/>
    <col customWidth="1" min="3" max="3" width="12.75"/>
    <col customWidth="1" min="5" max="5" width="9.88"/>
    <col customWidth="1" min="6" max="6" width="11.63"/>
    <col customWidth="1" min="7" max="7" width="76.63"/>
    <col customWidth="1" min="8" max="8" width="8.13"/>
    <col customWidth="1" min="11" max="11" width="10.75"/>
    <col customWidth="1" min="13" max="18" width="15.75"/>
  </cols>
  <sheetData>
    <row r="1">
      <c r="A1" s="4" t="s">
        <v>54</v>
      </c>
      <c r="B1" s="4" t="s">
        <v>1</v>
      </c>
      <c r="C1" s="4" t="s">
        <v>2</v>
      </c>
      <c r="D1" s="4" t="s">
        <v>3</v>
      </c>
      <c r="E1" s="4" t="s">
        <v>4</v>
      </c>
      <c r="F1" s="4" t="s">
        <v>5</v>
      </c>
      <c r="G1" s="4" t="s">
        <v>6</v>
      </c>
      <c r="H1" s="4" t="s">
        <v>7</v>
      </c>
      <c r="I1" s="3" t="s">
        <v>8</v>
      </c>
      <c r="J1" s="3" t="s">
        <v>9</v>
      </c>
      <c r="K1" s="4" t="s">
        <v>10</v>
      </c>
      <c r="L1" s="4" t="s">
        <v>11</v>
      </c>
      <c r="M1" s="51" t="s">
        <v>55</v>
      </c>
    </row>
    <row r="2" ht="129.0" customHeight="1">
      <c r="A2" s="20">
        <v>45240.0</v>
      </c>
      <c r="B2" s="130" t="s">
        <v>172</v>
      </c>
      <c r="C2" s="8" t="s">
        <v>83</v>
      </c>
      <c r="D2" s="132" t="s">
        <v>21</v>
      </c>
      <c r="E2" s="132" t="s">
        <v>64</v>
      </c>
      <c r="F2" s="142" t="s">
        <v>64</v>
      </c>
      <c r="G2" s="155" t="s">
        <v>388</v>
      </c>
      <c r="H2" s="158" t="s">
        <v>61</v>
      </c>
      <c r="I2" s="152" t="s">
        <v>389</v>
      </c>
      <c r="J2" s="56" t="s">
        <v>66</v>
      </c>
      <c r="K2" s="144"/>
      <c r="L2" s="144"/>
      <c r="M2" s="28"/>
      <c r="N2" s="173"/>
      <c r="O2" s="29"/>
      <c r="P2" s="29"/>
      <c r="Q2" s="29"/>
      <c r="R2" s="29"/>
      <c r="S2" s="29"/>
      <c r="T2" s="29"/>
      <c r="U2" s="29"/>
      <c r="V2" s="29"/>
      <c r="W2" s="29"/>
      <c r="X2" s="29"/>
      <c r="Y2" s="29"/>
      <c r="Z2" s="29"/>
    </row>
    <row r="3" ht="129.0" customHeight="1">
      <c r="A3" s="20">
        <v>45152.0</v>
      </c>
      <c r="B3" s="130" t="s">
        <v>25</v>
      </c>
      <c r="C3" s="8" t="s">
        <v>49</v>
      </c>
      <c r="D3" s="132" t="s">
        <v>21</v>
      </c>
      <c r="E3" s="132" t="s">
        <v>64</v>
      </c>
      <c r="F3" s="142" t="s">
        <v>16</v>
      </c>
      <c r="G3" s="155" t="s">
        <v>390</v>
      </c>
      <c r="H3" s="158" t="s">
        <v>61</v>
      </c>
      <c r="I3" s="152" t="s">
        <v>391</v>
      </c>
      <c r="J3" s="56" t="s">
        <v>351</v>
      </c>
      <c r="K3" s="144"/>
      <c r="L3" s="144"/>
      <c r="M3" s="28"/>
      <c r="N3" s="173"/>
      <c r="O3" s="29"/>
      <c r="P3" s="29"/>
      <c r="Q3" s="29"/>
      <c r="R3" s="29"/>
      <c r="S3" s="29"/>
      <c r="T3" s="29"/>
      <c r="U3" s="29"/>
      <c r="V3" s="29"/>
      <c r="W3" s="29"/>
      <c r="X3" s="29"/>
      <c r="Y3" s="29"/>
      <c r="Z3" s="29"/>
    </row>
    <row r="4" ht="129.0" customHeight="1">
      <c r="A4" s="20">
        <v>45127.0</v>
      </c>
      <c r="B4" s="130" t="s">
        <v>25</v>
      </c>
      <c r="C4" s="8" t="s">
        <v>49</v>
      </c>
      <c r="D4" s="132" t="s">
        <v>21</v>
      </c>
      <c r="E4" s="132" t="s">
        <v>64</v>
      </c>
      <c r="F4" s="142" t="s">
        <v>16</v>
      </c>
      <c r="G4" s="155" t="s">
        <v>392</v>
      </c>
      <c r="H4" s="45"/>
      <c r="I4" s="152" t="s">
        <v>391</v>
      </c>
      <c r="J4" s="56" t="s">
        <v>351</v>
      </c>
      <c r="K4" s="144"/>
      <c r="L4" s="144"/>
      <c r="M4" s="28"/>
      <c r="N4" s="173"/>
      <c r="O4" s="173"/>
      <c r="P4" s="173"/>
      <c r="Q4" s="173"/>
      <c r="R4" s="29"/>
      <c r="S4" s="29"/>
      <c r="T4" s="29"/>
      <c r="U4" s="29"/>
      <c r="V4" s="29"/>
      <c r="W4" s="29"/>
      <c r="X4" s="29"/>
      <c r="Y4" s="29"/>
      <c r="Z4" s="29"/>
    </row>
    <row r="5" ht="181.5" customHeight="1">
      <c r="A5" s="20">
        <v>45127.0</v>
      </c>
      <c r="B5" s="130" t="s">
        <v>25</v>
      </c>
      <c r="C5" s="8" t="s">
        <v>57</v>
      </c>
      <c r="D5" s="132" t="s">
        <v>21</v>
      </c>
      <c r="E5" s="132" t="s">
        <v>15</v>
      </c>
      <c r="F5" s="142" t="s">
        <v>16</v>
      </c>
      <c r="G5" s="155" t="s">
        <v>393</v>
      </c>
      <c r="H5" s="45"/>
      <c r="I5" s="152" t="s">
        <v>394</v>
      </c>
      <c r="J5" s="56" t="s">
        <v>70</v>
      </c>
      <c r="K5" s="144"/>
      <c r="L5" s="144" t="s">
        <v>144</v>
      </c>
      <c r="M5" s="28"/>
      <c r="N5" s="173"/>
      <c r="O5" s="173"/>
      <c r="P5" s="173"/>
      <c r="Q5" s="173"/>
      <c r="R5" s="29"/>
      <c r="S5" s="29"/>
      <c r="T5" s="29"/>
      <c r="U5" s="29"/>
      <c r="V5" s="29"/>
      <c r="W5" s="29"/>
      <c r="X5" s="29"/>
      <c r="Y5" s="29"/>
      <c r="Z5" s="29"/>
    </row>
    <row r="6" ht="129.0" customHeight="1">
      <c r="A6" s="20">
        <v>45107.0</v>
      </c>
      <c r="B6" s="130" t="s">
        <v>19</v>
      </c>
      <c r="C6" s="8" t="s">
        <v>57</v>
      </c>
      <c r="D6" s="132" t="s">
        <v>21</v>
      </c>
      <c r="E6" s="132" t="s">
        <v>22</v>
      </c>
      <c r="F6" s="142" t="s">
        <v>16</v>
      </c>
      <c r="G6" s="155" t="s">
        <v>395</v>
      </c>
      <c r="H6" s="45"/>
      <c r="I6" s="152" t="s">
        <v>394</v>
      </c>
      <c r="J6" s="56" t="s">
        <v>70</v>
      </c>
      <c r="K6" s="144"/>
      <c r="L6" s="144" t="s">
        <v>144</v>
      </c>
      <c r="M6" s="28"/>
      <c r="N6" s="173"/>
      <c r="O6" s="174"/>
      <c r="P6" s="174"/>
      <c r="Q6" s="174"/>
      <c r="R6" s="29"/>
      <c r="S6" s="29"/>
      <c r="T6" s="29"/>
      <c r="U6" s="29"/>
      <c r="V6" s="29"/>
      <c r="W6" s="29"/>
      <c r="X6" s="29"/>
      <c r="Y6" s="29"/>
      <c r="Z6" s="29"/>
    </row>
    <row r="7">
      <c r="A7" s="20">
        <v>45107.0</v>
      </c>
      <c r="B7" s="130" t="s">
        <v>19</v>
      </c>
      <c r="C7" s="22" t="s">
        <v>57</v>
      </c>
      <c r="D7" s="23" t="s">
        <v>21</v>
      </c>
      <c r="E7" s="23" t="s">
        <v>22</v>
      </c>
      <c r="F7" s="49" t="s">
        <v>16</v>
      </c>
      <c r="G7" s="18" t="s">
        <v>396</v>
      </c>
      <c r="H7" s="51" t="s">
        <v>61</v>
      </c>
      <c r="I7" s="152" t="s">
        <v>394</v>
      </c>
      <c r="J7" s="56" t="s">
        <v>66</v>
      </c>
      <c r="K7" s="158" t="s">
        <v>397</v>
      </c>
      <c r="L7" s="34" t="s">
        <v>71</v>
      </c>
      <c r="M7" s="28"/>
      <c r="N7" s="173"/>
      <c r="O7" s="174"/>
      <c r="P7" s="174"/>
      <c r="Q7" s="174"/>
      <c r="R7" s="29"/>
      <c r="S7" s="29"/>
      <c r="T7" s="29"/>
      <c r="U7" s="29"/>
      <c r="V7" s="29"/>
      <c r="W7" s="29"/>
      <c r="X7" s="29"/>
      <c r="Y7" s="29"/>
      <c r="Z7" s="29"/>
    </row>
    <row r="8">
      <c r="A8" s="20">
        <v>45107.0</v>
      </c>
      <c r="B8" s="130" t="s">
        <v>19</v>
      </c>
      <c r="C8" s="22" t="s">
        <v>57</v>
      </c>
      <c r="D8" s="23" t="s">
        <v>21</v>
      </c>
      <c r="E8" s="23" t="s">
        <v>22</v>
      </c>
      <c r="F8" s="49" t="s">
        <v>16</v>
      </c>
      <c r="G8" s="18" t="s">
        <v>398</v>
      </c>
      <c r="H8" s="158" t="s">
        <v>397</v>
      </c>
      <c r="I8" s="152" t="s">
        <v>394</v>
      </c>
      <c r="J8" s="56" t="s">
        <v>66</v>
      </c>
      <c r="K8" s="45"/>
      <c r="L8" s="34" t="s">
        <v>144</v>
      </c>
      <c r="M8" s="28"/>
      <c r="N8" s="173"/>
      <c r="O8" s="174"/>
      <c r="P8" s="174"/>
      <c r="Q8" s="174"/>
      <c r="R8" s="29"/>
      <c r="S8" s="29"/>
      <c r="T8" s="29"/>
      <c r="U8" s="29"/>
      <c r="V8" s="29"/>
      <c r="W8" s="29"/>
      <c r="X8" s="29"/>
      <c r="Y8" s="29"/>
      <c r="Z8" s="29"/>
    </row>
    <row r="9">
      <c r="A9" s="20">
        <v>45079.0</v>
      </c>
      <c r="B9" s="130" t="s">
        <v>43</v>
      </c>
      <c r="C9" s="22" t="s">
        <v>57</v>
      </c>
      <c r="D9" s="23" t="s">
        <v>21</v>
      </c>
      <c r="E9" s="23" t="s">
        <v>22</v>
      </c>
      <c r="F9" s="49" t="s">
        <v>64</v>
      </c>
      <c r="G9" s="18" t="s">
        <v>399</v>
      </c>
      <c r="H9" s="45"/>
      <c r="I9" s="152" t="s">
        <v>394</v>
      </c>
      <c r="J9" s="56"/>
      <c r="K9" s="34"/>
      <c r="L9" s="34" t="s">
        <v>68</v>
      </c>
      <c r="M9" s="28"/>
      <c r="N9" s="173"/>
      <c r="O9" s="174"/>
      <c r="P9" s="174"/>
      <c r="Q9" s="174"/>
      <c r="R9" s="29"/>
      <c r="S9" s="29"/>
      <c r="T9" s="29"/>
      <c r="U9" s="29"/>
      <c r="V9" s="29"/>
      <c r="W9" s="29"/>
      <c r="X9" s="29"/>
      <c r="Y9" s="29"/>
      <c r="Z9" s="29"/>
    </row>
    <row r="10">
      <c r="A10" s="20">
        <v>45079.0</v>
      </c>
      <c r="B10" s="130" t="s">
        <v>43</v>
      </c>
      <c r="C10" s="8" t="s">
        <v>57</v>
      </c>
      <c r="D10" s="132" t="s">
        <v>21</v>
      </c>
      <c r="E10" s="132" t="s">
        <v>22</v>
      </c>
      <c r="F10" s="142" t="s">
        <v>16</v>
      </c>
      <c r="G10" s="155" t="s">
        <v>400</v>
      </c>
      <c r="H10" s="158" t="s">
        <v>61</v>
      </c>
      <c r="I10" s="152" t="s">
        <v>394</v>
      </c>
      <c r="J10" s="56"/>
      <c r="K10" s="144"/>
      <c r="L10" s="144" t="s">
        <v>63</v>
      </c>
      <c r="M10" s="28"/>
      <c r="N10" s="173"/>
      <c r="O10" s="174"/>
      <c r="P10" s="174"/>
      <c r="Q10" s="174"/>
      <c r="R10" s="29"/>
      <c r="S10" s="29"/>
      <c r="T10" s="29"/>
      <c r="U10" s="29"/>
      <c r="V10" s="29"/>
      <c r="W10" s="29"/>
      <c r="X10" s="29"/>
      <c r="Y10" s="29"/>
      <c r="Z10" s="29"/>
    </row>
    <row r="11">
      <c r="A11" s="20">
        <v>45068.0</v>
      </c>
      <c r="B11" s="130" t="s">
        <v>43</v>
      </c>
      <c r="C11" s="8" t="s">
        <v>57</v>
      </c>
      <c r="D11" s="132" t="s">
        <v>21</v>
      </c>
      <c r="E11" s="132" t="s">
        <v>22</v>
      </c>
      <c r="F11" s="142" t="s">
        <v>16</v>
      </c>
      <c r="G11" s="155" t="s">
        <v>401</v>
      </c>
      <c r="H11" s="158" t="s">
        <v>97</v>
      </c>
      <c r="I11" s="152" t="s">
        <v>394</v>
      </c>
      <c r="J11" s="56" t="s">
        <v>70</v>
      </c>
      <c r="K11" s="144"/>
      <c r="L11" s="144" t="s">
        <v>63</v>
      </c>
      <c r="M11" s="28"/>
      <c r="N11" s="173"/>
      <c r="O11" s="174"/>
      <c r="P11" s="174"/>
      <c r="Q11" s="174"/>
      <c r="R11" s="29"/>
      <c r="S11" s="29"/>
      <c r="T11" s="29"/>
      <c r="U11" s="29"/>
      <c r="V11" s="29"/>
      <c r="W11" s="29"/>
      <c r="X11" s="29"/>
      <c r="Y11" s="29"/>
      <c r="Z11" s="29"/>
    </row>
    <row r="12" ht="95.25" customHeight="1">
      <c r="A12" s="20">
        <v>45037.0</v>
      </c>
      <c r="B12" s="130" t="s">
        <v>56</v>
      </c>
      <c r="C12" s="8" t="s">
        <v>30</v>
      </c>
      <c r="D12" s="132" t="s">
        <v>44</v>
      </c>
      <c r="E12" s="132" t="s">
        <v>22</v>
      </c>
      <c r="F12" s="142" t="s">
        <v>16</v>
      </c>
      <c r="G12" s="155" t="s">
        <v>402</v>
      </c>
      <c r="H12" s="158" t="s">
        <v>97</v>
      </c>
      <c r="I12" s="152" t="s">
        <v>127</v>
      </c>
      <c r="J12" s="56" t="s">
        <v>127</v>
      </c>
      <c r="K12" s="144"/>
      <c r="L12" s="144" t="s">
        <v>63</v>
      </c>
      <c r="M12" s="28"/>
      <c r="N12" s="173"/>
      <c r="O12" s="174"/>
      <c r="P12" s="174"/>
      <c r="Q12" s="174"/>
      <c r="R12" s="29"/>
      <c r="S12" s="29"/>
      <c r="T12" s="29"/>
      <c r="U12" s="29"/>
      <c r="V12" s="29"/>
      <c r="W12" s="29"/>
      <c r="X12" s="29"/>
      <c r="Y12" s="29"/>
      <c r="Z12" s="29"/>
    </row>
    <row r="13" ht="87.75" customHeight="1">
      <c r="A13" s="20">
        <v>45033.0</v>
      </c>
      <c r="B13" s="130" t="s">
        <v>56</v>
      </c>
      <c r="C13" s="8" t="s">
        <v>57</v>
      </c>
      <c r="D13" s="132" t="s">
        <v>21</v>
      </c>
      <c r="E13" s="132" t="s">
        <v>22</v>
      </c>
      <c r="F13" s="142" t="s">
        <v>16</v>
      </c>
      <c r="G13" s="155" t="s">
        <v>403</v>
      </c>
      <c r="H13" s="158" t="s">
        <v>97</v>
      </c>
      <c r="I13" s="152" t="s">
        <v>404</v>
      </c>
      <c r="J13" s="56" t="s">
        <v>70</v>
      </c>
      <c r="K13" s="144"/>
      <c r="L13" s="143" t="s">
        <v>63</v>
      </c>
      <c r="M13" s="28"/>
      <c r="N13" s="173"/>
      <c r="O13" s="29"/>
      <c r="P13" s="29"/>
      <c r="Q13" s="29"/>
      <c r="R13" s="29"/>
      <c r="S13" s="29"/>
      <c r="T13" s="29"/>
      <c r="U13" s="29"/>
      <c r="V13" s="29"/>
      <c r="W13" s="29"/>
      <c r="X13" s="29"/>
      <c r="Y13" s="29"/>
      <c r="Z13" s="29"/>
    </row>
    <row r="14" ht="84.75" customHeight="1">
      <c r="A14" s="20">
        <v>45034.0</v>
      </c>
      <c r="B14" s="130" t="s">
        <v>56</v>
      </c>
      <c r="C14" s="8" t="s">
        <v>57</v>
      </c>
      <c r="D14" s="132" t="s">
        <v>21</v>
      </c>
      <c r="E14" s="132" t="s">
        <v>15</v>
      </c>
      <c r="F14" s="142" t="s">
        <v>16</v>
      </c>
      <c r="G14" s="155" t="s">
        <v>405</v>
      </c>
      <c r="H14" s="158" t="s">
        <v>97</v>
      </c>
      <c r="I14" s="152" t="s">
        <v>404</v>
      </c>
      <c r="J14" s="56" t="s">
        <v>67</v>
      </c>
      <c r="K14" s="144"/>
      <c r="L14" s="143" t="s">
        <v>68</v>
      </c>
      <c r="M14" s="28"/>
      <c r="N14" s="173"/>
      <c r="O14" s="29"/>
      <c r="P14" s="29"/>
      <c r="Q14" s="29"/>
      <c r="R14" s="29"/>
      <c r="S14" s="29"/>
      <c r="T14" s="29"/>
      <c r="U14" s="29"/>
      <c r="V14" s="29"/>
      <c r="W14" s="29"/>
      <c r="X14" s="29"/>
      <c r="Y14" s="29"/>
      <c r="Z14" s="29"/>
    </row>
    <row r="15">
      <c r="A15" s="20">
        <v>45068.0</v>
      </c>
      <c r="B15" s="130" t="s">
        <v>43</v>
      </c>
      <c r="C15" s="8" t="s">
        <v>49</v>
      </c>
      <c r="D15" s="132" t="s">
        <v>95</v>
      </c>
      <c r="E15" s="132" t="s">
        <v>22</v>
      </c>
      <c r="F15" s="142" t="s">
        <v>16</v>
      </c>
      <c r="G15" s="155" t="s">
        <v>406</v>
      </c>
      <c r="H15" s="158" t="s">
        <v>97</v>
      </c>
      <c r="I15" s="152" t="s">
        <v>407</v>
      </c>
      <c r="J15" s="56" t="s">
        <v>70</v>
      </c>
      <c r="K15" s="144"/>
      <c r="L15" s="144" t="s">
        <v>71</v>
      </c>
      <c r="M15" s="28"/>
      <c r="N15" s="173"/>
      <c r="O15" s="29"/>
      <c r="P15" s="29"/>
      <c r="Q15" s="29"/>
      <c r="R15" s="29"/>
      <c r="S15" s="29"/>
      <c r="T15" s="29"/>
      <c r="U15" s="29"/>
      <c r="V15" s="29"/>
      <c r="W15" s="29"/>
      <c r="X15" s="29"/>
      <c r="Y15" s="29"/>
      <c r="Z15" s="29"/>
    </row>
    <row r="16">
      <c r="A16" s="20">
        <v>45061.0</v>
      </c>
      <c r="B16" s="130" t="s">
        <v>43</v>
      </c>
      <c r="C16" s="8" t="s">
        <v>49</v>
      </c>
      <c r="D16" s="132" t="s">
        <v>95</v>
      </c>
      <c r="E16" s="132" t="s">
        <v>22</v>
      </c>
      <c r="F16" s="142" t="s">
        <v>16</v>
      </c>
      <c r="G16" s="155" t="s">
        <v>408</v>
      </c>
      <c r="H16" s="45"/>
      <c r="I16" s="152" t="s">
        <v>407</v>
      </c>
      <c r="J16" s="56" t="s">
        <v>70</v>
      </c>
      <c r="K16" s="144"/>
      <c r="L16" s="144" t="s">
        <v>71</v>
      </c>
      <c r="M16" s="28"/>
      <c r="N16" s="173"/>
      <c r="O16" s="29"/>
      <c r="P16" s="29"/>
      <c r="Q16" s="29"/>
      <c r="R16" s="29"/>
      <c r="S16" s="29"/>
      <c r="T16" s="29"/>
      <c r="U16" s="29"/>
      <c r="V16" s="29"/>
      <c r="W16" s="29"/>
      <c r="X16" s="29"/>
      <c r="Y16" s="29"/>
      <c r="Z16" s="29"/>
    </row>
    <row r="17" ht="188.25" customHeight="1">
      <c r="A17" s="20">
        <v>45057.0</v>
      </c>
      <c r="B17" s="130" t="s">
        <v>43</v>
      </c>
      <c r="C17" s="8" t="s">
        <v>13</v>
      </c>
      <c r="D17" s="132" t="s">
        <v>95</v>
      </c>
      <c r="E17" s="132" t="s">
        <v>15</v>
      </c>
      <c r="F17" s="142" t="s">
        <v>16</v>
      </c>
      <c r="G17" s="156" t="s">
        <v>409</v>
      </c>
      <c r="H17" s="158" t="s">
        <v>97</v>
      </c>
      <c r="I17" s="152" t="s">
        <v>79</v>
      </c>
      <c r="J17" s="56" t="s">
        <v>70</v>
      </c>
      <c r="K17" s="144"/>
      <c r="L17" s="144" t="s">
        <v>71</v>
      </c>
      <c r="M17" s="28"/>
      <c r="N17" s="173"/>
      <c r="O17" s="29"/>
      <c r="P17" s="29"/>
      <c r="Q17" s="29"/>
      <c r="R17" s="29"/>
      <c r="S17" s="29"/>
      <c r="T17" s="29"/>
      <c r="U17" s="29"/>
      <c r="V17" s="29"/>
      <c r="W17" s="29"/>
      <c r="X17" s="29"/>
      <c r="Y17" s="29"/>
      <c r="Z17" s="29"/>
    </row>
    <row r="18" ht="108.0" customHeight="1">
      <c r="A18" s="20">
        <v>45017.0</v>
      </c>
      <c r="B18" s="130" t="s">
        <v>121</v>
      </c>
      <c r="C18" s="8" t="s">
        <v>20</v>
      </c>
      <c r="D18" s="132" t="s">
        <v>58</v>
      </c>
      <c r="E18" s="132" t="s">
        <v>22</v>
      </c>
      <c r="F18" s="142" t="s">
        <v>16</v>
      </c>
      <c r="G18" s="155" t="s">
        <v>410</v>
      </c>
      <c r="H18" s="158" t="s">
        <v>97</v>
      </c>
      <c r="I18" s="56" t="s">
        <v>67</v>
      </c>
      <c r="J18" s="56" t="s">
        <v>70</v>
      </c>
      <c r="K18" s="144"/>
      <c r="L18" s="143" t="s">
        <v>68</v>
      </c>
      <c r="M18" s="28"/>
      <c r="N18" s="173"/>
      <c r="O18" s="29"/>
      <c r="P18" s="29"/>
      <c r="Q18" s="29"/>
      <c r="R18" s="29"/>
      <c r="S18" s="29"/>
      <c r="T18" s="29"/>
      <c r="U18" s="29"/>
      <c r="V18" s="29"/>
      <c r="W18" s="29"/>
      <c r="X18" s="29"/>
      <c r="Y18" s="29"/>
      <c r="Z18" s="29"/>
    </row>
    <row r="19" ht="92.25" customHeight="1">
      <c r="A19" s="20">
        <v>45028.0</v>
      </c>
      <c r="B19" s="130" t="s">
        <v>56</v>
      </c>
      <c r="C19" s="8" t="s">
        <v>57</v>
      </c>
      <c r="D19" s="132" t="s">
        <v>21</v>
      </c>
      <c r="E19" s="132" t="s">
        <v>15</v>
      </c>
      <c r="F19" s="142" t="s">
        <v>16</v>
      </c>
      <c r="G19" s="155" t="s">
        <v>411</v>
      </c>
      <c r="H19" s="157"/>
      <c r="I19" s="56" t="s">
        <v>334</v>
      </c>
      <c r="J19" s="56" t="s">
        <v>70</v>
      </c>
      <c r="K19" s="144"/>
      <c r="L19" s="143" t="s">
        <v>68</v>
      </c>
      <c r="M19" s="28"/>
      <c r="N19" s="173"/>
      <c r="O19" s="29"/>
      <c r="P19" s="29"/>
      <c r="Q19" s="29"/>
      <c r="R19" s="29"/>
      <c r="S19" s="29"/>
      <c r="T19" s="29"/>
      <c r="U19" s="29"/>
      <c r="V19" s="29"/>
      <c r="W19" s="29"/>
      <c r="X19" s="29"/>
      <c r="Y19" s="29"/>
      <c r="Z19" s="29"/>
    </row>
  </sheetData>
  <autoFilter ref="$A$1:$Z$1013"/>
  <conditionalFormatting sqref="F2:F19">
    <cfRule type="containsText" dxfId="0" priority="1" operator="containsText" text="Closed">
      <formula>NOT(ISERROR(SEARCH(("Closed"),(F2))))</formula>
    </cfRule>
  </conditionalFormatting>
  <conditionalFormatting sqref="F2:F19">
    <cfRule type="containsText" dxfId="3" priority="2" operator="containsText" text="Monitor">
      <formula>NOT(ISERROR(SEARCH(("Monitor"),(F2))))</formula>
    </cfRule>
  </conditionalFormatting>
  <conditionalFormatting sqref="F2:F19">
    <cfRule type="containsText" dxfId="4" priority="3" operator="containsText" text="Open">
      <formula>NOT(ISERROR(SEARCH(("Open"),(F2))))</formula>
    </cfRule>
  </conditionalFormatting>
  <conditionalFormatting sqref="F2:F19">
    <cfRule type="containsText" dxfId="5" priority="4" operator="containsText" text="NA">
      <formula>NOT(ISERROR(SEARCH(("NA"),(F2))))</formula>
    </cfRule>
  </conditionalFormatting>
  <dataValidations>
    <dataValidation type="list" allowBlank="1" sqref="B2:B19">
      <formula1>Option!$C$2:$C$16</formula1>
    </dataValidation>
    <dataValidation type="list" allowBlank="1" sqref="J2:J17 I18:J19">
      <formula1>Option!$K$2:$K$17</formula1>
    </dataValidation>
    <dataValidation type="list" allowBlank="1" sqref="C2:C19">
      <formula1>Option!$E$2:$E$13</formula1>
    </dataValidation>
    <dataValidation type="list" allowBlank="1" sqref="D2:D19">
      <formula1>Option!$D$2:$D$15</formula1>
    </dataValidation>
    <dataValidation type="list" allowBlank="1" sqref="F2:F19">
      <formula1>Option!$F$2:$F$5</formula1>
    </dataValidation>
    <dataValidation type="list" allowBlank="1" sqref="L2:L19">
      <formula1>"1.SCH,2.PCB,3.BOM,4.Parameter,5.SW/ME/RF/ANT/Component/MFG/Vendor,6.No Change"</formula1>
    </dataValidation>
    <dataValidation type="list" allowBlank="1" sqref="E2:E19">
      <formula1>Option!$G$2:$G$5</formula1>
    </dataValidation>
  </dataValidations>
  <hyperlinks>
    <hyperlink r:id="rId2" location="gid=0" ref="M1"/>
    <hyperlink r:id="rId3" location="slide=id.g3997c6a624_0_120" ref="H2"/>
    <hyperlink r:id="rId4" location="slide=id.g23bfc96c38e_0_1" ref="H3"/>
    <hyperlink r:id="rId5" location="slide=id.g10033b26bf6_0_0" ref="H7"/>
    <hyperlink r:id="rId6" location="gid=0" ref="K7"/>
    <hyperlink r:id="rId7" location="gid=0" ref="H8"/>
    <hyperlink r:id="rId8" location="slide=id.g24ec2c56acb_0_10" ref="H10"/>
    <hyperlink r:id="rId9" location="slide=id.g246826c423a_0_6" ref="H11"/>
    <hyperlink r:id="rId10" location="slide=id.g2389e1e8ec3_0_7" ref="H12"/>
    <hyperlink r:id="rId11" location="slide=id.g22e8b4d46b8_0_12" ref="H13"/>
    <hyperlink r:id="rId12" location="slide=id.g22e8b4d46b8_0_42" ref="H14"/>
    <hyperlink r:id="rId13" location="slide=id.g246826c423a_0_24" ref="H15"/>
    <hyperlink r:id="rId14" location="slide=id.g2444ef02abc_0_0" ref="H17"/>
    <hyperlink r:id="rId15" location="slide=id.p" ref="H18"/>
  </hyperlinks>
  <drawing r:id="rId16"/>
  <legacyDrawing r:id="rId17"/>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5.13" defaultRowHeight="15.0"/>
  <cols>
    <col customWidth="1" min="1" max="1" width="14.88"/>
    <col customWidth="1" min="2" max="2" width="11.88"/>
    <col customWidth="1" min="3" max="3" width="14.0"/>
    <col customWidth="1" min="4" max="4" width="22.5"/>
    <col customWidth="1" min="5" max="5" width="12.13"/>
    <col customWidth="1" min="6" max="6" width="11.38"/>
    <col customWidth="1" min="7" max="7" width="95.0"/>
    <col customWidth="1" min="9" max="9" width="10.88"/>
    <col customWidth="1" min="10" max="10" width="12.88"/>
    <col customWidth="1" min="13" max="13" width="30.38"/>
  </cols>
  <sheetData>
    <row r="1">
      <c r="A1" s="4" t="s">
        <v>54</v>
      </c>
      <c r="B1" s="4" t="s">
        <v>1</v>
      </c>
      <c r="C1" s="4" t="s">
        <v>2</v>
      </c>
      <c r="D1" s="4" t="s">
        <v>3</v>
      </c>
      <c r="E1" s="4" t="s">
        <v>4</v>
      </c>
      <c r="F1" s="4" t="s">
        <v>5</v>
      </c>
      <c r="G1" s="4" t="s">
        <v>6</v>
      </c>
      <c r="H1" s="4" t="s">
        <v>7</v>
      </c>
      <c r="I1" s="3" t="s">
        <v>8</v>
      </c>
      <c r="J1" s="3" t="s">
        <v>9</v>
      </c>
      <c r="K1" s="4" t="s">
        <v>10</v>
      </c>
      <c r="L1" s="4" t="s">
        <v>11</v>
      </c>
      <c r="M1" s="51" t="s">
        <v>55</v>
      </c>
    </row>
    <row r="2" ht="69.0" customHeight="1">
      <c r="A2" s="20">
        <v>45316.0</v>
      </c>
      <c r="B2" s="130" t="s">
        <v>172</v>
      </c>
      <c r="C2" s="131" t="s">
        <v>36</v>
      </c>
      <c r="D2" s="140" t="s">
        <v>14</v>
      </c>
      <c r="E2" s="140" t="s">
        <v>64</v>
      </c>
      <c r="F2" s="8" t="s">
        <v>16</v>
      </c>
      <c r="G2" s="130" t="s">
        <v>412</v>
      </c>
      <c r="H2" s="146" t="s">
        <v>61</v>
      </c>
      <c r="I2" s="148" t="s">
        <v>66</v>
      </c>
      <c r="J2" s="138"/>
      <c r="K2" s="138"/>
      <c r="L2" s="138" t="s">
        <v>68</v>
      </c>
      <c r="M2" s="28"/>
      <c r="N2" s="29"/>
      <c r="O2" s="29"/>
      <c r="P2" s="29"/>
      <c r="Q2" s="29"/>
      <c r="R2" s="29"/>
      <c r="S2" s="29"/>
      <c r="T2" s="29"/>
      <c r="U2" s="29"/>
      <c r="V2" s="29"/>
      <c r="W2" s="29"/>
      <c r="X2" s="29"/>
      <c r="Y2" s="29"/>
      <c r="Z2" s="29"/>
    </row>
    <row r="3" ht="69.0" customHeight="1">
      <c r="A3" s="20">
        <v>45104.0</v>
      </c>
      <c r="B3" s="130" t="s">
        <v>25</v>
      </c>
      <c r="C3" s="8" t="s">
        <v>36</v>
      </c>
      <c r="D3" s="132" t="s">
        <v>14</v>
      </c>
      <c r="E3" s="132" t="s">
        <v>64</v>
      </c>
      <c r="F3" s="142" t="s">
        <v>64</v>
      </c>
      <c r="G3" s="155" t="s">
        <v>413</v>
      </c>
      <c r="H3" s="45"/>
      <c r="I3" s="175" t="s">
        <v>66</v>
      </c>
      <c r="J3" s="175"/>
      <c r="K3" s="144"/>
      <c r="L3" s="143" t="s">
        <v>68</v>
      </c>
      <c r="M3" s="28"/>
      <c r="N3" s="29"/>
      <c r="O3" s="29"/>
      <c r="P3" s="29"/>
      <c r="Q3" s="29"/>
      <c r="R3" s="29"/>
      <c r="S3" s="29"/>
      <c r="T3" s="29"/>
      <c r="U3" s="29"/>
      <c r="V3" s="29"/>
      <c r="W3" s="29"/>
      <c r="X3" s="29"/>
      <c r="Y3" s="29"/>
      <c r="Z3" s="29"/>
    </row>
    <row r="4" ht="246.75" customHeight="1">
      <c r="A4" s="20">
        <v>45022.0</v>
      </c>
      <c r="B4" s="130" t="s">
        <v>25</v>
      </c>
      <c r="C4" s="8" t="s">
        <v>26</v>
      </c>
      <c r="D4" s="132" t="s">
        <v>14</v>
      </c>
      <c r="E4" s="132" t="s">
        <v>22</v>
      </c>
      <c r="F4" s="142" t="s">
        <v>16</v>
      </c>
      <c r="G4" s="155" t="s">
        <v>414</v>
      </c>
      <c r="H4" s="158" t="s">
        <v>61</v>
      </c>
      <c r="I4" s="175" t="s">
        <v>67</v>
      </c>
      <c r="J4" s="175" t="s">
        <v>66</v>
      </c>
      <c r="K4" s="146" t="s">
        <v>415</v>
      </c>
      <c r="L4" s="143" t="s">
        <v>162</v>
      </c>
      <c r="M4" s="28"/>
      <c r="N4" s="29"/>
      <c r="O4" s="29"/>
      <c r="P4" s="29"/>
      <c r="Q4" s="29"/>
      <c r="R4" s="29"/>
      <c r="S4" s="29"/>
      <c r="T4" s="29"/>
      <c r="U4" s="29"/>
      <c r="V4" s="29"/>
      <c r="W4" s="29"/>
      <c r="X4" s="29"/>
      <c r="Y4" s="29"/>
      <c r="Z4" s="29"/>
    </row>
    <row r="5" ht="58.5" customHeight="1">
      <c r="A5" s="20">
        <v>45022.0</v>
      </c>
      <c r="B5" s="130" t="s">
        <v>25</v>
      </c>
      <c r="C5" s="8" t="s">
        <v>26</v>
      </c>
      <c r="D5" s="132" t="s">
        <v>14</v>
      </c>
      <c r="E5" s="132" t="s">
        <v>15</v>
      </c>
      <c r="F5" s="142" t="s">
        <v>16</v>
      </c>
      <c r="G5" s="155" t="s">
        <v>416</v>
      </c>
      <c r="H5" s="158" t="s">
        <v>61</v>
      </c>
      <c r="I5" s="175" t="s">
        <v>66</v>
      </c>
      <c r="J5" s="175" t="s">
        <v>67</v>
      </c>
      <c r="K5" s="146" t="s">
        <v>415</v>
      </c>
      <c r="L5" s="143" t="s">
        <v>71</v>
      </c>
      <c r="M5" s="28"/>
      <c r="N5" s="29"/>
      <c r="O5" s="29"/>
      <c r="P5" s="29"/>
      <c r="Q5" s="29"/>
      <c r="R5" s="29"/>
      <c r="S5" s="29"/>
      <c r="T5" s="29"/>
      <c r="U5" s="29"/>
      <c r="V5" s="29"/>
      <c r="W5" s="29"/>
      <c r="X5" s="29"/>
      <c r="Y5" s="29"/>
      <c r="Z5" s="29"/>
    </row>
    <row r="6" ht="122.25" customHeight="1">
      <c r="A6" s="20">
        <v>45054.0</v>
      </c>
      <c r="B6" s="130" t="s">
        <v>12</v>
      </c>
      <c r="C6" s="8" t="s">
        <v>26</v>
      </c>
      <c r="D6" s="132" t="s">
        <v>27</v>
      </c>
      <c r="E6" s="132" t="s">
        <v>22</v>
      </c>
      <c r="F6" s="176" t="s">
        <v>64</v>
      </c>
      <c r="G6" s="155" t="s">
        <v>417</v>
      </c>
      <c r="H6" s="158" t="s">
        <v>61</v>
      </c>
      <c r="I6" s="175" t="s">
        <v>115</v>
      </c>
      <c r="J6" s="175" t="s">
        <v>66</v>
      </c>
      <c r="K6" s="144"/>
      <c r="L6" s="143" t="s">
        <v>68</v>
      </c>
      <c r="M6" s="28"/>
      <c r="N6" s="29"/>
      <c r="O6" s="29"/>
      <c r="P6" s="29"/>
      <c r="Q6" s="29"/>
      <c r="R6" s="29"/>
      <c r="S6" s="29"/>
      <c r="T6" s="29"/>
      <c r="U6" s="29"/>
      <c r="V6" s="29"/>
      <c r="W6" s="29"/>
      <c r="X6" s="29"/>
      <c r="Y6" s="29"/>
      <c r="Z6" s="29"/>
    </row>
    <row r="7">
      <c r="A7" s="20">
        <v>45033.0</v>
      </c>
      <c r="B7" s="130" t="s">
        <v>25</v>
      </c>
      <c r="C7" s="8" t="s">
        <v>83</v>
      </c>
      <c r="D7" s="132" t="s">
        <v>27</v>
      </c>
      <c r="E7" s="132" t="s">
        <v>15</v>
      </c>
      <c r="F7" s="142" t="s">
        <v>16</v>
      </c>
      <c r="G7" s="155" t="s">
        <v>418</v>
      </c>
      <c r="H7" s="45"/>
      <c r="I7" s="175" t="s">
        <v>66</v>
      </c>
      <c r="J7" s="175"/>
      <c r="K7" s="146" t="s">
        <v>419</v>
      </c>
      <c r="L7" s="143" t="s">
        <v>71</v>
      </c>
      <c r="M7" s="28"/>
      <c r="N7" s="29"/>
      <c r="O7" s="29"/>
      <c r="P7" s="29"/>
      <c r="Q7" s="29"/>
      <c r="R7" s="29"/>
      <c r="S7" s="29"/>
      <c r="T7" s="29"/>
      <c r="U7" s="29"/>
      <c r="V7" s="29"/>
      <c r="W7" s="29"/>
      <c r="X7" s="29"/>
      <c r="Y7" s="29"/>
      <c r="Z7" s="29"/>
    </row>
    <row r="8">
      <c r="A8" s="20">
        <v>45006.0</v>
      </c>
      <c r="B8" s="130" t="s">
        <v>25</v>
      </c>
      <c r="C8" s="8" t="s">
        <v>57</v>
      </c>
      <c r="D8" s="132" t="s">
        <v>27</v>
      </c>
      <c r="E8" s="132" t="s">
        <v>15</v>
      </c>
      <c r="F8" s="142" t="s">
        <v>16</v>
      </c>
      <c r="G8" s="155" t="s">
        <v>420</v>
      </c>
      <c r="H8" s="146" t="s">
        <v>61</v>
      </c>
      <c r="I8" s="175" t="s">
        <v>334</v>
      </c>
      <c r="J8" s="175" t="s">
        <v>127</v>
      </c>
      <c r="K8" s="144"/>
      <c r="L8" s="143" t="s">
        <v>71</v>
      </c>
      <c r="M8" s="28"/>
      <c r="N8" s="29"/>
      <c r="O8" s="29"/>
      <c r="P8" s="29"/>
      <c r="Q8" s="29"/>
      <c r="R8" s="29"/>
      <c r="S8" s="29"/>
      <c r="T8" s="29"/>
      <c r="U8" s="29"/>
      <c r="V8" s="29"/>
      <c r="W8" s="29"/>
      <c r="X8" s="29"/>
      <c r="Y8" s="29"/>
      <c r="Z8" s="29"/>
    </row>
    <row r="9">
      <c r="A9" s="20">
        <v>44986.0</v>
      </c>
      <c r="B9" s="130" t="s">
        <v>19</v>
      </c>
      <c r="C9" s="8" t="s">
        <v>57</v>
      </c>
      <c r="D9" s="132" t="s">
        <v>58</v>
      </c>
      <c r="E9" s="132" t="s">
        <v>15</v>
      </c>
      <c r="F9" s="142" t="s">
        <v>16</v>
      </c>
      <c r="G9" s="130" t="s">
        <v>421</v>
      </c>
      <c r="H9" s="159" t="s">
        <v>61</v>
      </c>
      <c r="I9" s="175" t="s">
        <v>334</v>
      </c>
      <c r="J9" s="175"/>
      <c r="K9" s="146" t="s">
        <v>422</v>
      </c>
      <c r="L9" s="143" t="s">
        <v>144</v>
      </c>
      <c r="M9" s="28"/>
      <c r="N9" s="29"/>
      <c r="O9" s="29"/>
      <c r="P9" s="29"/>
      <c r="Q9" s="29"/>
      <c r="R9" s="29"/>
      <c r="S9" s="29"/>
      <c r="T9" s="29"/>
      <c r="U9" s="29"/>
      <c r="V9" s="29"/>
      <c r="W9" s="29"/>
      <c r="X9" s="29"/>
      <c r="Y9" s="29"/>
      <c r="Z9" s="29"/>
    </row>
    <row r="10">
      <c r="A10" s="20">
        <v>45019.0</v>
      </c>
      <c r="B10" s="130" t="s">
        <v>19</v>
      </c>
      <c r="C10" s="8" t="s">
        <v>76</v>
      </c>
      <c r="D10" s="132" t="s">
        <v>14</v>
      </c>
      <c r="E10" s="132" t="s">
        <v>15</v>
      </c>
      <c r="F10" s="142" t="s">
        <v>16</v>
      </c>
      <c r="G10" s="155" t="s">
        <v>423</v>
      </c>
      <c r="H10" s="146" t="s">
        <v>97</v>
      </c>
      <c r="I10" s="175" t="s">
        <v>346</v>
      </c>
      <c r="J10" s="175"/>
      <c r="K10" s="146" t="s">
        <v>424</v>
      </c>
      <c r="L10" s="143" t="s">
        <v>71</v>
      </c>
      <c r="M10" s="28"/>
      <c r="N10" s="29"/>
      <c r="O10" s="29"/>
      <c r="P10" s="29"/>
      <c r="Q10" s="29"/>
      <c r="R10" s="29"/>
      <c r="S10" s="29"/>
      <c r="T10" s="29"/>
      <c r="U10" s="29"/>
      <c r="V10" s="29"/>
      <c r="W10" s="29"/>
      <c r="X10" s="29"/>
      <c r="Y10" s="29"/>
      <c r="Z10" s="29"/>
    </row>
    <row r="11">
      <c r="A11" s="20">
        <v>45010.0</v>
      </c>
      <c r="B11" s="130" t="s">
        <v>43</v>
      </c>
      <c r="C11" s="8" t="s">
        <v>76</v>
      </c>
      <c r="D11" s="132" t="s">
        <v>14</v>
      </c>
      <c r="E11" s="132" t="s">
        <v>15</v>
      </c>
      <c r="F11" s="142" t="s">
        <v>16</v>
      </c>
      <c r="G11" s="155" t="s">
        <v>425</v>
      </c>
      <c r="H11" s="146" t="s">
        <v>97</v>
      </c>
      <c r="I11" s="175" t="s">
        <v>346</v>
      </c>
      <c r="J11" s="175"/>
      <c r="K11" s="144" t="s">
        <v>426</v>
      </c>
      <c r="L11" s="143" t="s">
        <v>68</v>
      </c>
      <c r="M11" s="28"/>
      <c r="N11" s="29"/>
      <c r="O11" s="29"/>
      <c r="P11" s="29"/>
      <c r="Q11" s="29"/>
      <c r="R11" s="29"/>
      <c r="S11" s="29"/>
      <c r="T11" s="29"/>
      <c r="U11" s="29"/>
      <c r="V11" s="29"/>
      <c r="W11" s="29"/>
      <c r="X11" s="29"/>
      <c r="Y11" s="29"/>
      <c r="Z11" s="29"/>
    </row>
    <row r="12">
      <c r="A12" s="20">
        <v>45006.0</v>
      </c>
      <c r="B12" s="130" t="s">
        <v>25</v>
      </c>
      <c r="C12" s="8" t="s">
        <v>57</v>
      </c>
      <c r="D12" s="132" t="s">
        <v>27</v>
      </c>
      <c r="E12" s="132" t="s">
        <v>64</v>
      </c>
      <c r="F12" s="142" t="s">
        <v>16</v>
      </c>
      <c r="G12" s="155" t="s">
        <v>427</v>
      </c>
      <c r="H12" s="146" t="s">
        <v>61</v>
      </c>
      <c r="I12" s="175" t="s">
        <v>79</v>
      </c>
      <c r="J12" s="175"/>
      <c r="K12" s="146" t="s">
        <v>61</v>
      </c>
      <c r="L12" s="143" t="s">
        <v>144</v>
      </c>
      <c r="M12" s="28"/>
      <c r="N12" s="29"/>
      <c r="O12" s="29"/>
      <c r="P12" s="29"/>
      <c r="Q12" s="29"/>
      <c r="R12" s="29"/>
      <c r="S12" s="29"/>
      <c r="T12" s="29"/>
      <c r="U12" s="29"/>
      <c r="V12" s="29"/>
      <c r="W12" s="29"/>
      <c r="X12" s="29"/>
      <c r="Y12" s="29"/>
      <c r="Z12" s="29"/>
    </row>
    <row r="13">
      <c r="A13" s="20">
        <v>45006.0</v>
      </c>
      <c r="B13" s="130" t="s">
        <v>25</v>
      </c>
      <c r="C13" s="8" t="s">
        <v>57</v>
      </c>
      <c r="D13" s="132" t="s">
        <v>27</v>
      </c>
      <c r="E13" s="132" t="s">
        <v>22</v>
      </c>
      <c r="F13" s="142" t="s">
        <v>16</v>
      </c>
      <c r="G13" s="155" t="s">
        <v>428</v>
      </c>
      <c r="H13" s="146" t="s">
        <v>61</v>
      </c>
      <c r="I13" s="175" t="s">
        <v>334</v>
      </c>
      <c r="J13" s="175" t="s">
        <v>66</v>
      </c>
      <c r="K13" s="146" t="s">
        <v>97</v>
      </c>
      <c r="L13" s="143" t="s">
        <v>167</v>
      </c>
      <c r="M13" s="28"/>
      <c r="N13" s="29"/>
      <c r="O13" s="29"/>
      <c r="P13" s="29"/>
      <c r="Q13" s="29"/>
      <c r="R13" s="29"/>
      <c r="S13" s="29"/>
      <c r="T13" s="29"/>
      <c r="U13" s="29"/>
      <c r="V13" s="29"/>
      <c r="W13" s="29"/>
      <c r="X13" s="29"/>
      <c r="Y13" s="29"/>
      <c r="Z13" s="29"/>
    </row>
    <row r="14">
      <c r="A14" s="20">
        <v>44991.0</v>
      </c>
      <c r="B14" s="130" t="s">
        <v>19</v>
      </c>
      <c r="C14" s="8" t="s">
        <v>57</v>
      </c>
      <c r="D14" s="132" t="s">
        <v>21</v>
      </c>
      <c r="E14" s="132" t="s">
        <v>15</v>
      </c>
      <c r="F14" s="142" t="s">
        <v>16</v>
      </c>
      <c r="G14" s="155" t="s">
        <v>429</v>
      </c>
      <c r="H14" s="146" t="s">
        <v>61</v>
      </c>
      <c r="I14" s="175" t="s">
        <v>334</v>
      </c>
      <c r="J14" s="175"/>
      <c r="K14" s="144"/>
      <c r="L14" s="143" t="s">
        <v>144</v>
      </c>
      <c r="M14" s="28"/>
      <c r="N14" s="29"/>
      <c r="O14" s="29"/>
      <c r="P14" s="29"/>
      <c r="Q14" s="29"/>
      <c r="R14" s="29"/>
      <c r="S14" s="29"/>
      <c r="T14" s="29"/>
      <c r="U14" s="29"/>
      <c r="V14" s="29"/>
      <c r="W14" s="29"/>
      <c r="X14" s="29"/>
      <c r="Y14" s="29"/>
      <c r="Z14" s="29"/>
    </row>
    <row r="15">
      <c r="A15" s="20">
        <v>44981.0</v>
      </c>
      <c r="B15" s="130" t="s">
        <v>19</v>
      </c>
      <c r="C15" s="8" t="s">
        <v>57</v>
      </c>
      <c r="D15" s="132" t="s">
        <v>21</v>
      </c>
      <c r="E15" s="132" t="s">
        <v>22</v>
      </c>
      <c r="F15" s="142" t="s">
        <v>16</v>
      </c>
      <c r="G15" s="130" t="s">
        <v>430</v>
      </c>
      <c r="H15" s="146" t="s">
        <v>61</v>
      </c>
      <c r="I15" s="175" t="s">
        <v>334</v>
      </c>
      <c r="J15" s="175"/>
      <c r="K15" s="144"/>
      <c r="L15" s="143" t="s">
        <v>71</v>
      </c>
      <c r="M15" s="28"/>
      <c r="N15" s="29"/>
      <c r="O15" s="29"/>
      <c r="P15" s="29"/>
      <c r="Q15" s="29"/>
      <c r="R15" s="29"/>
      <c r="S15" s="29"/>
      <c r="T15" s="29"/>
      <c r="U15" s="29"/>
      <c r="V15" s="29"/>
      <c r="W15" s="29"/>
      <c r="X15" s="29"/>
      <c r="Y15" s="29"/>
      <c r="Z15" s="29"/>
    </row>
    <row r="16" ht="112.5" customHeight="1">
      <c r="A16" s="20">
        <v>44960.0</v>
      </c>
      <c r="B16" s="130" t="s">
        <v>43</v>
      </c>
      <c r="C16" s="8" t="s">
        <v>76</v>
      </c>
      <c r="D16" s="132" t="s">
        <v>58</v>
      </c>
      <c r="E16" s="132" t="s">
        <v>22</v>
      </c>
      <c r="F16" s="142" t="s">
        <v>16</v>
      </c>
      <c r="G16" s="130" t="s">
        <v>431</v>
      </c>
      <c r="H16" s="146" t="s">
        <v>61</v>
      </c>
      <c r="I16" s="175" t="s">
        <v>79</v>
      </c>
      <c r="J16" s="175" t="s">
        <v>197</v>
      </c>
      <c r="K16" s="177" t="s">
        <v>432</v>
      </c>
      <c r="L16" s="143" t="s">
        <v>71</v>
      </c>
      <c r="M16" s="28"/>
      <c r="N16" s="29"/>
      <c r="O16" s="29"/>
      <c r="P16" s="29"/>
      <c r="Q16" s="29"/>
      <c r="R16" s="29"/>
      <c r="S16" s="29"/>
      <c r="T16" s="29"/>
      <c r="U16" s="29"/>
      <c r="V16" s="29"/>
      <c r="W16" s="29"/>
      <c r="X16" s="29"/>
      <c r="Y16" s="29"/>
      <c r="Z16" s="29"/>
    </row>
    <row r="17" ht="55.5" customHeight="1">
      <c r="A17" s="20">
        <v>44979.0</v>
      </c>
      <c r="B17" s="130" t="s">
        <v>19</v>
      </c>
      <c r="C17" s="8" t="s">
        <v>30</v>
      </c>
      <c r="D17" s="132" t="s">
        <v>27</v>
      </c>
      <c r="E17" s="132" t="s">
        <v>64</v>
      </c>
      <c r="F17" s="142" t="s">
        <v>16</v>
      </c>
      <c r="G17" s="130" t="s">
        <v>433</v>
      </c>
      <c r="H17" s="146" t="s">
        <v>434</v>
      </c>
      <c r="I17" s="175" t="s">
        <v>127</v>
      </c>
      <c r="J17" s="175"/>
      <c r="K17" s="138"/>
      <c r="L17" s="143" t="s">
        <v>68</v>
      </c>
      <c r="M17" s="28"/>
      <c r="N17" s="29"/>
      <c r="O17" s="29"/>
      <c r="P17" s="29"/>
      <c r="Q17" s="29"/>
      <c r="R17" s="29"/>
      <c r="S17" s="29"/>
      <c r="T17" s="29"/>
      <c r="U17" s="29"/>
      <c r="V17" s="29"/>
      <c r="W17" s="29"/>
      <c r="X17" s="29"/>
      <c r="Y17" s="29"/>
      <c r="Z17" s="29"/>
    </row>
    <row r="18" ht="55.5" customHeight="1">
      <c r="A18" s="20">
        <v>44979.0</v>
      </c>
      <c r="B18" s="130" t="s">
        <v>19</v>
      </c>
      <c r="C18" s="8" t="s">
        <v>83</v>
      </c>
      <c r="D18" s="132" t="s">
        <v>27</v>
      </c>
      <c r="E18" s="132" t="s">
        <v>64</v>
      </c>
      <c r="F18" s="142" t="s">
        <v>16</v>
      </c>
      <c r="G18" s="130" t="s">
        <v>435</v>
      </c>
      <c r="H18" s="146" t="s">
        <v>436</v>
      </c>
      <c r="I18" s="175" t="s">
        <v>66</v>
      </c>
      <c r="J18" s="175"/>
      <c r="K18" s="146" t="s">
        <v>437</v>
      </c>
      <c r="L18" s="143" t="s">
        <v>71</v>
      </c>
      <c r="M18" s="28"/>
      <c r="N18" s="29"/>
      <c r="O18" s="29"/>
      <c r="P18" s="29"/>
      <c r="Q18" s="29"/>
      <c r="R18" s="29"/>
      <c r="S18" s="29"/>
      <c r="T18" s="29"/>
      <c r="U18" s="29"/>
      <c r="V18" s="29"/>
      <c r="W18" s="29"/>
      <c r="X18" s="29"/>
      <c r="Y18" s="29"/>
      <c r="Z18" s="29"/>
    </row>
    <row r="19" ht="75.0" customHeight="1">
      <c r="A19" s="20">
        <v>44984.0</v>
      </c>
      <c r="B19" s="130" t="s">
        <v>19</v>
      </c>
      <c r="C19" s="8" t="s">
        <v>36</v>
      </c>
      <c r="D19" s="132" t="s">
        <v>27</v>
      </c>
      <c r="E19" s="132" t="s">
        <v>64</v>
      </c>
      <c r="F19" s="142" t="s">
        <v>16</v>
      </c>
      <c r="G19" s="130" t="s">
        <v>438</v>
      </c>
      <c r="H19" s="178" t="s">
        <v>439</v>
      </c>
      <c r="I19" s="175" t="s">
        <v>66</v>
      </c>
      <c r="J19" s="175"/>
      <c r="K19" s="144"/>
      <c r="L19" s="143" t="s">
        <v>71</v>
      </c>
      <c r="M19" s="28"/>
      <c r="N19" s="29"/>
      <c r="O19" s="29"/>
      <c r="P19" s="29"/>
      <c r="Q19" s="29"/>
      <c r="R19" s="29"/>
      <c r="S19" s="29"/>
      <c r="T19" s="29"/>
      <c r="U19" s="29"/>
      <c r="V19" s="29"/>
      <c r="W19" s="29"/>
      <c r="X19" s="29"/>
      <c r="Y19" s="29"/>
      <c r="Z19" s="29"/>
    </row>
    <row r="20">
      <c r="A20" s="20">
        <v>44946.0</v>
      </c>
      <c r="B20" s="169" t="s">
        <v>43</v>
      </c>
      <c r="C20" s="8" t="s">
        <v>57</v>
      </c>
      <c r="D20" s="132" t="s">
        <v>21</v>
      </c>
      <c r="E20" s="140" t="s">
        <v>22</v>
      </c>
      <c r="F20" s="142" t="s">
        <v>16</v>
      </c>
      <c r="G20" s="155" t="s">
        <v>440</v>
      </c>
      <c r="H20" s="146" t="s">
        <v>61</v>
      </c>
      <c r="I20" s="175" t="s">
        <v>334</v>
      </c>
      <c r="J20" s="175"/>
      <c r="K20" s="146" t="s">
        <v>422</v>
      </c>
      <c r="L20" s="143" t="s">
        <v>167</v>
      </c>
      <c r="M20" s="28"/>
      <c r="N20" s="29"/>
      <c r="O20" s="29"/>
      <c r="P20" s="29"/>
      <c r="Q20" s="29"/>
      <c r="R20" s="29"/>
      <c r="S20" s="29"/>
      <c r="T20" s="29"/>
      <c r="U20" s="29"/>
      <c r="V20" s="29"/>
      <c r="W20" s="29"/>
      <c r="X20" s="29"/>
      <c r="Y20" s="29"/>
      <c r="Z20" s="29"/>
    </row>
    <row r="21">
      <c r="A21" s="20">
        <v>44935.0</v>
      </c>
      <c r="B21" s="130" t="s">
        <v>43</v>
      </c>
      <c r="C21" s="8" t="s">
        <v>76</v>
      </c>
      <c r="D21" s="132" t="s">
        <v>58</v>
      </c>
      <c r="E21" s="132" t="s">
        <v>22</v>
      </c>
      <c r="F21" s="179" t="s">
        <v>16</v>
      </c>
      <c r="G21" s="155" t="s">
        <v>441</v>
      </c>
      <c r="H21" s="26" t="s">
        <v>61</v>
      </c>
      <c r="I21" s="56" t="s">
        <v>127</v>
      </c>
      <c r="J21" s="56" t="s">
        <v>70</v>
      </c>
      <c r="K21" s="180"/>
      <c r="L21" s="27" t="s">
        <v>71</v>
      </c>
      <c r="M21" s="181"/>
    </row>
    <row r="22" ht="88.5" customHeight="1">
      <c r="A22" s="20">
        <v>44956.0</v>
      </c>
      <c r="B22" s="169" t="s">
        <v>43</v>
      </c>
      <c r="C22" s="8" t="s">
        <v>30</v>
      </c>
      <c r="D22" s="132" t="s">
        <v>58</v>
      </c>
      <c r="E22" s="132" t="s">
        <v>64</v>
      </c>
      <c r="F22" s="142" t="s">
        <v>16</v>
      </c>
      <c r="G22" s="130" t="s">
        <v>442</v>
      </c>
      <c r="H22" s="144"/>
      <c r="I22" s="175" t="s">
        <v>115</v>
      </c>
      <c r="J22" s="175" t="s">
        <v>127</v>
      </c>
      <c r="K22" s="138"/>
      <c r="L22" s="143" t="s">
        <v>68</v>
      </c>
      <c r="M22" s="28"/>
      <c r="N22" s="29"/>
      <c r="O22" s="29"/>
      <c r="P22" s="29"/>
      <c r="Q22" s="29"/>
      <c r="R22" s="29"/>
      <c r="S22" s="29"/>
      <c r="T22" s="29"/>
      <c r="U22" s="29"/>
      <c r="V22" s="29"/>
      <c r="W22" s="29"/>
      <c r="X22" s="29"/>
      <c r="Y22" s="29"/>
      <c r="Z22" s="29"/>
    </row>
    <row r="23" ht="69.0" customHeight="1">
      <c r="A23" s="20">
        <v>44960.0</v>
      </c>
      <c r="B23" s="169" t="s">
        <v>43</v>
      </c>
      <c r="C23" s="8" t="s">
        <v>26</v>
      </c>
      <c r="D23" s="132" t="s">
        <v>95</v>
      </c>
      <c r="E23" s="132" t="s">
        <v>22</v>
      </c>
      <c r="F23" s="142" t="s">
        <v>16</v>
      </c>
      <c r="G23" s="130" t="s">
        <v>443</v>
      </c>
      <c r="H23" s="146" t="s">
        <v>61</v>
      </c>
      <c r="I23" s="175" t="s">
        <v>66</v>
      </c>
      <c r="J23" s="175" t="s">
        <v>67</v>
      </c>
      <c r="K23" s="178" t="s">
        <v>444</v>
      </c>
      <c r="L23" s="143" t="s">
        <v>71</v>
      </c>
      <c r="M23" s="28"/>
      <c r="N23" s="29"/>
      <c r="O23" s="29"/>
      <c r="P23" s="29"/>
      <c r="Q23" s="29"/>
      <c r="R23" s="29"/>
      <c r="S23" s="29"/>
      <c r="T23" s="29"/>
      <c r="U23" s="29"/>
      <c r="V23" s="29"/>
      <c r="W23" s="29"/>
      <c r="X23" s="29"/>
      <c r="Y23" s="29"/>
      <c r="Z23" s="29"/>
    </row>
    <row r="24">
      <c r="A24" s="20">
        <v>44956.0</v>
      </c>
      <c r="B24" s="169" t="s">
        <v>43</v>
      </c>
      <c r="C24" s="8" t="s">
        <v>13</v>
      </c>
      <c r="D24" s="132" t="s">
        <v>58</v>
      </c>
      <c r="E24" s="140" t="s">
        <v>22</v>
      </c>
      <c r="F24" s="142" t="s">
        <v>16</v>
      </c>
      <c r="G24" s="130" t="s">
        <v>445</v>
      </c>
      <c r="H24" s="146" t="s">
        <v>61</v>
      </c>
      <c r="I24" s="175" t="s">
        <v>79</v>
      </c>
      <c r="J24" s="175" t="s">
        <v>66</v>
      </c>
      <c r="K24" s="138"/>
      <c r="L24" s="143" t="s">
        <v>68</v>
      </c>
      <c r="M24" s="28"/>
      <c r="N24" s="29"/>
      <c r="O24" s="29"/>
      <c r="P24" s="29"/>
      <c r="Q24" s="29"/>
      <c r="R24" s="29"/>
      <c r="S24" s="29"/>
      <c r="T24" s="29"/>
      <c r="U24" s="29"/>
      <c r="V24" s="29"/>
      <c r="W24" s="29"/>
      <c r="X24" s="29"/>
      <c r="Y24" s="29"/>
      <c r="Z24" s="29"/>
    </row>
    <row r="25">
      <c r="A25" s="20">
        <v>44946.0</v>
      </c>
      <c r="B25" s="169" t="s">
        <v>43</v>
      </c>
      <c r="C25" s="8" t="s">
        <v>57</v>
      </c>
      <c r="D25" s="132" t="s">
        <v>21</v>
      </c>
      <c r="E25" s="140" t="s">
        <v>22</v>
      </c>
      <c r="F25" s="142" t="s">
        <v>16</v>
      </c>
      <c r="G25" s="155" t="s">
        <v>446</v>
      </c>
      <c r="H25" s="146" t="s">
        <v>61</v>
      </c>
      <c r="I25" s="175" t="s">
        <v>334</v>
      </c>
      <c r="J25" s="175"/>
      <c r="K25" s="146" t="s">
        <v>422</v>
      </c>
      <c r="L25" s="143" t="s">
        <v>144</v>
      </c>
      <c r="M25" s="28"/>
      <c r="N25" s="29"/>
      <c r="O25" s="29"/>
      <c r="P25" s="29"/>
      <c r="Q25" s="29"/>
      <c r="R25" s="29"/>
      <c r="S25" s="29"/>
      <c r="T25" s="29"/>
      <c r="U25" s="29"/>
      <c r="V25" s="29"/>
      <c r="W25" s="29"/>
      <c r="X25" s="29"/>
      <c r="Y25" s="29"/>
      <c r="Z25" s="29"/>
    </row>
    <row r="26" ht="135.75" customHeight="1">
      <c r="A26" s="20">
        <v>44946.0</v>
      </c>
      <c r="B26" s="169" t="s">
        <v>43</v>
      </c>
      <c r="C26" s="8" t="s">
        <v>57</v>
      </c>
      <c r="D26" s="132" t="s">
        <v>21</v>
      </c>
      <c r="E26" s="140" t="s">
        <v>22</v>
      </c>
      <c r="F26" s="142" t="s">
        <v>16</v>
      </c>
      <c r="G26" s="130" t="s">
        <v>447</v>
      </c>
      <c r="H26" s="146" t="s">
        <v>61</v>
      </c>
      <c r="I26" s="175" t="s">
        <v>334</v>
      </c>
      <c r="J26" s="175" t="s">
        <v>115</v>
      </c>
      <c r="K26" s="146" t="s">
        <v>422</v>
      </c>
      <c r="L26" s="143" t="s">
        <v>71</v>
      </c>
      <c r="M26" s="28"/>
      <c r="N26" s="29"/>
      <c r="O26" s="29"/>
      <c r="P26" s="29"/>
      <c r="Q26" s="29"/>
      <c r="R26" s="29"/>
      <c r="S26" s="29"/>
      <c r="T26" s="29"/>
      <c r="U26" s="29"/>
      <c r="V26" s="29"/>
      <c r="W26" s="29"/>
      <c r="X26" s="29"/>
      <c r="Y26" s="29"/>
      <c r="Z26" s="29"/>
    </row>
    <row r="27">
      <c r="A27" s="20">
        <v>44935.0</v>
      </c>
      <c r="B27" s="130" t="s">
        <v>43</v>
      </c>
      <c r="C27" s="8" t="s">
        <v>57</v>
      </c>
      <c r="D27" s="132" t="s">
        <v>58</v>
      </c>
      <c r="E27" s="132" t="s">
        <v>22</v>
      </c>
      <c r="F27" s="179" t="s">
        <v>16</v>
      </c>
      <c r="G27" s="155" t="s">
        <v>448</v>
      </c>
      <c r="H27" s="34"/>
      <c r="I27" s="56" t="s">
        <v>334</v>
      </c>
      <c r="J27" s="56" t="s">
        <v>115</v>
      </c>
      <c r="K27" s="180"/>
      <c r="L27" s="27" t="s">
        <v>144</v>
      </c>
      <c r="M27" s="181"/>
    </row>
    <row r="28">
      <c r="A28" s="20">
        <v>44935.0</v>
      </c>
      <c r="B28" s="130" t="s">
        <v>43</v>
      </c>
      <c r="C28" s="8" t="s">
        <v>26</v>
      </c>
      <c r="D28" s="132" t="s">
        <v>27</v>
      </c>
      <c r="E28" s="132" t="s">
        <v>22</v>
      </c>
      <c r="F28" s="179" t="s">
        <v>16</v>
      </c>
      <c r="G28" s="155" t="s">
        <v>449</v>
      </c>
      <c r="H28" s="26" t="s">
        <v>61</v>
      </c>
      <c r="I28" s="56" t="s">
        <v>66</v>
      </c>
      <c r="J28" s="56" t="s">
        <v>67</v>
      </c>
      <c r="K28" s="180"/>
      <c r="L28" s="27" t="s">
        <v>167</v>
      </c>
      <c r="M28" s="181"/>
    </row>
    <row r="29">
      <c r="A29" s="20">
        <v>44938.0</v>
      </c>
      <c r="B29" s="169" t="s">
        <v>43</v>
      </c>
      <c r="C29" s="8" t="s">
        <v>49</v>
      </c>
      <c r="D29" s="140" t="s">
        <v>58</v>
      </c>
      <c r="E29" s="140" t="s">
        <v>22</v>
      </c>
      <c r="F29" s="142" t="s">
        <v>16</v>
      </c>
      <c r="G29" s="130" t="s">
        <v>450</v>
      </c>
      <c r="H29" s="146" t="s">
        <v>61</v>
      </c>
      <c r="I29" s="148" t="s">
        <v>115</v>
      </c>
      <c r="J29" s="148"/>
      <c r="K29" s="138"/>
      <c r="L29" s="143" t="s">
        <v>167</v>
      </c>
      <c r="M29" s="28"/>
      <c r="N29" s="29"/>
      <c r="O29" s="29"/>
      <c r="P29" s="29"/>
      <c r="Q29" s="29"/>
      <c r="R29" s="29"/>
      <c r="S29" s="29"/>
      <c r="T29" s="29"/>
      <c r="U29" s="29"/>
      <c r="V29" s="29"/>
      <c r="W29" s="29"/>
      <c r="X29" s="29"/>
      <c r="Y29" s="29"/>
      <c r="Z29" s="29"/>
    </row>
    <row r="30">
      <c r="A30" s="20">
        <v>44935.0</v>
      </c>
      <c r="B30" s="169" t="s">
        <v>43</v>
      </c>
      <c r="C30" s="8" t="s">
        <v>13</v>
      </c>
      <c r="D30" s="140" t="s">
        <v>58</v>
      </c>
      <c r="E30" s="140" t="s">
        <v>22</v>
      </c>
      <c r="F30" s="142" t="s">
        <v>16</v>
      </c>
      <c r="G30" s="130" t="s">
        <v>451</v>
      </c>
      <c r="H30" s="159" t="s">
        <v>61</v>
      </c>
      <c r="I30" s="175" t="s">
        <v>79</v>
      </c>
      <c r="J30" s="148"/>
      <c r="K30" s="138"/>
      <c r="L30" s="143" t="s">
        <v>71</v>
      </c>
      <c r="M30" s="28"/>
      <c r="N30" s="29"/>
      <c r="O30" s="29"/>
      <c r="P30" s="29"/>
      <c r="Q30" s="29"/>
      <c r="R30" s="29"/>
      <c r="S30" s="29"/>
      <c r="T30" s="29"/>
      <c r="U30" s="29"/>
      <c r="V30" s="29"/>
      <c r="W30" s="29"/>
      <c r="X30" s="29"/>
      <c r="Y30" s="29"/>
      <c r="Z30" s="29"/>
    </row>
    <row r="31">
      <c r="A31" s="20">
        <v>44937.0</v>
      </c>
      <c r="B31" s="169" t="s">
        <v>43</v>
      </c>
      <c r="C31" s="8" t="s">
        <v>76</v>
      </c>
      <c r="D31" s="140" t="s">
        <v>58</v>
      </c>
      <c r="E31" s="132" t="s">
        <v>64</v>
      </c>
      <c r="F31" s="142" t="s">
        <v>16</v>
      </c>
      <c r="G31" s="130" t="s">
        <v>452</v>
      </c>
      <c r="H31" s="138"/>
      <c r="I31" s="175" t="s">
        <v>346</v>
      </c>
      <c r="J31" s="148"/>
      <c r="K31" s="138"/>
      <c r="L31" s="143" t="s">
        <v>68</v>
      </c>
      <c r="M31" s="28"/>
      <c r="N31" s="29"/>
      <c r="O31" s="29"/>
      <c r="P31" s="29"/>
      <c r="Q31" s="29"/>
      <c r="R31" s="29"/>
      <c r="S31" s="29"/>
      <c r="T31" s="29"/>
      <c r="U31" s="29"/>
      <c r="V31" s="29"/>
      <c r="W31" s="29"/>
      <c r="X31" s="29"/>
      <c r="Y31" s="29"/>
      <c r="Z31" s="29"/>
    </row>
    <row r="32">
      <c r="A32" s="20">
        <v>44937.0</v>
      </c>
      <c r="B32" s="169" t="s">
        <v>43</v>
      </c>
      <c r="C32" s="8" t="s">
        <v>36</v>
      </c>
      <c r="D32" s="140" t="s">
        <v>58</v>
      </c>
      <c r="E32" s="140" t="s">
        <v>22</v>
      </c>
      <c r="F32" s="142" t="s">
        <v>16</v>
      </c>
      <c r="G32" s="130" t="s">
        <v>453</v>
      </c>
      <c r="H32" s="146" t="s">
        <v>61</v>
      </c>
      <c r="I32" s="175" t="s">
        <v>66</v>
      </c>
      <c r="J32" s="148"/>
      <c r="K32" s="138"/>
      <c r="L32" s="143" t="s">
        <v>71</v>
      </c>
      <c r="M32" s="28"/>
      <c r="N32" s="29"/>
      <c r="O32" s="29"/>
      <c r="P32" s="29"/>
      <c r="Q32" s="29"/>
      <c r="R32" s="29"/>
      <c r="S32" s="29"/>
      <c r="T32" s="29"/>
      <c r="U32" s="29"/>
      <c r="V32" s="29"/>
      <c r="W32" s="29"/>
      <c r="X32" s="29"/>
      <c r="Y32" s="29"/>
      <c r="Z32" s="29"/>
    </row>
    <row r="33">
      <c r="A33" s="20">
        <v>44935.0</v>
      </c>
      <c r="B33" s="130" t="s">
        <v>43</v>
      </c>
      <c r="C33" s="8" t="s">
        <v>26</v>
      </c>
      <c r="D33" s="132" t="s">
        <v>58</v>
      </c>
      <c r="E33" s="132" t="s">
        <v>64</v>
      </c>
      <c r="F33" s="179" t="s">
        <v>16</v>
      </c>
      <c r="G33" s="155" t="s">
        <v>454</v>
      </c>
      <c r="H33" s="34"/>
      <c r="I33" s="56" t="s">
        <v>70</v>
      </c>
      <c r="J33" s="56"/>
      <c r="K33" s="180"/>
      <c r="L33" s="27" t="s">
        <v>71</v>
      </c>
      <c r="M33" s="181"/>
    </row>
    <row r="34">
      <c r="A34" s="20">
        <v>44935.0</v>
      </c>
      <c r="B34" s="130" t="s">
        <v>43</v>
      </c>
      <c r="C34" s="8" t="s">
        <v>30</v>
      </c>
      <c r="D34" s="132" t="s">
        <v>58</v>
      </c>
      <c r="E34" s="132" t="s">
        <v>64</v>
      </c>
      <c r="F34" s="179" t="s">
        <v>16</v>
      </c>
      <c r="G34" s="155" t="s">
        <v>455</v>
      </c>
      <c r="H34" s="26" t="s">
        <v>61</v>
      </c>
      <c r="I34" s="56" t="s">
        <v>127</v>
      </c>
      <c r="J34" s="56" t="s">
        <v>70</v>
      </c>
      <c r="K34" s="180"/>
      <c r="L34" s="27" t="s">
        <v>71</v>
      </c>
      <c r="M34" s="181"/>
    </row>
    <row r="35">
      <c r="A35" s="20">
        <v>44903.0</v>
      </c>
      <c r="B35" s="130" t="s">
        <v>56</v>
      </c>
      <c r="C35" s="8" t="s">
        <v>30</v>
      </c>
      <c r="D35" s="132" t="s">
        <v>44</v>
      </c>
      <c r="E35" s="132" t="s">
        <v>22</v>
      </c>
      <c r="F35" s="179" t="s">
        <v>16</v>
      </c>
      <c r="G35" s="155" t="s">
        <v>456</v>
      </c>
      <c r="H35" s="34"/>
      <c r="I35" s="56" t="s">
        <v>127</v>
      </c>
      <c r="J35" s="56"/>
      <c r="K35" s="180"/>
      <c r="L35" s="27" t="s">
        <v>68</v>
      </c>
      <c r="M35" s="181"/>
    </row>
    <row r="36">
      <c r="A36" s="20">
        <v>44900.0</v>
      </c>
      <c r="B36" s="130" t="s">
        <v>56</v>
      </c>
      <c r="C36" s="8" t="s">
        <v>20</v>
      </c>
      <c r="D36" s="132" t="s">
        <v>58</v>
      </c>
      <c r="E36" s="132" t="s">
        <v>22</v>
      </c>
      <c r="F36" s="179" t="s">
        <v>16</v>
      </c>
      <c r="G36" s="155" t="s">
        <v>457</v>
      </c>
      <c r="H36" s="26" t="s">
        <v>97</v>
      </c>
      <c r="I36" s="56" t="s">
        <v>67</v>
      </c>
      <c r="J36" s="56" t="s">
        <v>66</v>
      </c>
      <c r="K36" s="180"/>
      <c r="L36" s="27" t="s">
        <v>144</v>
      </c>
      <c r="M36" s="181"/>
    </row>
    <row r="37">
      <c r="A37" s="20">
        <v>44900.0</v>
      </c>
      <c r="B37" s="130" t="s">
        <v>56</v>
      </c>
      <c r="C37" s="8" t="s">
        <v>20</v>
      </c>
      <c r="D37" s="132" t="s">
        <v>27</v>
      </c>
      <c r="E37" s="132" t="s">
        <v>22</v>
      </c>
      <c r="F37" s="179" t="s">
        <v>16</v>
      </c>
      <c r="G37" s="155" t="s">
        <v>458</v>
      </c>
      <c r="H37" s="26" t="s">
        <v>61</v>
      </c>
      <c r="I37" s="56" t="s">
        <v>66</v>
      </c>
      <c r="J37" s="56"/>
      <c r="K37" s="180"/>
      <c r="L37" s="27" t="s">
        <v>71</v>
      </c>
      <c r="M37" s="181"/>
    </row>
    <row r="38">
      <c r="A38" s="20">
        <v>44900.0</v>
      </c>
      <c r="B38" s="130" t="s">
        <v>56</v>
      </c>
      <c r="C38" s="8" t="s">
        <v>49</v>
      </c>
      <c r="D38" s="132" t="s">
        <v>58</v>
      </c>
      <c r="E38" s="132" t="s">
        <v>22</v>
      </c>
      <c r="F38" s="179" t="s">
        <v>16</v>
      </c>
      <c r="G38" s="153" t="s">
        <v>459</v>
      </c>
      <c r="H38" s="34"/>
      <c r="I38" s="56" t="s">
        <v>115</v>
      </c>
      <c r="J38" s="56"/>
      <c r="K38" s="180"/>
      <c r="L38" s="27" t="s">
        <v>162</v>
      </c>
      <c r="M38" s="181"/>
    </row>
    <row r="39">
      <c r="A39" s="20">
        <v>44894.0</v>
      </c>
      <c r="B39" s="130" t="s">
        <v>56</v>
      </c>
      <c r="C39" s="8" t="s">
        <v>76</v>
      </c>
      <c r="D39" s="132" t="s">
        <v>44</v>
      </c>
      <c r="E39" s="132" t="s">
        <v>22</v>
      </c>
      <c r="F39" s="179" t="s">
        <v>16</v>
      </c>
      <c r="G39" s="155" t="s">
        <v>460</v>
      </c>
      <c r="H39" s="26" t="s">
        <v>97</v>
      </c>
      <c r="I39" s="56" t="s">
        <v>346</v>
      </c>
      <c r="J39" s="56"/>
      <c r="K39" s="180"/>
      <c r="L39" s="27" t="s">
        <v>71</v>
      </c>
      <c r="M39" s="181"/>
    </row>
    <row r="40">
      <c r="A40" s="20">
        <v>44903.0</v>
      </c>
      <c r="B40" s="130" t="s">
        <v>56</v>
      </c>
      <c r="C40" s="8" t="s">
        <v>57</v>
      </c>
      <c r="D40" s="132" t="s">
        <v>21</v>
      </c>
      <c r="E40" s="132" t="s">
        <v>64</v>
      </c>
      <c r="F40" s="179" t="s">
        <v>16</v>
      </c>
      <c r="G40" s="155" t="s">
        <v>461</v>
      </c>
      <c r="H40" s="34"/>
      <c r="I40" s="56" t="s">
        <v>334</v>
      </c>
      <c r="J40" s="56"/>
      <c r="K40" s="180"/>
      <c r="L40" s="27" t="s">
        <v>68</v>
      </c>
      <c r="M40" s="181"/>
    </row>
    <row r="41">
      <c r="A41" s="20">
        <v>44903.0</v>
      </c>
      <c r="B41" s="130" t="s">
        <v>56</v>
      </c>
      <c r="C41" s="8" t="s">
        <v>30</v>
      </c>
      <c r="D41" s="132" t="s">
        <v>77</v>
      </c>
      <c r="E41" s="132" t="s">
        <v>64</v>
      </c>
      <c r="F41" s="179" t="s">
        <v>16</v>
      </c>
      <c r="G41" s="155" t="s">
        <v>462</v>
      </c>
      <c r="H41" s="34"/>
      <c r="I41" s="56" t="s">
        <v>463</v>
      </c>
      <c r="J41" s="56" t="s">
        <v>66</v>
      </c>
      <c r="K41" s="180"/>
      <c r="L41" s="27" t="s">
        <v>63</v>
      </c>
      <c r="M41" s="181"/>
    </row>
    <row r="42">
      <c r="A42" s="20">
        <v>44900.0</v>
      </c>
      <c r="B42" s="130" t="s">
        <v>56</v>
      </c>
      <c r="C42" s="8" t="s">
        <v>20</v>
      </c>
      <c r="D42" s="132" t="s">
        <v>58</v>
      </c>
      <c r="E42" s="132" t="s">
        <v>22</v>
      </c>
      <c r="F42" s="179" t="s">
        <v>16</v>
      </c>
      <c r="G42" s="155" t="s">
        <v>464</v>
      </c>
      <c r="H42" s="182" t="s">
        <v>465</v>
      </c>
      <c r="I42" s="56" t="s">
        <v>66</v>
      </c>
      <c r="J42" s="56"/>
      <c r="K42" s="180"/>
      <c r="L42" s="27" t="s">
        <v>71</v>
      </c>
      <c r="M42" s="181"/>
    </row>
    <row r="43">
      <c r="A43" s="20">
        <v>44886.0</v>
      </c>
      <c r="B43" s="130" t="s">
        <v>56</v>
      </c>
      <c r="C43" s="8" t="s">
        <v>371</v>
      </c>
      <c r="D43" s="132" t="s">
        <v>27</v>
      </c>
      <c r="E43" s="132" t="s">
        <v>22</v>
      </c>
      <c r="F43" s="179" t="s">
        <v>16</v>
      </c>
      <c r="G43" s="155" t="s">
        <v>466</v>
      </c>
      <c r="H43" s="26" t="s">
        <v>61</v>
      </c>
      <c r="I43" s="56" t="s">
        <v>467</v>
      </c>
      <c r="J43" s="56" t="s">
        <v>308</v>
      </c>
      <c r="K43" s="180"/>
      <c r="L43" s="27" t="s">
        <v>167</v>
      </c>
      <c r="M43" s="181"/>
    </row>
    <row r="44">
      <c r="A44" s="20">
        <v>44855.0</v>
      </c>
      <c r="B44" s="130" t="s">
        <v>121</v>
      </c>
      <c r="C44" s="8" t="s">
        <v>76</v>
      </c>
      <c r="D44" s="132" t="s">
        <v>77</v>
      </c>
      <c r="E44" s="132" t="s">
        <v>22</v>
      </c>
      <c r="F44" s="179" t="s">
        <v>16</v>
      </c>
      <c r="G44" s="155" t="s">
        <v>468</v>
      </c>
      <c r="H44" s="34"/>
      <c r="I44" s="56" t="s">
        <v>346</v>
      </c>
      <c r="J44" s="56"/>
      <c r="K44" s="180"/>
      <c r="L44" s="27" t="s">
        <v>71</v>
      </c>
      <c r="M44" s="181"/>
    </row>
    <row r="45">
      <c r="A45" s="20">
        <v>44855.0</v>
      </c>
      <c r="B45" s="130" t="s">
        <v>121</v>
      </c>
      <c r="C45" s="8" t="s">
        <v>36</v>
      </c>
      <c r="D45" s="132" t="s">
        <v>77</v>
      </c>
      <c r="E45" s="132" t="s">
        <v>22</v>
      </c>
      <c r="F45" s="179" t="s">
        <v>16</v>
      </c>
      <c r="G45" s="155" t="s">
        <v>469</v>
      </c>
      <c r="H45" s="26" t="s">
        <v>97</v>
      </c>
      <c r="I45" s="56" t="s">
        <v>66</v>
      </c>
      <c r="J45" s="56"/>
      <c r="K45" s="180"/>
      <c r="L45" s="27" t="s">
        <v>63</v>
      </c>
      <c r="M45" s="181"/>
    </row>
    <row r="46">
      <c r="A46" s="20">
        <v>44855.0</v>
      </c>
      <c r="B46" s="130" t="s">
        <v>121</v>
      </c>
      <c r="C46" s="8" t="s">
        <v>36</v>
      </c>
      <c r="D46" s="132" t="s">
        <v>77</v>
      </c>
      <c r="E46" s="132" t="s">
        <v>22</v>
      </c>
      <c r="F46" s="179" t="s">
        <v>16</v>
      </c>
      <c r="G46" s="155" t="s">
        <v>470</v>
      </c>
      <c r="H46" s="26" t="s">
        <v>97</v>
      </c>
      <c r="I46" s="56" t="s">
        <v>66</v>
      </c>
      <c r="J46" s="56"/>
      <c r="K46" s="180"/>
      <c r="L46" s="27" t="s">
        <v>63</v>
      </c>
      <c r="M46" s="181"/>
    </row>
    <row r="47">
      <c r="A47" s="20">
        <v>44855.0</v>
      </c>
      <c r="B47" s="130" t="s">
        <v>121</v>
      </c>
      <c r="C47" s="8" t="s">
        <v>83</v>
      </c>
      <c r="D47" s="132" t="s">
        <v>77</v>
      </c>
      <c r="E47" s="132" t="s">
        <v>22</v>
      </c>
      <c r="F47" s="179" t="s">
        <v>16</v>
      </c>
      <c r="G47" s="155" t="s">
        <v>471</v>
      </c>
      <c r="H47" s="26" t="s">
        <v>97</v>
      </c>
      <c r="I47" s="56" t="s">
        <v>127</v>
      </c>
      <c r="J47" s="56" t="s">
        <v>66</v>
      </c>
      <c r="K47" s="180"/>
      <c r="L47" s="27" t="s">
        <v>63</v>
      </c>
      <c r="M47" s="181"/>
    </row>
    <row r="48" ht="56.25" customHeight="1">
      <c r="A48" s="20"/>
      <c r="B48" s="130"/>
      <c r="C48" s="8"/>
      <c r="D48" s="132"/>
      <c r="E48" s="132"/>
      <c r="F48" s="179"/>
      <c r="G48" s="155" t="s">
        <v>102</v>
      </c>
      <c r="H48" s="180"/>
      <c r="I48" s="56"/>
      <c r="J48" s="56"/>
      <c r="K48" s="180"/>
      <c r="L48" s="27"/>
      <c r="M48" s="181"/>
    </row>
    <row r="49" ht="56.25" customHeight="1">
      <c r="A49" s="20"/>
      <c r="B49" s="130"/>
      <c r="C49" s="8"/>
      <c r="D49" s="132"/>
      <c r="E49" s="132"/>
      <c r="F49" s="179"/>
      <c r="H49" s="180"/>
      <c r="I49" s="56"/>
      <c r="J49" s="56"/>
      <c r="K49" s="180"/>
      <c r="L49" s="27"/>
      <c r="M49" s="181"/>
    </row>
    <row r="50">
      <c r="A50" s="20"/>
      <c r="B50" s="130"/>
      <c r="C50" s="8"/>
      <c r="D50" s="132"/>
      <c r="E50" s="132"/>
      <c r="F50" s="179"/>
      <c r="G50" s="155"/>
      <c r="H50" s="180"/>
      <c r="I50" s="56"/>
      <c r="J50" s="56"/>
      <c r="K50" s="180"/>
      <c r="L50" s="27"/>
    </row>
    <row r="51">
      <c r="A51" s="20"/>
      <c r="B51" s="130"/>
      <c r="C51" s="8"/>
      <c r="D51" s="132"/>
      <c r="E51" s="132"/>
      <c r="F51" s="179"/>
      <c r="G51" s="155"/>
      <c r="H51" s="180"/>
      <c r="I51" s="56"/>
      <c r="J51" s="56"/>
      <c r="K51" s="180"/>
      <c r="L51" s="27"/>
      <c r="M51" s="181"/>
    </row>
    <row r="52">
      <c r="A52" s="20"/>
      <c r="B52" s="130"/>
      <c r="C52" s="8"/>
      <c r="D52" s="132"/>
      <c r="E52" s="132"/>
      <c r="F52" s="179"/>
      <c r="G52" s="155"/>
      <c r="H52" s="180"/>
      <c r="I52" s="56"/>
      <c r="J52" s="56"/>
      <c r="K52" s="180"/>
      <c r="L52" s="27"/>
      <c r="M52" s="181"/>
    </row>
    <row r="53">
      <c r="A53" s="20"/>
      <c r="B53" s="130"/>
      <c r="C53" s="8"/>
      <c r="D53" s="132"/>
      <c r="E53" s="132"/>
      <c r="F53" s="179"/>
      <c r="G53" s="155"/>
      <c r="H53" s="180"/>
      <c r="I53" s="56"/>
      <c r="J53" s="56"/>
      <c r="K53" s="180"/>
      <c r="L53" s="27"/>
      <c r="M53" s="181"/>
    </row>
    <row r="54" ht="67.5" customHeight="1">
      <c r="A54" s="20"/>
      <c r="B54" s="130"/>
      <c r="C54" s="8"/>
      <c r="D54" s="132"/>
      <c r="E54" s="132"/>
      <c r="F54" s="179"/>
      <c r="G54" s="155"/>
      <c r="H54" s="180"/>
      <c r="I54" s="56"/>
      <c r="J54" s="56"/>
      <c r="K54" s="180"/>
      <c r="L54" s="27"/>
      <c r="M54" s="181"/>
    </row>
    <row r="55">
      <c r="A55" s="20"/>
      <c r="B55" s="130"/>
      <c r="C55" s="8"/>
      <c r="D55" s="132"/>
      <c r="E55" s="132"/>
      <c r="F55" s="179"/>
      <c r="G55" s="155"/>
      <c r="H55" s="180"/>
      <c r="I55" s="175"/>
      <c r="J55" s="56"/>
      <c r="K55" s="180"/>
      <c r="L55" s="27"/>
    </row>
    <row r="56" ht="41.25" customHeight="1">
      <c r="A56" s="20"/>
      <c r="B56" s="130"/>
      <c r="C56" s="8"/>
      <c r="D56" s="132"/>
      <c r="E56" s="132"/>
      <c r="F56" s="179"/>
      <c r="G56" s="155"/>
      <c r="H56" s="180"/>
      <c r="I56" s="56"/>
      <c r="J56" s="56"/>
      <c r="K56" s="180"/>
      <c r="L56" s="27"/>
    </row>
    <row r="57" ht="101.25" customHeight="1">
      <c r="A57" s="20"/>
      <c r="B57" s="130"/>
      <c r="C57" s="8"/>
      <c r="D57" s="132"/>
      <c r="E57" s="140"/>
      <c r="F57" s="179"/>
      <c r="G57" s="130"/>
      <c r="H57" s="183"/>
      <c r="I57" s="175"/>
      <c r="J57" s="143"/>
      <c r="K57" s="138"/>
      <c r="L57" s="27"/>
    </row>
    <row r="58" ht="101.25" customHeight="1">
      <c r="A58" s="20"/>
      <c r="B58" s="130"/>
      <c r="C58" s="8"/>
      <c r="D58" s="132"/>
      <c r="E58" s="140"/>
      <c r="F58" s="179"/>
      <c r="G58" s="130"/>
      <c r="H58" s="184"/>
      <c r="I58" s="175"/>
      <c r="J58" s="143"/>
      <c r="K58" s="138"/>
      <c r="L58" s="27"/>
    </row>
    <row r="59" ht="101.25" customHeight="1">
      <c r="A59" s="20"/>
      <c r="B59" s="130"/>
      <c r="C59" s="8"/>
      <c r="D59" s="132"/>
      <c r="E59" s="140"/>
      <c r="F59" s="179"/>
      <c r="G59" s="130"/>
      <c r="H59" s="185"/>
      <c r="I59" s="175"/>
      <c r="J59" s="98"/>
      <c r="K59" s="28"/>
      <c r="L59" s="98"/>
    </row>
    <row r="60">
      <c r="G60" s="186"/>
    </row>
    <row r="61">
      <c r="G61" s="187"/>
    </row>
    <row r="62">
      <c r="G62" s="187"/>
    </row>
    <row r="63">
      <c r="G63" s="187"/>
    </row>
    <row r="64">
      <c r="G64" s="187"/>
    </row>
    <row r="65">
      <c r="G65" s="187"/>
    </row>
    <row r="66">
      <c r="G66" s="187"/>
    </row>
    <row r="67">
      <c r="G67" s="187"/>
    </row>
    <row r="68">
      <c r="G68" s="187"/>
    </row>
    <row r="69">
      <c r="G69" s="187"/>
    </row>
    <row r="71">
      <c r="G71" s="187"/>
    </row>
    <row r="72">
      <c r="G72" s="187"/>
    </row>
    <row r="73">
      <c r="G73" s="187"/>
    </row>
    <row r="74">
      <c r="G74" s="187"/>
    </row>
    <row r="75">
      <c r="G75" s="187"/>
    </row>
    <row r="76">
      <c r="G76" s="187"/>
    </row>
    <row r="77">
      <c r="G77" s="187"/>
    </row>
    <row r="78">
      <c r="G78" s="187"/>
    </row>
    <row r="79">
      <c r="G79" s="187"/>
    </row>
    <row r="80">
      <c r="G80" s="187"/>
    </row>
    <row r="81">
      <c r="G81" s="187"/>
    </row>
    <row r="82">
      <c r="G82" s="187"/>
    </row>
    <row r="83">
      <c r="G83" s="187"/>
    </row>
    <row r="84">
      <c r="G84" s="187"/>
    </row>
    <row r="85">
      <c r="G85" s="187"/>
    </row>
    <row r="101">
      <c r="G101" s="187"/>
    </row>
    <row r="102">
      <c r="G102" s="187"/>
    </row>
    <row r="103">
      <c r="G103" s="187"/>
    </row>
    <row r="104">
      <c r="G104" s="187"/>
    </row>
    <row r="105">
      <c r="G105" s="187"/>
    </row>
    <row r="106">
      <c r="G106" s="187"/>
    </row>
    <row r="107">
      <c r="G107" s="187"/>
    </row>
    <row r="108">
      <c r="G108" s="187"/>
    </row>
    <row r="109">
      <c r="G109" s="187"/>
    </row>
    <row r="110">
      <c r="G110" s="187"/>
    </row>
    <row r="111">
      <c r="G111" s="187"/>
    </row>
    <row r="112">
      <c r="G112" s="187"/>
    </row>
    <row r="113">
      <c r="G113" s="187"/>
    </row>
    <row r="114">
      <c r="G114" s="187"/>
    </row>
    <row r="115">
      <c r="G115" s="187"/>
    </row>
    <row r="116">
      <c r="G116" s="187"/>
    </row>
    <row r="117">
      <c r="G117" s="187"/>
    </row>
    <row r="118">
      <c r="G118" s="187"/>
    </row>
    <row r="119">
      <c r="G119" s="187"/>
    </row>
    <row r="120">
      <c r="G120" s="187"/>
    </row>
    <row r="121">
      <c r="G121" s="187"/>
    </row>
    <row r="122">
      <c r="G122" s="187"/>
    </row>
    <row r="123">
      <c r="G123" s="187"/>
    </row>
    <row r="124">
      <c r="G124" s="187"/>
    </row>
    <row r="125">
      <c r="G125" s="187"/>
    </row>
    <row r="126">
      <c r="G126" s="187"/>
    </row>
    <row r="127">
      <c r="G127" s="187"/>
    </row>
    <row r="128">
      <c r="G128" s="187"/>
    </row>
    <row r="129">
      <c r="G129" s="187"/>
    </row>
    <row r="130">
      <c r="G130" s="187"/>
    </row>
    <row r="131">
      <c r="G131" s="187"/>
    </row>
    <row r="132">
      <c r="G132" s="187"/>
    </row>
    <row r="133">
      <c r="G133" s="187"/>
    </row>
    <row r="134">
      <c r="G134" s="187"/>
    </row>
    <row r="135">
      <c r="G135" s="187"/>
    </row>
    <row r="136">
      <c r="G136" s="187"/>
    </row>
    <row r="137">
      <c r="G137" s="187"/>
    </row>
    <row r="138">
      <c r="G138" s="187"/>
    </row>
    <row r="139">
      <c r="G139" s="187"/>
    </row>
    <row r="140">
      <c r="G140" s="187"/>
    </row>
    <row r="141">
      <c r="G141" s="187"/>
    </row>
    <row r="142">
      <c r="G142" s="187"/>
    </row>
    <row r="143">
      <c r="G143" s="187"/>
    </row>
    <row r="144">
      <c r="G144" s="187"/>
    </row>
    <row r="145">
      <c r="G145" s="187"/>
    </row>
    <row r="146">
      <c r="G146" s="187"/>
    </row>
    <row r="147">
      <c r="G147" s="187"/>
    </row>
    <row r="148">
      <c r="G148" s="187"/>
    </row>
    <row r="149">
      <c r="G149" s="187"/>
    </row>
    <row r="150">
      <c r="G150" s="187"/>
    </row>
    <row r="151">
      <c r="G151" s="187"/>
    </row>
    <row r="152">
      <c r="G152" s="187"/>
    </row>
    <row r="153">
      <c r="G153" s="187"/>
    </row>
    <row r="154">
      <c r="G154" s="187"/>
    </row>
    <row r="155">
      <c r="G155" s="187"/>
    </row>
    <row r="156">
      <c r="G156" s="187"/>
    </row>
    <row r="157">
      <c r="G157" s="187"/>
    </row>
    <row r="158">
      <c r="G158" s="187"/>
    </row>
    <row r="159">
      <c r="G159" s="187"/>
    </row>
    <row r="160">
      <c r="G160" s="187"/>
    </row>
    <row r="161">
      <c r="G161" s="187"/>
    </row>
    <row r="162">
      <c r="G162" s="187"/>
    </row>
    <row r="163">
      <c r="G163" s="187"/>
    </row>
    <row r="164">
      <c r="G164" s="187"/>
    </row>
    <row r="165">
      <c r="G165" s="187"/>
    </row>
    <row r="166">
      <c r="G166" s="187"/>
    </row>
    <row r="167">
      <c r="G167" s="187"/>
    </row>
    <row r="168">
      <c r="G168" s="187"/>
    </row>
    <row r="169">
      <c r="G169" s="187"/>
    </row>
    <row r="170">
      <c r="G170" s="187"/>
    </row>
    <row r="171">
      <c r="G171" s="187"/>
    </row>
    <row r="172">
      <c r="G172" s="187"/>
    </row>
    <row r="173">
      <c r="G173" s="187"/>
    </row>
    <row r="174">
      <c r="G174" s="187"/>
    </row>
    <row r="175">
      <c r="G175" s="187"/>
    </row>
    <row r="176">
      <c r="G176" s="187"/>
    </row>
    <row r="177">
      <c r="G177" s="187"/>
    </row>
    <row r="178">
      <c r="G178" s="187"/>
    </row>
    <row r="179">
      <c r="G179" s="187"/>
    </row>
    <row r="180">
      <c r="G180" s="187"/>
    </row>
    <row r="181">
      <c r="G181" s="187"/>
    </row>
    <row r="182">
      <c r="G182" s="187"/>
    </row>
    <row r="183">
      <c r="G183" s="187"/>
    </row>
    <row r="184">
      <c r="G184" s="187"/>
    </row>
    <row r="185">
      <c r="G185" s="187"/>
    </row>
    <row r="186">
      <c r="G186" s="187"/>
    </row>
    <row r="187">
      <c r="G187" s="187"/>
    </row>
    <row r="188">
      <c r="G188" s="187"/>
    </row>
    <row r="189">
      <c r="G189" s="187"/>
    </row>
    <row r="190">
      <c r="G190" s="187"/>
    </row>
    <row r="191">
      <c r="G191" s="187"/>
    </row>
    <row r="192">
      <c r="G192" s="187"/>
    </row>
    <row r="193">
      <c r="G193" s="187"/>
    </row>
    <row r="194">
      <c r="G194" s="187"/>
    </row>
    <row r="195">
      <c r="G195" s="187"/>
    </row>
    <row r="196">
      <c r="G196" s="187"/>
    </row>
    <row r="197">
      <c r="G197" s="187"/>
    </row>
    <row r="198">
      <c r="G198" s="187"/>
    </row>
    <row r="199">
      <c r="G199" s="187"/>
    </row>
    <row r="200">
      <c r="G200" s="187"/>
    </row>
    <row r="201">
      <c r="G201" s="187"/>
    </row>
    <row r="202">
      <c r="G202" s="187"/>
    </row>
    <row r="203">
      <c r="G203" s="187"/>
    </row>
    <row r="204">
      <c r="G204" s="187"/>
    </row>
    <row r="205">
      <c r="G205" s="187"/>
    </row>
    <row r="206">
      <c r="G206" s="187"/>
    </row>
    <row r="207">
      <c r="G207" s="187"/>
    </row>
    <row r="208">
      <c r="G208" s="187"/>
    </row>
    <row r="209">
      <c r="G209" s="187"/>
    </row>
    <row r="210">
      <c r="G210" s="187"/>
    </row>
    <row r="211">
      <c r="G211" s="187"/>
    </row>
    <row r="212">
      <c r="G212" s="187"/>
    </row>
    <row r="213">
      <c r="G213" s="187"/>
    </row>
    <row r="214">
      <c r="G214" s="187"/>
    </row>
    <row r="215">
      <c r="G215" s="187"/>
    </row>
    <row r="216">
      <c r="G216" s="187"/>
    </row>
    <row r="217">
      <c r="G217" s="187"/>
    </row>
    <row r="218">
      <c r="G218" s="187"/>
    </row>
    <row r="219">
      <c r="G219" s="187"/>
    </row>
    <row r="220">
      <c r="G220" s="187"/>
    </row>
    <row r="221">
      <c r="G221" s="187"/>
    </row>
    <row r="222">
      <c r="G222" s="187"/>
    </row>
    <row r="223">
      <c r="G223" s="187"/>
    </row>
    <row r="224">
      <c r="G224" s="187"/>
    </row>
    <row r="225">
      <c r="G225" s="187"/>
    </row>
    <row r="226">
      <c r="G226" s="187"/>
    </row>
    <row r="227">
      <c r="G227" s="187"/>
    </row>
    <row r="228">
      <c r="G228" s="187"/>
    </row>
    <row r="229">
      <c r="G229" s="187"/>
    </row>
    <row r="230">
      <c r="G230" s="187"/>
    </row>
    <row r="231">
      <c r="G231" s="187"/>
    </row>
    <row r="232">
      <c r="G232" s="187"/>
    </row>
    <row r="233">
      <c r="G233" s="187"/>
    </row>
    <row r="234">
      <c r="G234" s="187"/>
    </row>
    <row r="235">
      <c r="G235" s="187"/>
    </row>
    <row r="236">
      <c r="G236" s="187"/>
    </row>
    <row r="237">
      <c r="G237" s="187"/>
    </row>
    <row r="238">
      <c r="G238" s="187"/>
    </row>
    <row r="239">
      <c r="G239" s="187"/>
    </row>
    <row r="240">
      <c r="G240" s="187"/>
    </row>
    <row r="241">
      <c r="G241" s="187"/>
    </row>
    <row r="242">
      <c r="G242" s="187"/>
    </row>
    <row r="243">
      <c r="G243" s="187"/>
    </row>
    <row r="244">
      <c r="G244" s="187"/>
    </row>
    <row r="245">
      <c r="G245" s="187"/>
    </row>
    <row r="246">
      <c r="G246" s="187"/>
    </row>
    <row r="247">
      <c r="G247" s="187"/>
    </row>
    <row r="248">
      <c r="G248" s="187"/>
    </row>
    <row r="249">
      <c r="G249" s="187"/>
    </row>
    <row r="250">
      <c r="G250" s="187"/>
    </row>
    <row r="251">
      <c r="G251" s="187"/>
    </row>
    <row r="252">
      <c r="G252" s="187"/>
    </row>
    <row r="253">
      <c r="G253" s="187"/>
    </row>
    <row r="254">
      <c r="G254" s="187"/>
    </row>
    <row r="255">
      <c r="G255" s="187"/>
    </row>
    <row r="256">
      <c r="G256" s="187"/>
    </row>
    <row r="257">
      <c r="G257" s="187"/>
    </row>
    <row r="258">
      <c r="G258" s="187"/>
    </row>
    <row r="259">
      <c r="G259" s="187"/>
    </row>
    <row r="260">
      <c r="G260" s="187"/>
    </row>
    <row r="261">
      <c r="G261" s="187"/>
    </row>
    <row r="262">
      <c r="G262" s="187"/>
    </row>
    <row r="263">
      <c r="G263" s="187"/>
    </row>
    <row r="264">
      <c r="G264" s="187"/>
    </row>
    <row r="265">
      <c r="G265" s="187"/>
    </row>
    <row r="266">
      <c r="G266" s="187"/>
    </row>
    <row r="267">
      <c r="G267" s="187"/>
    </row>
    <row r="268">
      <c r="G268" s="187"/>
    </row>
    <row r="269">
      <c r="G269" s="187"/>
    </row>
    <row r="270">
      <c r="G270" s="187"/>
    </row>
    <row r="271">
      <c r="G271" s="187"/>
    </row>
    <row r="272">
      <c r="G272" s="187"/>
    </row>
    <row r="273">
      <c r="G273" s="187"/>
    </row>
    <row r="274">
      <c r="G274" s="187"/>
    </row>
    <row r="275">
      <c r="G275" s="187"/>
    </row>
    <row r="276">
      <c r="G276" s="187"/>
    </row>
    <row r="277">
      <c r="G277" s="187"/>
    </row>
    <row r="278">
      <c r="G278" s="187"/>
    </row>
    <row r="279">
      <c r="G279" s="187"/>
    </row>
    <row r="280">
      <c r="G280" s="187"/>
    </row>
    <row r="281">
      <c r="G281" s="187"/>
    </row>
    <row r="282">
      <c r="G282" s="187"/>
    </row>
    <row r="283">
      <c r="G283" s="187"/>
    </row>
    <row r="284">
      <c r="G284" s="187"/>
    </row>
    <row r="285">
      <c r="G285" s="187"/>
    </row>
    <row r="286">
      <c r="G286" s="187"/>
    </row>
    <row r="287">
      <c r="G287" s="187"/>
    </row>
    <row r="288">
      <c r="G288" s="187"/>
    </row>
    <row r="289">
      <c r="G289" s="187"/>
    </row>
    <row r="290">
      <c r="G290" s="187"/>
    </row>
    <row r="291">
      <c r="G291" s="187"/>
    </row>
    <row r="292">
      <c r="G292" s="187"/>
    </row>
    <row r="293">
      <c r="G293" s="187"/>
    </row>
    <row r="294">
      <c r="G294" s="187"/>
    </row>
    <row r="295">
      <c r="G295" s="187"/>
    </row>
    <row r="296">
      <c r="G296" s="187"/>
    </row>
    <row r="297">
      <c r="G297" s="187"/>
    </row>
    <row r="298">
      <c r="G298" s="187"/>
    </row>
    <row r="299">
      <c r="G299" s="187"/>
    </row>
    <row r="300">
      <c r="G300" s="187"/>
    </row>
    <row r="301">
      <c r="G301" s="187"/>
    </row>
    <row r="302">
      <c r="G302" s="187"/>
    </row>
    <row r="303">
      <c r="G303" s="187"/>
    </row>
    <row r="304">
      <c r="G304" s="187"/>
    </row>
    <row r="305">
      <c r="G305" s="187"/>
    </row>
    <row r="306">
      <c r="G306" s="187"/>
    </row>
    <row r="307">
      <c r="G307" s="187"/>
    </row>
    <row r="308">
      <c r="G308" s="187"/>
    </row>
    <row r="309">
      <c r="G309" s="187"/>
    </row>
    <row r="310">
      <c r="G310" s="187"/>
    </row>
    <row r="311">
      <c r="G311" s="187"/>
    </row>
    <row r="312">
      <c r="G312" s="187"/>
    </row>
    <row r="313">
      <c r="G313" s="187"/>
    </row>
    <row r="314">
      <c r="G314" s="187"/>
    </row>
    <row r="315">
      <c r="G315" s="187"/>
    </row>
    <row r="316">
      <c r="G316" s="187"/>
    </row>
    <row r="317">
      <c r="G317" s="187"/>
    </row>
    <row r="318">
      <c r="G318" s="187"/>
    </row>
    <row r="319">
      <c r="G319" s="187"/>
    </row>
    <row r="320">
      <c r="G320" s="187"/>
    </row>
    <row r="321">
      <c r="G321" s="187"/>
    </row>
    <row r="322">
      <c r="G322" s="187"/>
    </row>
    <row r="323">
      <c r="G323" s="187"/>
    </row>
    <row r="324">
      <c r="G324" s="187"/>
    </row>
    <row r="325">
      <c r="G325" s="187"/>
    </row>
    <row r="326">
      <c r="G326" s="187"/>
    </row>
    <row r="327">
      <c r="G327" s="187"/>
    </row>
    <row r="328">
      <c r="G328" s="187"/>
    </row>
    <row r="329">
      <c r="G329" s="187"/>
    </row>
    <row r="330">
      <c r="G330" s="187"/>
    </row>
    <row r="331">
      <c r="G331" s="187"/>
    </row>
    <row r="332">
      <c r="G332" s="187"/>
    </row>
    <row r="333">
      <c r="G333" s="187"/>
    </row>
    <row r="334">
      <c r="G334" s="187"/>
    </row>
    <row r="335">
      <c r="G335" s="187"/>
    </row>
    <row r="336">
      <c r="G336" s="187"/>
    </row>
    <row r="337">
      <c r="G337" s="187"/>
    </row>
    <row r="338">
      <c r="G338" s="187"/>
    </row>
    <row r="339">
      <c r="G339" s="187"/>
    </row>
    <row r="340">
      <c r="G340" s="187"/>
    </row>
    <row r="341">
      <c r="G341" s="187"/>
    </row>
    <row r="342">
      <c r="G342" s="187"/>
    </row>
    <row r="343">
      <c r="G343" s="187"/>
    </row>
    <row r="344">
      <c r="G344" s="187"/>
    </row>
    <row r="345">
      <c r="G345" s="187"/>
    </row>
    <row r="346">
      <c r="G346" s="187"/>
    </row>
    <row r="347">
      <c r="G347" s="187"/>
    </row>
    <row r="348">
      <c r="G348" s="187"/>
    </row>
    <row r="349">
      <c r="G349" s="187"/>
    </row>
    <row r="350">
      <c r="G350" s="187"/>
    </row>
    <row r="351">
      <c r="G351" s="187"/>
    </row>
    <row r="352">
      <c r="G352" s="187"/>
    </row>
    <row r="353">
      <c r="G353" s="187"/>
    </row>
    <row r="354">
      <c r="G354" s="187"/>
    </row>
    <row r="355">
      <c r="G355" s="187"/>
    </row>
    <row r="356">
      <c r="G356" s="187"/>
    </row>
    <row r="357">
      <c r="G357" s="187"/>
    </row>
    <row r="358">
      <c r="G358" s="187"/>
    </row>
    <row r="359">
      <c r="G359" s="187"/>
    </row>
    <row r="360">
      <c r="G360" s="187"/>
    </row>
    <row r="361">
      <c r="G361" s="187"/>
    </row>
    <row r="362">
      <c r="G362" s="187"/>
    </row>
    <row r="363">
      <c r="G363" s="187"/>
    </row>
    <row r="364">
      <c r="G364" s="187"/>
    </row>
    <row r="365">
      <c r="G365" s="187"/>
    </row>
    <row r="366">
      <c r="G366" s="187"/>
    </row>
    <row r="367">
      <c r="G367" s="187"/>
    </row>
    <row r="368">
      <c r="G368" s="187"/>
    </row>
    <row r="369">
      <c r="G369" s="187"/>
    </row>
    <row r="370">
      <c r="G370" s="187"/>
    </row>
    <row r="371">
      <c r="G371" s="187"/>
    </row>
    <row r="372">
      <c r="G372" s="187"/>
    </row>
    <row r="373">
      <c r="G373" s="187"/>
    </row>
    <row r="374">
      <c r="G374" s="187"/>
    </row>
    <row r="375">
      <c r="G375" s="187"/>
    </row>
    <row r="376">
      <c r="G376" s="187"/>
    </row>
    <row r="377">
      <c r="G377" s="187"/>
    </row>
    <row r="378">
      <c r="G378" s="187"/>
    </row>
    <row r="379">
      <c r="G379" s="187"/>
    </row>
    <row r="380">
      <c r="G380" s="187"/>
    </row>
    <row r="381">
      <c r="G381" s="187"/>
    </row>
    <row r="382">
      <c r="G382" s="187"/>
    </row>
    <row r="383">
      <c r="G383" s="187"/>
    </row>
    <row r="384">
      <c r="G384" s="187"/>
    </row>
    <row r="385">
      <c r="G385" s="187"/>
    </row>
    <row r="386">
      <c r="G386" s="187"/>
    </row>
    <row r="387">
      <c r="G387" s="187"/>
    </row>
    <row r="388">
      <c r="G388" s="187"/>
    </row>
    <row r="389">
      <c r="G389" s="187"/>
    </row>
    <row r="390">
      <c r="G390" s="187"/>
    </row>
    <row r="391">
      <c r="G391" s="187"/>
    </row>
    <row r="392">
      <c r="G392" s="187"/>
    </row>
    <row r="393">
      <c r="G393" s="187"/>
    </row>
    <row r="394">
      <c r="G394" s="187"/>
    </row>
    <row r="395">
      <c r="G395" s="187"/>
    </row>
    <row r="396">
      <c r="G396" s="187"/>
    </row>
    <row r="397">
      <c r="G397" s="187"/>
    </row>
    <row r="398">
      <c r="G398" s="187"/>
    </row>
    <row r="399">
      <c r="G399" s="187"/>
    </row>
    <row r="400">
      <c r="G400" s="187"/>
    </row>
    <row r="401">
      <c r="G401" s="187"/>
    </row>
    <row r="402">
      <c r="G402" s="187"/>
    </row>
    <row r="403">
      <c r="G403" s="187"/>
    </row>
    <row r="404">
      <c r="G404" s="187"/>
    </row>
    <row r="405">
      <c r="G405" s="187"/>
    </row>
    <row r="406">
      <c r="G406" s="187"/>
    </row>
    <row r="407">
      <c r="G407" s="187"/>
    </row>
    <row r="408">
      <c r="G408" s="187"/>
    </row>
    <row r="409">
      <c r="G409" s="187"/>
    </row>
    <row r="410">
      <c r="G410" s="187"/>
    </row>
    <row r="411">
      <c r="G411" s="187"/>
    </row>
    <row r="412">
      <c r="G412" s="187"/>
    </row>
    <row r="413">
      <c r="G413" s="187"/>
    </row>
    <row r="414">
      <c r="G414" s="187"/>
    </row>
    <row r="415">
      <c r="G415" s="187"/>
    </row>
    <row r="416">
      <c r="G416" s="187"/>
    </row>
    <row r="417">
      <c r="G417" s="187"/>
    </row>
    <row r="418">
      <c r="G418" s="187"/>
    </row>
    <row r="419">
      <c r="G419" s="187"/>
    </row>
    <row r="420">
      <c r="G420" s="187"/>
    </row>
    <row r="421">
      <c r="G421" s="187"/>
    </row>
    <row r="422">
      <c r="G422" s="187"/>
    </row>
    <row r="423">
      <c r="G423" s="187"/>
    </row>
    <row r="424">
      <c r="G424" s="187"/>
    </row>
    <row r="425">
      <c r="G425" s="187"/>
    </row>
    <row r="426">
      <c r="G426" s="187"/>
    </row>
    <row r="427">
      <c r="G427" s="187"/>
    </row>
    <row r="428">
      <c r="G428" s="187"/>
    </row>
    <row r="429">
      <c r="G429" s="187"/>
    </row>
    <row r="430">
      <c r="G430" s="187"/>
    </row>
    <row r="431">
      <c r="G431" s="187"/>
    </row>
    <row r="432">
      <c r="G432" s="187"/>
    </row>
    <row r="433">
      <c r="G433" s="187"/>
    </row>
    <row r="434">
      <c r="G434" s="187"/>
    </row>
    <row r="435">
      <c r="G435" s="187"/>
    </row>
    <row r="436">
      <c r="G436" s="187"/>
    </row>
    <row r="437">
      <c r="G437" s="187"/>
    </row>
    <row r="438">
      <c r="G438" s="187"/>
    </row>
    <row r="439">
      <c r="G439" s="187"/>
    </row>
    <row r="440">
      <c r="G440" s="187"/>
    </row>
    <row r="441">
      <c r="G441" s="187"/>
    </row>
    <row r="442">
      <c r="G442" s="187"/>
    </row>
    <row r="443">
      <c r="G443" s="187"/>
    </row>
    <row r="444">
      <c r="G444" s="187"/>
    </row>
    <row r="445">
      <c r="G445" s="187"/>
    </row>
    <row r="446">
      <c r="G446" s="187"/>
    </row>
    <row r="447">
      <c r="G447" s="187"/>
    </row>
    <row r="448">
      <c r="G448" s="187"/>
    </row>
    <row r="449">
      <c r="G449" s="187"/>
    </row>
    <row r="450">
      <c r="G450" s="187"/>
    </row>
    <row r="451">
      <c r="G451" s="187"/>
    </row>
    <row r="452">
      <c r="G452" s="187"/>
    </row>
    <row r="453">
      <c r="G453" s="187"/>
    </row>
    <row r="454">
      <c r="G454" s="187"/>
    </row>
    <row r="455">
      <c r="G455" s="187"/>
    </row>
    <row r="456">
      <c r="G456" s="187"/>
    </row>
    <row r="457">
      <c r="G457" s="187"/>
    </row>
    <row r="458">
      <c r="G458" s="187"/>
    </row>
    <row r="459">
      <c r="G459" s="187"/>
    </row>
    <row r="460">
      <c r="G460" s="187"/>
    </row>
    <row r="461">
      <c r="G461" s="187"/>
    </row>
    <row r="462">
      <c r="G462" s="187"/>
    </row>
    <row r="463">
      <c r="G463" s="187"/>
    </row>
    <row r="464">
      <c r="G464" s="187"/>
    </row>
    <row r="465">
      <c r="G465" s="187"/>
    </row>
    <row r="466">
      <c r="G466" s="187"/>
    </row>
    <row r="467">
      <c r="G467" s="187"/>
    </row>
    <row r="468">
      <c r="G468" s="187"/>
    </row>
    <row r="469">
      <c r="G469" s="187"/>
    </row>
    <row r="470">
      <c r="G470" s="187"/>
    </row>
    <row r="471">
      <c r="G471" s="187"/>
    </row>
    <row r="472">
      <c r="G472" s="187"/>
    </row>
    <row r="473">
      <c r="G473" s="187"/>
    </row>
    <row r="474">
      <c r="G474" s="187"/>
    </row>
    <row r="475">
      <c r="G475" s="187"/>
    </row>
    <row r="476">
      <c r="G476" s="187"/>
    </row>
    <row r="477">
      <c r="G477" s="187"/>
    </row>
    <row r="478">
      <c r="G478" s="187"/>
    </row>
    <row r="479">
      <c r="G479" s="187"/>
    </row>
    <row r="480">
      <c r="G480" s="187"/>
    </row>
    <row r="481">
      <c r="G481" s="187"/>
    </row>
    <row r="482">
      <c r="G482" s="187"/>
    </row>
    <row r="483">
      <c r="G483" s="187"/>
    </row>
    <row r="484">
      <c r="G484" s="187"/>
    </row>
    <row r="485">
      <c r="G485" s="187"/>
    </row>
    <row r="486">
      <c r="G486" s="187"/>
    </row>
    <row r="487">
      <c r="G487" s="187"/>
    </row>
    <row r="488">
      <c r="G488" s="187"/>
    </row>
    <row r="489">
      <c r="G489" s="187"/>
    </row>
    <row r="490">
      <c r="G490" s="187"/>
    </row>
    <row r="491">
      <c r="G491" s="187"/>
    </row>
    <row r="492">
      <c r="G492" s="187"/>
    </row>
    <row r="493">
      <c r="G493" s="187"/>
    </row>
    <row r="494">
      <c r="G494" s="187"/>
    </row>
    <row r="495">
      <c r="G495" s="187"/>
    </row>
    <row r="496">
      <c r="G496" s="187"/>
    </row>
    <row r="497">
      <c r="G497" s="187"/>
    </row>
    <row r="498">
      <c r="G498" s="187"/>
    </row>
    <row r="499">
      <c r="G499" s="187"/>
    </row>
    <row r="500">
      <c r="G500" s="187"/>
    </row>
    <row r="501">
      <c r="G501" s="187"/>
    </row>
    <row r="502">
      <c r="G502" s="187"/>
    </row>
    <row r="503">
      <c r="G503" s="187"/>
    </row>
    <row r="504">
      <c r="G504" s="187"/>
    </row>
    <row r="505">
      <c r="G505" s="187"/>
    </row>
    <row r="506">
      <c r="G506" s="187"/>
    </row>
    <row r="507">
      <c r="G507" s="187"/>
    </row>
    <row r="508">
      <c r="G508" s="187"/>
    </row>
    <row r="509">
      <c r="G509" s="187"/>
    </row>
    <row r="510">
      <c r="G510" s="187"/>
    </row>
    <row r="511">
      <c r="G511" s="187"/>
    </row>
    <row r="512">
      <c r="G512" s="187"/>
    </row>
    <row r="513">
      <c r="G513" s="187"/>
    </row>
    <row r="514">
      <c r="G514" s="187"/>
    </row>
    <row r="515">
      <c r="G515" s="187"/>
    </row>
    <row r="516">
      <c r="G516" s="187"/>
    </row>
    <row r="517">
      <c r="G517" s="187"/>
    </row>
    <row r="518">
      <c r="G518" s="187"/>
    </row>
    <row r="519">
      <c r="G519" s="187"/>
    </row>
    <row r="520">
      <c r="G520" s="187"/>
    </row>
    <row r="521">
      <c r="G521" s="187"/>
    </row>
    <row r="522">
      <c r="G522" s="187"/>
    </row>
    <row r="523">
      <c r="G523" s="187"/>
    </row>
    <row r="524">
      <c r="G524" s="187"/>
    </row>
    <row r="525">
      <c r="G525" s="187"/>
    </row>
    <row r="526">
      <c r="G526" s="187"/>
    </row>
    <row r="527">
      <c r="G527" s="187"/>
    </row>
    <row r="528">
      <c r="G528" s="187"/>
    </row>
    <row r="529">
      <c r="G529" s="187"/>
    </row>
    <row r="530">
      <c r="G530" s="187"/>
    </row>
    <row r="531">
      <c r="G531" s="187"/>
    </row>
    <row r="532">
      <c r="G532" s="187"/>
    </row>
    <row r="533">
      <c r="G533" s="187"/>
    </row>
    <row r="534">
      <c r="G534" s="187"/>
    </row>
    <row r="535">
      <c r="G535" s="187"/>
    </row>
    <row r="536">
      <c r="G536" s="187"/>
    </row>
    <row r="537">
      <c r="G537" s="187"/>
    </row>
    <row r="538">
      <c r="G538" s="187"/>
    </row>
    <row r="539">
      <c r="G539" s="187"/>
    </row>
    <row r="540">
      <c r="G540" s="187"/>
    </row>
    <row r="541">
      <c r="G541" s="187"/>
    </row>
    <row r="542">
      <c r="G542" s="187"/>
    </row>
    <row r="543">
      <c r="G543" s="187"/>
    </row>
    <row r="544">
      <c r="G544" s="187"/>
    </row>
    <row r="545">
      <c r="G545" s="187"/>
    </row>
    <row r="546">
      <c r="G546" s="187"/>
    </row>
    <row r="547">
      <c r="G547" s="187"/>
    </row>
    <row r="548">
      <c r="G548" s="187"/>
    </row>
    <row r="549">
      <c r="G549" s="187"/>
    </row>
    <row r="550">
      <c r="G550" s="187"/>
    </row>
    <row r="551">
      <c r="G551" s="187"/>
    </row>
    <row r="552">
      <c r="G552" s="187"/>
    </row>
    <row r="553">
      <c r="G553" s="187"/>
    </row>
    <row r="554">
      <c r="G554" s="187"/>
    </row>
    <row r="555">
      <c r="G555" s="187"/>
    </row>
    <row r="556">
      <c r="G556" s="187"/>
    </row>
    <row r="557">
      <c r="G557" s="187"/>
    </row>
    <row r="558">
      <c r="G558" s="187"/>
    </row>
    <row r="559">
      <c r="G559" s="187"/>
    </row>
    <row r="560">
      <c r="G560" s="187"/>
    </row>
    <row r="561">
      <c r="G561" s="187"/>
    </row>
    <row r="562">
      <c r="G562" s="187"/>
    </row>
    <row r="563">
      <c r="G563" s="187"/>
    </row>
    <row r="564">
      <c r="G564" s="187"/>
    </row>
    <row r="565">
      <c r="G565" s="187"/>
    </row>
    <row r="566">
      <c r="G566" s="187"/>
    </row>
    <row r="567">
      <c r="G567" s="187"/>
    </row>
    <row r="568">
      <c r="G568" s="187"/>
    </row>
    <row r="569">
      <c r="G569" s="187"/>
    </row>
    <row r="570">
      <c r="G570" s="187"/>
    </row>
    <row r="571">
      <c r="G571" s="187"/>
    </row>
    <row r="572">
      <c r="G572" s="187"/>
    </row>
    <row r="573">
      <c r="G573" s="187"/>
    </row>
    <row r="574">
      <c r="G574" s="187"/>
    </row>
    <row r="575">
      <c r="G575" s="187"/>
    </row>
    <row r="576">
      <c r="G576" s="187"/>
    </row>
    <row r="577">
      <c r="G577" s="187"/>
    </row>
    <row r="578">
      <c r="G578" s="187"/>
    </row>
    <row r="579">
      <c r="G579" s="187"/>
    </row>
    <row r="580">
      <c r="G580" s="187"/>
    </row>
    <row r="581">
      <c r="G581" s="187"/>
    </row>
    <row r="582">
      <c r="G582" s="187"/>
    </row>
    <row r="583">
      <c r="G583" s="187"/>
    </row>
    <row r="584">
      <c r="G584" s="187"/>
    </row>
    <row r="585">
      <c r="G585" s="187"/>
    </row>
    <row r="586">
      <c r="G586" s="187"/>
    </row>
    <row r="587">
      <c r="G587" s="187"/>
    </row>
    <row r="588">
      <c r="G588" s="187"/>
    </row>
    <row r="589">
      <c r="G589" s="187"/>
    </row>
    <row r="590">
      <c r="G590" s="187"/>
    </row>
    <row r="591">
      <c r="G591" s="187"/>
    </row>
    <row r="592">
      <c r="G592" s="187"/>
    </row>
    <row r="593">
      <c r="G593" s="187"/>
    </row>
    <row r="594">
      <c r="G594" s="187"/>
    </row>
    <row r="595">
      <c r="G595" s="187"/>
    </row>
    <row r="596">
      <c r="G596" s="187"/>
    </row>
    <row r="597">
      <c r="G597" s="187"/>
    </row>
    <row r="598">
      <c r="G598" s="187"/>
    </row>
    <row r="599">
      <c r="G599" s="187"/>
    </row>
    <row r="600">
      <c r="G600" s="187"/>
    </row>
    <row r="601">
      <c r="G601" s="187"/>
    </row>
    <row r="602">
      <c r="G602" s="187"/>
    </row>
    <row r="603">
      <c r="G603" s="187"/>
    </row>
    <row r="604">
      <c r="G604" s="187"/>
    </row>
    <row r="605">
      <c r="G605" s="187"/>
    </row>
    <row r="606">
      <c r="G606" s="187"/>
    </row>
    <row r="607">
      <c r="G607" s="187"/>
    </row>
    <row r="608">
      <c r="G608" s="187"/>
    </row>
    <row r="609">
      <c r="G609" s="187"/>
    </row>
    <row r="610">
      <c r="G610" s="187"/>
    </row>
    <row r="611">
      <c r="G611" s="187"/>
    </row>
    <row r="612">
      <c r="G612" s="187"/>
    </row>
    <row r="613">
      <c r="G613" s="187"/>
    </row>
    <row r="614">
      <c r="G614" s="187"/>
    </row>
    <row r="615">
      <c r="G615" s="187"/>
    </row>
    <row r="616">
      <c r="G616" s="187"/>
    </row>
    <row r="617">
      <c r="G617" s="187"/>
    </row>
    <row r="618">
      <c r="G618" s="187"/>
    </row>
    <row r="619">
      <c r="G619" s="187"/>
    </row>
    <row r="620">
      <c r="G620" s="187"/>
    </row>
    <row r="621">
      <c r="G621" s="187"/>
    </row>
    <row r="622">
      <c r="G622" s="187"/>
    </row>
    <row r="623">
      <c r="G623" s="187"/>
    </row>
    <row r="624">
      <c r="G624" s="187"/>
    </row>
    <row r="625">
      <c r="G625" s="187"/>
    </row>
    <row r="626">
      <c r="G626" s="187"/>
    </row>
    <row r="627">
      <c r="G627" s="187"/>
    </row>
    <row r="628">
      <c r="G628" s="187"/>
    </row>
    <row r="629">
      <c r="G629" s="187"/>
    </row>
    <row r="630">
      <c r="G630" s="187"/>
    </row>
    <row r="631">
      <c r="G631" s="187"/>
    </row>
    <row r="632">
      <c r="G632" s="187"/>
    </row>
    <row r="633">
      <c r="G633" s="187"/>
    </row>
    <row r="634">
      <c r="G634" s="187"/>
    </row>
    <row r="635">
      <c r="G635" s="187"/>
    </row>
    <row r="636">
      <c r="G636" s="187"/>
    </row>
    <row r="637">
      <c r="G637" s="187"/>
    </row>
    <row r="638">
      <c r="G638" s="187"/>
    </row>
    <row r="639">
      <c r="G639" s="187"/>
    </row>
    <row r="640">
      <c r="G640" s="187"/>
    </row>
    <row r="641">
      <c r="G641" s="187"/>
    </row>
    <row r="642">
      <c r="G642" s="187"/>
    </row>
    <row r="643">
      <c r="G643" s="187"/>
    </row>
    <row r="644">
      <c r="G644" s="187"/>
    </row>
    <row r="645">
      <c r="G645" s="187"/>
    </row>
    <row r="646">
      <c r="G646" s="187"/>
    </row>
    <row r="647">
      <c r="G647" s="187"/>
    </row>
    <row r="648">
      <c r="G648" s="187"/>
    </row>
    <row r="649">
      <c r="G649" s="187"/>
    </row>
    <row r="650">
      <c r="G650" s="187"/>
    </row>
    <row r="651">
      <c r="G651" s="187"/>
    </row>
    <row r="652">
      <c r="G652" s="187"/>
    </row>
    <row r="653">
      <c r="G653" s="187"/>
    </row>
    <row r="654">
      <c r="G654" s="187"/>
    </row>
    <row r="655">
      <c r="G655" s="187"/>
    </row>
    <row r="656">
      <c r="G656" s="187"/>
    </row>
    <row r="657">
      <c r="G657" s="187"/>
    </row>
    <row r="658">
      <c r="G658" s="187"/>
    </row>
    <row r="659">
      <c r="G659" s="187"/>
    </row>
    <row r="660">
      <c r="G660" s="187"/>
    </row>
    <row r="661">
      <c r="G661" s="187"/>
    </row>
    <row r="662">
      <c r="G662" s="187"/>
    </row>
    <row r="663">
      <c r="G663" s="187"/>
    </row>
    <row r="664">
      <c r="G664" s="187"/>
    </row>
    <row r="665">
      <c r="G665" s="187"/>
    </row>
    <row r="666">
      <c r="G666" s="187"/>
    </row>
    <row r="667">
      <c r="G667" s="187"/>
    </row>
    <row r="668">
      <c r="G668" s="187"/>
    </row>
    <row r="669">
      <c r="G669" s="187"/>
    </row>
    <row r="670">
      <c r="G670" s="187"/>
    </row>
    <row r="671">
      <c r="G671" s="187"/>
    </row>
    <row r="672">
      <c r="G672" s="187"/>
    </row>
    <row r="673">
      <c r="G673" s="187"/>
    </row>
    <row r="674">
      <c r="G674" s="187"/>
    </row>
    <row r="675">
      <c r="G675" s="187"/>
    </row>
    <row r="676">
      <c r="G676" s="187"/>
    </row>
    <row r="677">
      <c r="G677" s="187"/>
    </row>
    <row r="678">
      <c r="G678" s="187"/>
    </row>
    <row r="679">
      <c r="G679" s="187"/>
    </row>
    <row r="680">
      <c r="G680" s="187"/>
    </row>
    <row r="681">
      <c r="G681" s="187"/>
    </row>
    <row r="682">
      <c r="G682" s="187"/>
    </row>
    <row r="683">
      <c r="G683" s="187"/>
    </row>
    <row r="684">
      <c r="G684" s="187"/>
    </row>
    <row r="685">
      <c r="G685" s="187"/>
    </row>
    <row r="686">
      <c r="G686" s="187"/>
    </row>
    <row r="687">
      <c r="G687" s="187"/>
    </row>
    <row r="688">
      <c r="G688" s="187"/>
    </row>
    <row r="689">
      <c r="G689" s="187"/>
    </row>
    <row r="690">
      <c r="G690" s="187"/>
    </row>
    <row r="691">
      <c r="G691" s="187"/>
    </row>
    <row r="692">
      <c r="G692" s="187"/>
    </row>
    <row r="693">
      <c r="G693" s="187"/>
    </row>
    <row r="694">
      <c r="G694" s="187"/>
    </row>
    <row r="695">
      <c r="G695" s="187"/>
    </row>
    <row r="696">
      <c r="G696" s="187"/>
    </row>
    <row r="697">
      <c r="G697" s="187"/>
    </row>
    <row r="698">
      <c r="G698" s="187"/>
    </row>
    <row r="699">
      <c r="G699" s="187"/>
    </row>
    <row r="700">
      <c r="G700" s="187"/>
    </row>
    <row r="701">
      <c r="G701" s="187"/>
    </row>
    <row r="702">
      <c r="G702" s="187"/>
    </row>
    <row r="703">
      <c r="G703" s="187"/>
    </row>
    <row r="704">
      <c r="G704" s="187"/>
    </row>
    <row r="705">
      <c r="G705" s="187"/>
    </row>
    <row r="706">
      <c r="G706" s="187"/>
    </row>
    <row r="707">
      <c r="G707" s="187"/>
    </row>
    <row r="708">
      <c r="G708" s="187"/>
    </row>
    <row r="709">
      <c r="G709" s="187"/>
    </row>
    <row r="710">
      <c r="G710" s="187"/>
    </row>
    <row r="711">
      <c r="G711" s="187"/>
    </row>
    <row r="712">
      <c r="G712" s="187"/>
    </row>
    <row r="713">
      <c r="G713" s="187"/>
    </row>
    <row r="714">
      <c r="G714" s="187"/>
    </row>
    <row r="715">
      <c r="G715" s="187"/>
    </row>
    <row r="716">
      <c r="G716" s="187"/>
    </row>
    <row r="717">
      <c r="G717" s="187"/>
    </row>
    <row r="718">
      <c r="G718" s="187"/>
    </row>
    <row r="719">
      <c r="G719" s="187"/>
    </row>
    <row r="720">
      <c r="G720" s="187"/>
    </row>
    <row r="721">
      <c r="G721" s="187"/>
    </row>
    <row r="722">
      <c r="G722" s="187"/>
    </row>
    <row r="723">
      <c r="G723" s="187"/>
    </row>
    <row r="724">
      <c r="G724" s="187"/>
    </row>
    <row r="725">
      <c r="G725" s="187"/>
    </row>
    <row r="726">
      <c r="G726" s="187"/>
    </row>
    <row r="727">
      <c r="G727" s="187"/>
    </row>
    <row r="728">
      <c r="G728" s="187"/>
    </row>
    <row r="729">
      <c r="G729" s="187"/>
    </row>
    <row r="730">
      <c r="G730" s="187"/>
    </row>
    <row r="731">
      <c r="G731" s="187"/>
    </row>
    <row r="732">
      <c r="G732" s="187"/>
    </row>
    <row r="733">
      <c r="G733" s="187"/>
    </row>
    <row r="734">
      <c r="G734" s="187"/>
    </row>
    <row r="735">
      <c r="G735" s="187"/>
    </row>
    <row r="736">
      <c r="G736" s="187"/>
    </row>
    <row r="737">
      <c r="G737" s="187"/>
    </row>
    <row r="738">
      <c r="G738" s="187"/>
    </row>
    <row r="739">
      <c r="G739" s="187"/>
    </row>
    <row r="740">
      <c r="G740" s="187"/>
    </row>
    <row r="741">
      <c r="G741" s="187"/>
    </row>
    <row r="742">
      <c r="G742" s="187"/>
    </row>
    <row r="743">
      <c r="G743" s="187"/>
    </row>
    <row r="744">
      <c r="G744" s="187"/>
    </row>
    <row r="745">
      <c r="G745" s="187"/>
    </row>
    <row r="746">
      <c r="G746" s="187"/>
    </row>
    <row r="747">
      <c r="G747" s="187"/>
    </row>
    <row r="748">
      <c r="G748" s="187"/>
    </row>
    <row r="749">
      <c r="G749" s="187"/>
    </row>
    <row r="750">
      <c r="G750" s="187"/>
    </row>
    <row r="751">
      <c r="G751" s="187"/>
    </row>
    <row r="752">
      <c r="G752" s="187"/>
    </row>
    <row r="753">
      <c r="G753" s="187"/>
    </row>
    <row r="754">
      <c r="G754" s="187"/>
    </row>
    <row r="755">
      <c r="G755" s="187"/>
    </row>
    <row r="756">
      <c r="G756" s="187"/>
    </row>
    <row r="757">
      <c r="G757" s="187"/>
    </row>
    <row r="758">
      <c r="G758" s="187"/>
    </row>
    <row r="759">
      <c r="G759" s="187"/>
    </row>
    <row r="760">
      <c r="G760" s="187"/>
    </row>
    <row r="761">
      <c r="G761" s="187"/>
    </row>
    <row r="762">
      <c r="G762" s="187"/>
    </row>
    <row r="763">
      <c r="G763" s="187"/>
    </row>
    <row r="764">
      <c r="G764" s="187"/>
    </row>
    <row r="765">
      <c r="G765" s="187"/>
    </row>
    <row r="766">
      <c r="G766" s="187"/>
    </row>
    <row r="767">
      <c r="G767" s="187"/>
    </row>
    <row r="768">
      <c r="G768" s="187"/>
    </row>
    <row r="769">
      <c r="G769" s="187"/>
    </row>
    <row r="770">
      <c r="G770" s="187"/>
    </row>
    <row r="771">
      <c r="G771" s="187"/>
    </row>
    <row r="772">
      <c r="G772" s="187"/>
    </row>
    <row r="773">
      <c r="G773" s="187"/>
    </row>
    <row r="774">
      <c r="G774" s="187"/>
    </row>
    <row r="775">
      <c r="G775" s="187"/>
    </row>
    <row r="776">
      <c r="G776" s="187"/>
    </row>
    <row r="777">
      <c r="G777" s="187"/>
    </row>
    <row r="778">
      <c r="G778" s="187"/>
    </row>
    <row r="779">
      <c r="G779" s="187"/>
    </row>
    <row r="780">
      <c r="G780" s="187"/>
    </row>
    <row r="781">
      <c r="G781" s="187"/>
    </row>
    <row r="782">
      <c r="G782" s="187"/>
    </row>
    <row r="783">
      <c r="G783" s="187"/>
    </row>
    <row r="784">
      <c r="G784" s="187"/>
    </row>
    <row r="785">
      <c r="G785" s="187"/>
    </row>
    <row r="786">
      <c r="G786" s="187"/>
    </row>
    <row r="787">
      <c r="G787" s="187"/>
    </row>
    <row r="788">
      <c r="G788" s="187"/>
    </row>
    <row r="789">
      <c r="G789" s="187"/>
    </row>
    <row r="790">
      <c r="G790" s="187"/>
    </row>
    <row r="791">
      <c r="G791" s="187"/>
    </row>
    <row r="792">
      <c r="G792" s="187"/>
    </row>
    <row r="793">
      <c r="G793" s="187"/>
    </row>
    <row r="794">
      <c r="G794" s="187"/>
    </row>
    <row r="795">
      <c r="G795" s="187"/>
    </row>
    <row r="796">
      <c r="G796" s="187"/>
    </row>
    <row r="797">
      <c r="G797" s="187"/>
    </row>
    <row r="798">
      <c r="G798" s="187"/>
    </row>
    <row r="799">
      <c r="G799" s="187"/>
    </row>
    <row r="800">
      <c r="G800" s="187"/>
    </row>
    <row r="801">
      <c r="G801" s="187"/>
    </row>
    <row r="802">
      <c r="G802" s="187"/>
    </row>
    <row r="803">
      <c r="G803" s="187"/>
    </row>
    <row r="804">
      <c r="G804" s="187"/>
    </row>
    <row r="805">
      <c r="G805" s="187"/>
    </row>
    <row r="806">
      <c r="G806" s="187"/>
    </row>
    <row r="807">
      <c r="G807" s="187"/>
    </row>
    <row r="808">
      <c r="G808" s="187"/>
    </row>
    <row r="809">
      <c r="G809" s="187"/>
    </row>
    <row r="810">
      <c r="G810" s="187"/>
    </row>
    <row r="811">
      <c r="G811" s="187"/>
    </row>
    <row r="812">
      <c r="G812" s="187"/>
    </row>
    <row r="813">
      <c r="G813" s="187"/>
    </row>
    <row r="814">
      <c r="G814" s="187"/>
    </row>
    <row r="815">
      <c r="G815" s="187"/>
    </row>
    <row r="816">
      <c r="G816" s="187"/>
    </row>
    <row r="817">
      <c r="G817" s="187"/>
    </row>
    <row r="818">
      <c r="G818" s="187"/>
    </row>
    <row r="819">
      <c r="G819" s="187"/>
    </row>
    <row r="820">
      <c r="G820" s="187"/>
    </row>
    <row r="821">
      <c r="G821" s="187"/>
    </row>
    <row r="822">
      <c r="G822" s="187"/>
    </row>
    <row r="823">
      <c r="G823" s="187"/>
    </row>
    <row r="824">
      <c r="G824" s="187"/>
    </row>
    <row r="825">
      <c r="G825" s="187"/>
    </row>
    <row r="826">
      <c r="G826" s="187"/>
    </row>
    <row r="827">
      <c r="G827" s="187"/>
    </row>
    <row r="828">
      <c r="G828" s="187"/>
    </row>
    <row r="829">
      <c r="G829" s="187"/>
    </row>
    <row r="830">
      <c r="G830" s="187"/>
    </row>
    <row r="831">
      <c r="G831" s="187"/>
    </row>
    <row r="832">
      <c r="G832" s="187"/>
    </row>
    <row r="833">
      <c r="G833" s="187"/>
    </row>
    <row r="834">
      <c r="G834" s="187"/>
    </row>
    <row r="835">
      <c r="G835" s="187"/>
    </row>
    <row r="836">
      <c r="G836" s="187"/>
    </row>
    <row r="837">
      <c r="G837" s="187"/>
    </row>
    <row r="838">
      <c r="G838" s="187"/>
    </row>
    <row r="839">
      <c r="G839" s="187"/>
    </row>
    <row r="840">
      <c r="G840" s="187"/>
    </row>
    <row r="841">
      <c r="G841" s="187"/>
    </row>
    <row r="842">
      <c r="G842" s="187"/>
    </row>
    <row r="843">
      <c r="G843" s="187"/>
    </row>
    <row r="844">
      <c r="G844" s="187"/>
    </row>
    <row r="845">
      <c r="G845" s="187"/>
    </row>
    <row r="846">
      <c r="G846" s="187"/>
    </row>
    <row r="847">
      <c r="G847" s="187"/>
    </row>
    <row r="848">
      <c r="G848" s="187"/>
    </row>
    <row r="849">
      <c r="G849" s="187"/>
    </row>
    <row r="850">
      <c r="G850" s="187"/>
    </row>
    <row r="851">
      <c r="G851" s="187"/>
    </row>
    <row r="852">
      <c r="G852" s="187"/>
    </row>
    <row r="853">
      <c r="G853" s="187"/>
    </row>
    <row r="854">
      <c r="G854" s="187"/>
    </row>
    <row r="855">
      <c r="G855" s="187"/>
    </row>
    <row r="856">
      <c r="G856" s="187"/>
    </row>
    <row r="857">
      <c r="G857" s="187"/>
    </row>
    <row r="858">
      <c r="G858" s="187"/>
    </row>
    <row r="859">
      <c r="G859" s="187"/>
    </row>
    <row r="860">
      <c r="G860" s="187"/>
    </row>
    <row r="861">
      <c r="G861" s="187"/>
    </row>
    <row r="862">
      <c r="G862" s="187"/>
    </row>
    <row r="863">
      <c r="G863" s="187"/>
    </row>
    <row r="864">
      <c r="G864" s="187"/>
    </row>
    <row r="865">
      <c r="G865" s="187"/>
    </row>
    <row r="866">
      <c r="G866" s="187"/>
    </row>
    <row r="867">
      <c r="G867" s="187"/>
    </row>
    <row r="868">
      <c r="G868" s="187"/>
    </row>
    <row r="869">
      <c r="G869" s="187"/>
    </row>
    <row r="870">
      <c r="G870" s="187"/>
    </row>
    <row r="871">
      <c r="G871" s="187"/>
    </row>
    <row r="872">
      <c r="G872" s="187"/>
    </row>
    <row r="873">
      <c r="G873" s="187"/>
    </row>
    <row r="874">
      <c r="G874" s="187"/>
    </row>
    <row r="875">
      <c r="G875" s="187"/>
    </row>
    <row r="876">
      <c r="G876" s="187"/>
    </row>
    <row r="877">
      <c r="G877" s="187"/>
    </row>
    <row r="878">
      <c r="G878" s="187"/>
    </row>
    <row r="879">
      <c r="G879" s="187"/>
    </row>
    <row r="880">
      <c r="G880" s="187"/>
    </row>
    <row r="881">
      <c r="G881" s="187"/>
    </row>
    <row r="882">
      <c r="G882" s="187"/>
    </row>
    <row r="883">
      <c r="G883" s="187"/>
    </row>
    <row r="884">
      <c r="G884" s="187"/>
    </row>
    <row r="885">
      <c r="G885" s="187"/>
    </row>
    <row r="886">
      <c r="G886" s="187"/>
    </row>
    <row r="887">
      <c r="G887" s="187"/>
    </row>
    <row r="888">
      <c r="G888" s="187"/>
    </row>
    <row r="889">
      <c r="G889" s="187"/>
    </row>
    <row r="890">
      <c r="G890" s="187"/>
    </row>
    <row r="891">
      <c r="G891" s="187"/>
    </row>
    <row r="892">
      <c r="G892" s="187"/>
    </row>
    <row r="893">
      <c r="G893" s="187"/>
    </row>
    <row r="894">
      <c r="G894" s="187"/>
    </row>
    <row r="895">
      <c r="G895" s="187"/>
    </row>
    <row r="896">
      <c r="G896" s="187"/>
    </row>
    <row r="897">
      <c r="G897" s="187"/>
    </row>
    <row r="898">
      <c r="G898" s="187"/>
    </row>
    <row r="899">
      <c r="G899" s="187"/>
    </row>
    <row r="900">
      <c r="G900" s="187"/>
    </row>
    <row r="901">
      <c r="G901" s="187"/>
    </row>
    <row r="902">
      <c r="G902" s="187"/>
    </row>
    <row r="903">
      <c r="G903" s="187"/>
    </row>
    <row r="904">
      <c r="G904" s="187"/>
    </row>
    <row r="905">
      <c r="G905" s="187"/>
    </row>
    <row r="906">
      <c r="G906" s="187"/>
    </row>
    <row r="907">
      <c r="G907" s="187"/>
    </row>
    <row r="908">
      <c r="G908" s="187"/>
    </row>
    <row r="909">
      <c r="G909" s="187"/>
    </row>
    <row r="910">
      <c r="G910" s="187"/>
    </row>
    <row r="911">
      <c r="G911" s="187"/>
    </row>
    <row r="912">
      <c r="G912" s="187"/>
    </row>
    <row r="913">
      <c r="G913" s="187"/>
    </row>
    <row r="914">
      <c r="G914" s="187"/>
    </row>
    <row r="915">
      <c r="G915" s="187"/>
    </row>
    <row r="916">
      <c r="G916" s="187"/>
    </row>
    <row r="917">
      <c r="G917" s="187"/>
    </row>
    <row r="918">
      <c r="G918" s="187"/>
    </row>
    <row r="919">
      <c r="G919" s="187"/>
    </row>
    <row r="920">
      <c r="G920" s="187"/>
    </row>
    <row r="921">
      <c r="G921" s="187"/>
    </row>
    <row r="922">
      <c r="G922" s="187"/>
    </row>
    <row r="923">
      <c r="G923" s="187"/>
    </row>
    <row r="924">
      <c r="G924" s="187"/>
    </row>
    <row r="925">
      <c r="G925" s="187"/>
    </row>
    <row r="926">
      <c r="G926" s="187"/>
    </row>
    <row r="927">
      <c r="G927" s="187"/>
    </row>
    <row r="928">
      <c r="G928" s="187"/>
    </row>
    <row r="929">
      <c r="G929" s="187"/>
    </row>
    <row r="930">
      <c r="G930" s="187"/>
    </row>
    <row r="931">
      <c r="G931" s="187"/>
    </row>
    <row r="932">
      <c r="G932" s="187"/>
    </row>
    <row r="933">
      <c r="G933" s="187"/>
    </row>
    <row r="934">
      <c r="G934" s="187"/>
    </row>
    <row r="935">
      <c r="G935" s="187"/>
    </row>
    <row r="936">
      <c r="G936" s="187"/>
    </row>
    <row r="937">
      <c r="G937" s="187"/>
    </row>
    <row r="938">
      <c r="G938" s="187"/>
    </row>
    <row r="939">
      <c r="G939" s="187"/>
    </row>
    <row r="940">
      <c r="G940" s="187"/>
    </row>
    <row r="941">
      <c r="G941" s="187"/>
    </row>
    <row r="942">
      <c r="G942" s="187"/>
    </row>
    <row r="943">
      <c r="G943" s="187"/>
    </row>
    <row r="944">
      <c r="G944" s="187"/>
    </row>
    <row r="945">
      <c r="G945" s="187"/>
    </row>
    <row r="946">
      <c r="G946" s="187"/>
    </row>
    <row r="947">
      <c r="G947" s="187"/>
    </row>
    <row r="948">
      <c r="G948" s="187"/>
    </row>
    <row r="949">
      <c r="G949" s="187"/>
    </row>
    <row r="950">
      <c r="G950" s="187"/>
    </row>
    <row r="951">
      <c r="G951" s="187"/>
    </row>
    <row r="952">
      <c r="G952" s="187"/>
    </row>
    <row r="953">
      <c r="G953" s="187"/>
    </row>
    <row r="954">
      <c r="G954" s="187"/>
    </row>
    <row r="955">
      <c r="G955" s="187"/>
    </row>
    <row r="956">
      <c r="G956" s="187"/>
    </row>
    <row r="957">
      <c r="G957" s="187"/>
    </row>
    <row r="958">
      <c r="G958" s="187"/>
    </row>
    <row r="959">
      <c r="G959" s="187"/>
    </row>
    <row r="960">
      <c r="G960" s="187"/>
    </row>
    <row r="961">
      <c r="G961" s="187"/>
    </row>
    <row r="962">
      <c r="G962" s="187"/>
    </row>
    <row r="963">
      <c r="G963" s="187"/>
    </row>
    <row r="964">
      <c r="G964" s="187"/>
    </row>
    <row r="965">
      <c r="G965" s="187"/>
    </row>
    <row r="966">
      <c r="G966" s="187"/>
    </row>
    <row r="967">
      <c r="G967" s="187"/>
    </row>
    <row r="968">
      <c r="G968" s="187"/>
    </row>
    <row r="969">
      <c r="G969" s="187"/>
    </row>
    <row r="970">
      <c r="G970" s="187"/>
    </row>
    <row r="971">
      <c r="G971" s="187"/>
    </row>
    <row r="972">
      <c r="G972" s="187"/>
    </row>
    <row r="973">
      <c r="G973" s="187"/>
    </row>
    <row r="974">
      <c r="G974" s="187"/>
    </row>
    <row r="975">
      <c r="G975" s="187"/>
    </row>
    <row r="976">
      <c r="G976" s="187"/>
    </row>
    <row r="977">
      <c r="G977" s="187"/>
    </row>
    <row r="978">
      <c r="G978" s="187"/>
    </row>
    <row r="979">
      <c r="G979" s="187"/>
    </row>
    <row r="980">
      <c r="G980" s="187"/>
    </row>
    <row r="981">
      <c r="G981" s="187"/>
    </row>
    <row r="982">
      <c r="G982" s="187"/>
    </row>
    <row r="983">
      <c r="G983" s="187"/>
    </row>
    <row r="984">
      <c r="G984" s="187"/>
    </row>
    <row r="985">
      <c r="G985" s="187"/>
    </row>
    <row r="986">
      <c r="G986" s="187"/>
    </row>
    <row r="987">
      <c r="G987" s="187"/>
    </row>
    <row r="988">
      <c r="G988" s="187"/>
    </row>
    <row r="989">
      <c r="G989" s="187"/>
    </row>
    <row r="990">
      <c r="G990" s="187"/>
    </row>
    <row r="991">
      <c r="G991" s="187"/>
    </row>
    <row r="992">
      <c r="G992" s="187"/>
    </row>
    <row r="993">
      <c r="G993" s="187"/>
    </row>
    <row r="994">
      <c r="G994" s="187"/>
    </row>
    <row r="995">
      <c r="G995" s="187"/>
    </row>
    <row r="996">
      <c r="G996" s="187"/>
    </row>
    <row r="997">
      <c r="G997" s="187"/>
    </row>
    <row r="998">
      <c r="G998" s="187"/>
    </row>
    <row r="999">
      <c r="G999" s="187"/>
    </row>
    <row r="1000">
      <c r="G1000" s="187"/>
    </row>
    <row r="1001">
      <c r="G1001" s="187"/>
    </row>
    <row r="1002">
      <c r="G1002" s="187"/>
    </row>
    <row r="1003">
      <c r="G1003" s="187"/>
    </row>
    <row r="1004">
      <c r="G1004" s="187"/>
    </row>
    <row r="1005">
      <c r="G1005" s="187"/>
    </row>
    <row r="1006">
      <c r="G1006" s="187"/>
    </row>
    <row r="1007">
      <c r="G1007" s="187"/>
    </row>
    <row r="1008">
      <c r="G1008" s="187"/>
    </row>
    <row r="1009">
      <c r="G1009" s="187"/>
    </row>
    <row r="1010">
      <c r="G1010" s="187"/>
    </row>
    <row r="1011">
      <c r="G1011" s="187"/>
    </row>
    <row r="1012">
      <c r="G1012" s="187"/>
    </row>
    <row r="1013">
      <c r="G1013" s="187"/>
    </row>
    <row r="1014">
      <c r="G1014" s="187"/>
    </row>
    <row r="1015">
      <c r="G1015" s="187"/>
    </row>
    <row r="1016">
      <c r="G1016" s="187"/>
    </row>
    <row r="1017">
      <c r="G1017" s="187"/>
    </row>
    <row r="1018">
      <c r="G1018" s="187"/>
    </row>
    <row r="1019">
      <c r="G1019" s="187"/>
    </row>
    <row r="1020">
      <c r="G1020" s="187"/>
    </row>
    <row r="1021">
      <c r="G1021" s="187"/>
    </row>
    <row r="1022">
      <c r="G1022" s="187"/>
    </row>
    <row r="1023">
      <c r="G1023" s="187"/>
    </row>
    <row r="1024">
      <c r="G1024" s="187"/>
    </row>
    <row r="1025">
      <c r="G1025" s="187"/>
    </row>
    <row r="1026">
      <c r="G1026" s="187"/>
    </row>
    <row r="1027">
      <c r="G1027" s="187"/>
    </row>
    <row r="1028">
      <c r="G1028" s="187"/>
    </row>
    <row r="1029">
      <c r="G1029" s="187"/>
    </row>
    <row r="1030">
      <c r="G1030" s="187"/>
    </row>
    <row r="1031">
      <c r="G1031" s="187"/>
    </row>
    <row r="1032">
      <c r="G1032" s="187"/>
    </row>
    <row r="1033">
      <c r="G1033" s="187"/>
    </row>
    <row r="1034">
      <c r="G1034" s="187"/>
    </row>
    <row r="1035">
      <c r="G1035" s="187"/>
    </row>
    <row r="1036">
      <c r="G1036" s="187"/>
    </row>
    <row r="1037">
      <c r="G1037" s="187"/>
    </row>
    <row r="1038">
      <c r="G1038" s="187"/>
    </row>
    <row r="1039">
      <c r="G1039" s="187"/>
    </row>
    <row r="1040">
      <c r="G1040" s="187"/>
    </row>
    <row r="1041">
      <c r="G1041" s="187"/>
    </row>
    <row r="1042">
      <c r="G1042" s="187"/>
    </row>
    <row r="1043">
      <c r="G1043" s="187"/>
    </row>
    <row r="1044">
      <c r="G1044" s="187"/>
    </row>
    <row r="1045">
      <c r="G1045" s="187"/>
    </row>
    <row r="1046">
      <c r="G1046" s="187"/>
    </row>
    <row r="1047">
      <c r="G1047" s="187"/>
    </row>
    <row r="1048">
      <c r="G1048" s="187"/>
    </row>
    <row r="1049">
      <c r="G1049" s="187"/>
    </row>
    <row r="1050">
      <c r="G1050" s="187"/>
    </row>
    <row r="1051">
      <c r="G1051" s="187"/>
    </row>
    <row r="1052">
      <c r="G1052" s="187"/>
    </row>
    <row r="1053">
      <c r="G1053" s="187"/>
    </row>
    <row r="1054">
      <c r="G1054" s="187"/>
    </row>
    <row r="1055">
      <c r="G1055" s="187"/>
    </row>
    <row r="1056">
      <c r="G1056" s="187"/>
    </row>
    <row r="1057">
      <c r="G1057" s="187"/>
    </row>
  </sheetData>
  <autoFilter ref="$A$1:$L$59"/>
  <conditionalFormatting sqref="F2:F5 F7:F59">
    <cfRule type="containsText" dxfId="0" priority="1" operator="containsText" text="Closed">
      <formula>NOT(ISERROR(SEARCH(("Closed"),(F2))))</formula>
    </cfRule>
  </conditionalFormatting>
  <conditionalFormatting sqref="F2:F5 F7:F59">
    <cfRule type="containsText" dxfId="3" priority="2" operator="containsText" text="Monitor">
      <formula>NOT(ISERROR(SEARCH(("Monitor"),(F2))))</formula>
    </cfRule>
  </conditionalFormatting>
  <conditionalFormatting sqref="F2:F5 F7:F59">
    <cfRule type="containsText" dxfId="4" priority="3" operator="containsText" text="Open">
      <formula>NOT(ISERROR(SEARCH(("Open"),(F2))))</formula>
    </cfRule>
  </conditionalFormatting>
  <conditionalFormatting sqref="F2:F5 F7:F59">
    <cfRule type="containsText" dxfId="5" priority="4" operator="containsText" text="NA">
      <formula>NOT(ISERROR(SEARCH(("NA"),(F2))))</formula>
    </cfRule>
  </conditionalFormatting>
  <dataValidations>
    <dataValidation type="list" allowBlank="1" sqref="B2:B59">
      <formula1>Option!$C$2:$C$16</formula1>
    </dataValidation>
    <dataValidation type="list" allowBlank="1" sqref="I2:J20 J21 I22:J27 J28 I29:J32 J33:J43 I44:J59">
      <formula1>Option!$K$2:$K$17</formula1>
    </dataValidation>
    <dataValidation type="list" allowBlank="1" sqref="C2:C59">
      <formula1>Option!$E$2:$E$13</formula1>
    </dataValidation>
    <dataValidation type="list" allowBlank="1" sqref="D2:D59">
      <formula1>Option!$D$2:$D$15</formula1>
    </dataValidation>
    <dataValidation type="list" allowBlank="1" sqref="F2:F5 F7:F59">
      <formula1>Option!$F$2:$F$5</formula1>
    </dataValidation>
    <dataValidation type="list" allowBlank="1" sqref="L2:L59">
      <formula1>"1.SCH,2.PCB,3.BOM,4.Parameter,5.SW/ME/RF/ANT/Component/MFG/Vendor,6.No Change"</formula1>
    </dataValidation>
    <dataValidation type="list" allowBlank="1" sqref="E2:E5 E6:F6 E7:E59">
      <formula1>Option!$G$2:$G$5</formula1>
    </dataValidation>
    <dataValidation type="list" allowBlank="1" sqref="I21 I28 I33:I43">
      <formula1>Option!$K$2:$K$20</formula1>
    </dataValidation>
  </dataValidations>
  <hyperlinks>
    <hyperlink r:id="rId4" location="gid=0" ref="M1"/>
    <hyperlink r:id="rId5" location="slide=id.p" ref="H2"/>
    <hyperlink r:id="rId6" location="slide=id.p" ref="H4"/>
    <hyperlink r:id="rId7" location="gid=0" ref="K4"/>
    <hyperlink r:id="rId8" location="slide=id.g15da93a8a65_0_1" ref="H5"/>
    <hyperlink r:id="rId9" location="gid=0" ref="K5"/>
    <hyperlink r:id="rId10" location="slide=id.g239766b18b9_0_9" ref="H6"/>
    <hyperlink r:id="rId11" ref="K7"/>
    <hyperlink r:id="rId12" location="slide=id.g22a207feaae_0_17" ref="H8"/>
    <hyperlink r:id="rId13" location="slide=id.g1f6a2d545cb_0_28" ref="H9"/>
    <hyperlink r:id="rId14" location="gid=0" ref="K9"/>
    <hyperlink r:id="rId15" location="slide=id.g22a0d6e93ab_0_2" ref="H10"/>
    <hyperlink r:id="rId16" ref="K10"/>
    <hyperlink r:id="rId17" location="slide=id.g2280752fae7_0_0" ref="H11"/>
    <hyperlink r:id="rId18" location="slide=id.g1d5705be202_0_0" ref="H12"/>
    <hyperlink r:id="rId19" location="gid=856820757" ref="K12"/>
    <hyperlink r:id="rId20" location="slide=id.g2231e02241f_0_55" ref="H13"/>
    <hyperlink r:id="rId21" location="gid=859934758" ref="K13"/>
    <hyperlink r:id="rId22" location="slide=id.g4057557fca_0_46" ref="H14"/>
    <hyperlink r:id="rId23" location="slide=id.g21232ef1162_0_0" ref="H15"/>
    <hyperlink r:id="rId24" location="slide=id.g205abd137c6_0_0" ref="H16"/>
    <hyperlink r:id="rId25" location="slide=id.p1" ref="K16"/>
    <hyperlink r:id="rId26" ref="H17"/>
    <hyperlink r:id="rId27" ref="H18"/>
    <hyperlink r:id="rId28" ref="K18"/>
    <hyperlink r:id="rId29" ref="H19"/>
    <hyperlink r:id="rId30" location="slide=id.g2c1933b3e9_0_0" ref="H20"/>
    <hyperlink r:id="rId31" location="gid=0" ref="K20"/>
    <hyperlink r:id="rId32" location="slide=id.g1cb704e1f36_0_92" ref="H21"/>
    <hyperlink r:id="rId33" location="slide=id.g15da93a8a65_0_1" ref="H23"/>
    <hyperlink r:id="rId34" ref="K23"/>
    <hyperlink r:id="rId35" location="slide=id.g1d5705be202_0_0" ref="H24"/>
    <hyperlink r:id="rId36" location="slide=id.g4a591ce03f_0_13" ref="H25"/>
    <hyperlink r:id="rId37" location="gid=0" ref="K25"/>
    <hyperlink r:id="rId38" location="slide=id.g204710b11ac_0_10" ref="H26"/>
    <hyperlink r:id="rId39" location="gid=0" ref="K26"/>
    <hyperlink r:id="rId40" location="slide=id.p" ref="H28"/>
    <hyperlink r:id="rId41" location="slide=id.p4" ref="H29"/>
    <hyperlink r:id="rId42" location="slide=id.g2038a7f0dec_0_0" ref="H30"/>
    <hyperlink r:id="rId43" location="slide=id.g1d2b88dbd30_0_55" ref="H32"/>
    <hyperlink r:id="rId44" location="slide=id.g1cb704e1f36_0_92" ref="H34"/>
    <hyperlink r:id="rId45" location="slide=id.p1" ref="H36"/>
    <hyperlink r:id="rId46" location="slide=id.g15da93a8a65_0_1" ref="H37"/>
    <hyperlink r:id="rId47" location="slide=id.p" ref="H39"/>
    <hyperlink r:id="rId48" ref="H42"/>
    <hyperlink r:id="rId49" ref="H43"/>
    <hyperlink r:id="rId50" ref="H45"/>
    <hyperlink r:id="rId51" location="slide=id.p" ref="H46"/>
    <hyperlink r:id="rId52" location="slide=id.g15da93a8a65_2_3" ref="H47"/>
  </hyperlinks>
  <drawing r:id="rId53"/>
  <legacyDrawing r:id="rId54"/>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1" max="1" width="13.0"/>
    <col customWidth="1" min="2" max="2" width="11.0"/>
    <col customWidth="1" min="3" max="3" width="14.25"/>
    <col customWidth="1" min="5" max="5" width="12.88"/>
    <col customWidth="1" min="7" max="7" width="107.63"/>
    <col customWidth="1" min="8" max="8" width="12.75"/>
    <col customWidth="1" min="12" max="12" width="20.88"/>
  </cols>
  <sheetData>
    <row r="1">
      <c r="A1" s="4" t="s">
        <v>54</v>
      </c>
      <c r="B1" s="4" t="s">
        <v>1</v>
      </c>
      <c r="C1" s="4" t="s">
        <v>2</v>
      </c>
      <c r="D1" s="4" t="s">
        <v>3</v>
      </c>
      <c r="E1" s="4" t="s">
        <v>4</v>
      </c>
      <c r="F1" s="4" t="s">
        <v>5</v>
      </c>
      <c r="G1" s="4" t="s">
        <v>6</v>
      </c>
      <c r="H1" s="4" t="s">
        <v>7</v>
      </c>
      <c r="I1" s="3" t="s">
        <v>8</v>
      </c>
      <c r="J1" s="3" t="s">
        <v>9</v>
      </c>
      <c r="K1" s="4" t="s">
        <v>10</v>
      </c>
      <c r="L1" s="4" t="s">
        <v>11</v>
      </c>
      <c r="M1" s="19" t="s">
        <v>55</v>
      </c>
    </row>
    <row r="2">
      <c r="A2" s="20">
        <v>45467.0</v>
      </c>
      <c r="B2" s="21" t="s">
        <v>172</v>
      </c>
      <c r="C2" s="22" t="s">
        <v>26</v>
      </c>
      <c r="D2" s="23" t="s">
        <v>27</v>
      </c>
      <c r="E2" s="23" t="s">
        <v>64</v>
      </c>
      <c r="F2" s="49" t="s">
        <v>64</v>
      </c>
      <c r="G2" s="147" t="s">
        <v>472</v>
      </c>
      <c r="H2" s="146" t="s">
        <v>61</v>
      </c>
      <c r="I2" s="143"/>
      <c r="J2" s="143" t="s">
        <v>66</v>
      </c>
      <c r="K2" s="146" t="s">
        <v>473</v>
      </c>
      <c r="L2" s="143" t="s">
        <v>68</v>
      </c>
      <c r="M2" s="28"/>
      <c r="N2" s="29"/>
      <c r="O2" s="29"/>
      <c r="P2" s="29"/>
      <c r="Q2" s="29"/>
      <c r="R2" s="29"/>
      <c r="S2" s="29"/>
      <c r="T2" s="29"/>
      <c r="U2" s="29"/>
      <c r="V2" s="29"/>
      <c r="W2" s="29"/>
      <c r="X2" s="29"/>
      <c r="Y2" s="29"/>
      <c r="Z2" s="29"/>
    </row>
    <row r="3">
      <c r="A3" s="20">
        <v>45376.0</v>
      </c>
      <c r="B3" s="21" t="s">
        <v>12</v>
      </c>
      <c r="C3" s="22" t="s">
        <v>83</v>
      </c>
      <c r="D3" s="23" t="s">
        <v>27</v>
      </c>
      <c r="E3" s="23" t="s">
        <v>64</v>
      </c>
      <c r="F3" s="49" t="s">
        <v>16</v>
      </c>
      <c r="G3" s="147" t="s">
        <v>474</v>
      </c>
      <c r="H3" s="144"/>
      <c r="I3" s="143" t="s">
        <v>66</v>
      </c>
      <c r="J3" s="143" t="s">
        <v>127</v>
      </c>
      <c r="K3" s="144"/>
      <c r="L3" s="143" t="s">
        <v>68</v>
      </c>
      <c r="M3" s="28"/>
      <c r="N3" s="29"/>
      <c r="O3" s="29"/>
      <c r="P3" s="29"/>
      <c r="Q3" s="29"/>
      <c r="R3" s="29"/>
      <c r="S3" s="29"/>
      <c r="T3" s="29"/>
      <c r="U3" s="29"/>
      <c r="V3" s="29"/>
      <c r="W3" s="29"/>
      <c r="X3" s="29"/>
      <c r="Y3" s="29"/>
      <c r="Z3" s="29"/>
    </row>
    <row r="4">
      <c r="A4" s="20">
        <v>45376.0</v>
      </c>
      <c r="B4" s="21" t="s">
        <v>12</v>
      </c>
      <c r="C4" s="22" t="s">
        <v>36</v>
      </c>
      <c r="D4" s="23" t="s">
        <v>95</v>
      </c>
      <c r="E4" s="23" t="s">
        <v>64</v>
      </c>
      <c r="F4" s="49" t="s">
        <v>64</v>
      </c>
      <c r="G4" s="147" t="s">
        <v>475</v>
      </c>
      <c r="H4" s="146" t="s">
        <v>476</v>
      </c>
      <c r="I4" s="143" t="s">
        <v>66</v>
      </c>
      <c r="J4" s="143"/>
      <c r="K4" s="144"/>
      <c r="L4" s="143" t="s">
        <v>68</v>
      </c>
      <c r="M4" s="28"/>
      <c r="N4" s="29"/>
      <c r="O4" s="29"/>
      <c r="P4" s="29"/>
      <c r="Q4" s="29"/>
      <c r="R4" s="29"/>
      <c r="S4" s="29"/>
      <c r="T4" s="29"/>
      <c r="U4" s="29"/>
      <c r="V4" s="29"/>
      <c r="W4" s="29"/>
      <c r="X4" s="29"/>
      <c r="Y4" s="29"/>
      <c r="Z4" s="29"/>
    </row>
    <row r="5">
      <c r="A5" s="20">
        <v>45345.0</v>
      </c>
      <c r="B5" s="130" t="s">
        <v>25</v>
      </c>
      <c r="C5" s="131" t="s">
        <v>57</v>
      </c>
      <c r="D5" s="132" t="s">
        <v>21</v>
      </c>
      <c r="E5" s="132" t="s">
        <v>22</v>
      </c>
      <c r="F5" s="134" t="s">
        <v>16</v>
      </c>
      <c r="G5" s="130" t="s">
        <v>477</v>
      </c>
      <c r="H5" s="146" t="s">
        <v>61</v>
      </c>
      <c r="I5" s="148" t="s">
        <v>334</v>
      </c>
      <c r="J5" s="143" t="s">
        <v>66</v>
      </c>
      <c r="K5" s="146" t="s">
        <v>478</v>
      </c>
      <c r="L5" s="143" t="s">
        <v>162</v>
      </c>
      <c r="M5" s="28"/>
      <c r="N5" s="29"/>
      <c r="O5" s="29"/>
      <c r="P5" s="29"/>
      <c r="Q5" s="29"/>
      <c r="R5" s="29"/>
      <c r="S5" s="29"/>
      <c r="T5" s="29"/>
      <c r="U5" s="29"/>
      <c r="V5" s="29"/>
      <c r="W5" s="29"/>
      <c r="X5" s="29"/>
      <c r="Y5" s="29"/>
      <c r="Z5" s="29"/>
    </row>
    <row r="6">
      <c r="A6" s="31">
        <v>45238.0</v>
      </c>
      <c r="B6" s="130" t="s">
        <v>25</v>
      </c>
      <c r="C6" s="131" t="s">
        <v>57</v>
      </c>
      <c r="D6" s="140" t="s">
        <v>58</v>
      </c>
      <c r="E6" s="140" t="s">
        <v>15</v>
      </c>
      <c r="F6" s="134" t="s">
        <v>16</v>
      </c>
      <c r="G6" s="130" t="s">
        <v>479</v>
      </c>
      <c r="H6" s="149" t="s">
        <v>61</v>
      </c>
      <c r="I6" s="148" t="s">
        <v>334</v>
      </c>
      <c r="J6" s="138"/>
      <c r="K6" s="138"/>
      <c r="L6" s="143" t="s">
        <v>144</v>
      </c>
      <c r="M6" s="28"/>
      <c r="N6" s="29"/>
      <c r="O6" s="29"/>
      <c r="P6" s="29"/>
      <c r="Q6" s="29"/>
      <c r="R6" s="29"/>
      <c r="S6" s="29"/>
      <c r="T6" s="29"/>
      <c r="U6" s="29"/>
      <c r="V6" s="29"/>
      <c r="W6" s="29"/>
      <c r="X6" s="29"/>
      <c r="Y6" s="29"/>
      <c r="Z6" s="29"/>
    </row>
    <row r="7">
      <c r="A7" s="20">
        <v>45296.0</v>
      </c>
      <c r="B7" s="32" t="s">
        <v>19</v>
      </c>
      <c r="C7" s="22" t="s">
        <v>36</v>
      </c>
      <c r="D7" s="23" t="s">
        <v>27</v>
      </c>
      <c r="E7" s="23" t="s">
        <v>64</v>
      </c>
      <c r="F7" s="49" t="s">
        <v>64</v>
      </c>
      <c r="G7" s="21" t="s">
        <v>480</v>
      </c>
      <c r="H7" s="26" t="s">
        <v>61</v>
      </c>
      <c r="I7" s="56" t="s">
        <v>66</v>
      </c>
      <c r="J7" s="30"/>
      <c r="K7" s="178" t="s">
        <v>481</v>
      </c>
      <c r="L7" s="27" t="s">
        <v>71</v>
      </c>
      <c r="M7" s="28"/>
      <c r="N7" s="29"/>
      <c r="O7" s="29"/>
      <c r="P7" s="29"/>
      <c r="Q7" s="29"/>
      <c r="R7" s="29"/>
      <c r="S7" s="29"/>
      <c r="T7" s="29"/>
      <c r="U7" s="29"/>
      <c r="V7" s="29"/>
      <c r="W7" s="29"/>
      <c r="X7" s="29"/>
      <c r="Y7" s="29"/>
      <c r="Z7" s="29"/>
    </row>
    <row r="8">
      <c r="A8" s="20">
        <v>45294.0</v>
      </c>
      <c r="B8" s="21" t="s">
        <v>19</v>
      </c>
      <c r="C8" s="22" t="s">
        <v>57</v>
      </c>
      <c r="D8" s="23" t="s">
        <v>58</v>
      </c>
      <c r="E8" s="23" t="s">
        <v>15</v>
      </c>
      <c r="F8" s="49" t="s">
        <v>16</v>
      </c>
      <c r="G8" s="147" t="s">
        <v>482</v>
      </c>
      <c r="H8" s="158" t="s">
        <v>61</v>
      </c>
      <c r="I8" s="56" t="s">
        <v>334</v>
      </c>
      <c r="J8" s="56"/>
      <c r="K8" s="150"/>
      <c r="L8" s="34" t="s">
        <v>71</v>
      </c>
      <c r="M8" s="28"/>
      <c r="N8" s="29"/>
      <c r="O8" s="29"/>
      <c r="P8" s="29"/>
      <c r="Q8" s="29"/>
      <c r="R8" s="29"/>
      <c r="S8" s="29"/>
      <c r="T8" s="29"/>
      <c r="U8" s="29"/>
      <c r="V8" s="29"/>
      <c r="W8" s="29"/>
      <c r="X8" s="29"/>
      <c r="Y8" s="29"/>
      <c r="Z8" s="29"/>
    </row>
    <row r="9">
      <c r="A9" s="20">
        <v>45272.0</v>
      </c>
      <c r="B9" s="21" t="s">
        <v>43</v>
      </c>
      <c r="C9" s="22" t="s">
        <v>83</v>
      </c>
      <c r="D9" s="23" t="s">
        <v>14</v>
      </c>
      <c r="E9" s="23" t="s">
        <v>64</v>
      </c>
      <c r="F9" s="49" t="s">
        <v>16</v>
      </c>
      <c r="G9" s="147" t="s">
        <v>483</v>
      </c>
      <c r="H9" s="45"/>
      <c r="I9" s="56" t="s">
        <v>66</v>
      </c>
      <c r="J9" s="56"/>
      <c r="K9" s="178" t="s">
        <v>484</v>
      </c>
      <c r="L9" s="34" t="s">
        <v>68</v>
      </c>
      <c r="M9" s="28"/>
      <c r="N9" s="29"/>
      <c r="O9" s="29"/>
      <c r="P9" s="29"/>
      <c r="Q9" s="29"/>
      <c r="R9" s="29"/>
      <c r="S9" s="29"/>
      <c r="T9" s="29"/>
      <c r="U9" s="29"/>
      <c r="V9" s="29"/>
      <c r="W9" s="29"/>
      <c r="X9" s="29"/>
      <c r="Y9" s="29"/>
      <c r="Z9" s="29"/>
    </row>
    <row r="10">
      <c r="A10" s="20">
        <v>45238.0</v>
      </c>
      <c r="B10" s="21" t="s">
        <v>19</v>
      </c>
      <c r="C10" s="22" t="s">
        <v>57</v>
      </c>
      <c r="D10" s="23" t="s">
        <v>58</v>
      </c>
      <c r="E10" s="23" t="s">
        <v>15</v>
      </c>
      <c r="F10" s="49" t="s">
        <v>16</v>
      </c>
      <c r="G10" s="147" t="s">
        <v>485</v>
      </c>
      <c r="H10" s="45"/>
      <c r="I10" s="56" t="s">
        <v>334</v>
      </c>
      <c r="J10" s="56"/>
      <c r="K10" s="151"/>
      <c r="L10" s="34" t="s">
        <v>144</v>
      </c>
      <c r="M10" s="28"/>
      <c r="N10" s="29"/>
      <c r="O10" s="29"/>
      <c r="P10" s="29"/>
      <c r="Q10" s="29"/>
      <c r="R10" s="29"/>
      <c r="S10" s="29"/>
      <c r="T10" s="29"/>
      <c r="U10" s="29"/>
      <c r="V10" s="29"/>
      <c r="W10" s="29"/>
      <c r="X10" s="29"/>
      <c r="Y10" s="29"/>
      <c r="Z10" s="29"/>
    </row>
    <row r="11">
      <c r="A11" s="20">
        <v>45266.0</v>
      </c>
      <c r="B11" s="21" t="s">
        <v>19</v>
      </c>
      <c r="C11" s="22" t="s">
        <v>76</v>
      </c>
      <c r="D11" s="23" t="s">
        <v>44</v>
      </c>
      <c r="E11" s="23" t="s">
        <v>15</v>
      </c>
      <c r="F11" s="49" t="s">
        <v>16</v>
      </c>
      <c r="G11" s="54" t="s">
        <v>486</v>
      </c>
      <c r="H11" s="45"/>
      <c r="I11" s="56"/>
      <c r="J11" s="56"/>
      <c r="K11" s="34"/>
      <c r="L11" s="34" t="s">
        <v>167</v>
      </c>
      <c r="M11" s="28"/>
      <c r="N11" s="29"/>
      <c r="O11" s="29"/>
      <c r="P11" s="29"/>
      <c r="Q11" s="29"/>
      <c r="R11" s="29"/>
      <c r="S11" s="29"/>
      <c r="T11" s="29"/>
      <c r="U11" s="29"/>
      <c r="V11" s="29"/>
      <c r="W11" s="29"/>
      <c r="X11" s="29"/>
      <c r="Y11" s="29"/>
      <c r="Z11" s="29"/>
    </row>
    <row r="12" ht="61.5" customHeight="1">
      <c r="A12" s="20">
        <v>45265.0</v>
      </c>
      <c r="B12" s="21" t="s">
        <v>19</v>
      </c>
      <c r="C12" s="22" t="s">
        <v>371</v>
      </c>
      <c r="D12" s="23" t="s">
        <v>27</v>
      </c>
      <c r="E12" s="23" t="s">
        <v>22</v>
      </c>
      <c r="F12" s="49" t="s">
        <v>16</v>
      </c>
      <c r="G12" s="152" t="s">
        <v>487</v>
      </c>
      <c r="H12" s="158" t="s">
        <v>97</v>
      </c>
      <c r="I12" s="56" t="s">
        <v>197</v>
      </c>
      <c r="J12" s="56"/>
      <c r="K12" s="34"/>
      <c r="L12" s="34" t="s">
        <v>71</v>
      </c>
      <c r="M12" s="28"/>
      <c r="N12" s="29"/>
      <c r="O12" s="29"/>
      <c r="P12" s="29"/>
      <c r="Q12" s="29"/>
      <c r="R12" s="29"/>
      <c r="S12" s="29"/>
      <c r="T12" s="29"/>
      <c r="U12" s="29"/>
      <c r="V12" s="29"/>
      <c r="W12" s="29"/>
      <c r="X12" s="29"/>
      <c r="Y12" s="29"/>
      <c r="Z12" s="29"/>
    </row>
    <row r="13">
      <c r="A13" s="20">
        <v>45253.0</v>
      </c>
      <c r="B13" s="21" t="s">
        <v>43</v>
      </c>
      <c r="C13" s="22" t="s">
        <v>36</v>
      </c>
      <c r="D13" s="23" t="s">
        <v>44</v>
      </c>
      <c r="E13" s="23" t="s">
        <v>22</v>
      </c>
      <c r="F13" s="49" t="s">
        <v>16</v>
      </c>
      <c r="G13" s="152" t="s">
        <v>488</v>
      </c>
      <c r="H13" s="158" t="s">
        <v>61</v>
      </c>
      <c r="I13" s="56" t="s">
        <v>66</v>
      </c>
      <c r="J13" s="56"/>
      <c r="K13" s="34"/>
      <c r="L13" s="34" t="s">
        <v>144</v>
      </c>
      <c r="M13" s="28"/>
      <c r="N13" s="29">
        <f>0.78*11.9</f>
        <v>9.282</v>
      </c>
      <c r="O13" s="29"/>
      <c r="P13" s="29"/>
      <c r="Q13" s="29"/>
      <c r="R13" s="29"/>
      <c r="S13" s="29"/>
      <c r="T13" s="29"/>
      <c r="U13" s="29"/>
      <c r="V13" s="29"/>
      <c r="W13" s="29"/>
      <c r="X13" s="29"/>
      <c r="Y13" s="29"/>
      <c r="Z13" s="29"/>
    </row>
    <row r="14">
      <c r="A14" s="20">
        <v>45238.0</v>
      </c>
      <c r="B14" s="21" t="s">
        <v>43</v>
      </c>
      <c r="C14" s="22" t="s">
        <v>57</v>
      </c>
      <c r="D14" s="23" t="s">
        <v>58</v>
      </c>
      <c r="E14" s="23" t="s">
        <v>15</v>
      </c>
      <c r="F14" s="49" t="s">
        <v>16</v>
      </c>
      <c r="G14" s="147" t="s">
        <v>489</v>
      </c>
      <c r="H14" s="158" t="s">
        <v>61</v>
      </c>
      <c r="I14" s="56" t="s">
        <v>334</v>
      </c>
      <c r="J14" s="56"/>
      <c r="K14" s="34"/>
      <c r="L14" s="34" t="s">
        <v>71</v>
      </c>
      <c r="M14" s="28"/>
      <c r="N14" s="29"/>
      <c r="O14" s="29"/>
      <c r="P14" s="29"/>
      <c r="Q14" s="29"/>
      <c r="R14" s="29"/>
      <c r="S14" s="29"/>
      <c r="T14" s="29"/>
      <c r="U14" s="29"/>
      <c r="V14" s="29"/>
      <c r="W14" s="29"/>
      <c r="X14" s="29"/>
      <c r="Y14" s="29"/>
      <c r="Z14" s="29"/>
    </row>
    <row r="15">
      <c r="A15" s="20">
        <v>45243.0</v>
      </c>
      <c r="B15" s="21" t="s">
        <v>43</v>
      </c>
      <c r="C15" s="22" t="s">
        <v>57</v>
      </c>
      <c r="D15" s="23" t="s">
        <v>58</v>
      </c>
      <c r="E15" s="23" t="s">
        <v>22</v>
      </c>
      <c r="F15" s="49" t="s">
        <v>16</v>
      </c>
      <c r="G15" s="147" t="s">
        <v>490</v>
      </c>
      <c r="H15" s="45"/>
      <c r="I15" s="56" t="s">
        <v>334</v>
      </c>
      <c r="J15" s="56"/>
      <c r="K15" s="34"/>
      <c r="L15" s="34" t="s">
        <v>167</v>
      </c>
      <c r="M15" s="28"/>
      <c r="N15" s="29"/>
      <c r="O15" s="29"/>
      <c r="P15" s="29"/>
      <c r="Q15" s="29"/>
      <c r="R15" s="29"/>
      <c r="S15" s="29"/>
      <c r="T15" s="29"/>
      <c r="U15" s="29"/>
      <c r="V15" s="29"/>
      <c r="W15" s="29"/>
      <c r="X15" s="29"/>
      <c r="Y15" s="29"/>
      <c r="Z15" s="29"/>
    </row>
    <row r="16">
      <c r="A16" s="20">
        <v>45243.0</v>
      </c>
      <c r="B16" s="130" t="s">
        <v>43</v>
      </c>
      <c r="C16" s="8" t="s">
        <v>49</v>
      </c>
      <c r="D16" s="132" t="s">
        <v>58</v>
      </c>
      <c r="E16" s="132" t="s">
        <v>22</v>
      </c>
      <c r="F16" s="142" t="s">
        <v>16</v>
      </c>
      <c r="G16" s="153" t="s">
        <v>491</v>
      </c>
      <c r="H16" s="45"/>
      <c r="I16" s="56" t="s">
        <v>115</v>
      </c>
      <c r="J16" s="56" t="s">
        <v>346</v>
      </c>
      <c r="K16" s="144"/>
      <c r="L16" s="144" t="s">
        <v>71</v>
      </c>
      <c r="M16" s="28"/>
      <c r="N16" s="29"/>
      <c r="O16" s="29"/>
      <c r="P16" s="29"/>
      <c r="Q16" s="29"/>
      <c r="R16" s="29"/>
      <c r="S16" s="29"/>
      <c r="T16" s="29"/>
      <c r="U16" s="29"/>
      <c r="V16" s="29"/>
      <c r="W16" s="29"/>
      <c r="X16" s="29"/>
      <c r="Y16" s="29"/>
      <c r="Z16" s="29"/>
    </row>
    <row r="17">
      <c r="A17" s="20">
        <v>45238.0</v>
      </c>
      <c r="B17" s="130" t="s">
        <v>43</v>
      </c>
      <c r="C17" s="8" t="s">
        <v>76</v>
      </c>
      <c r="D17" s="132" t="s">
        <v>27</v>
      </c>
      <c r="E17" s="132" t="s">
        <v>22</v>
      </c>
      <c r="F17" s="142" t="s">
        <v>16</v>
      </c>
      <c r="G17" s="153" t="s">
        <v>492</v>
      </c>
      <c r="H17" s="45"/>
      <c r="I17" s="56" t="s">
        <v>346</v>
      </c>
      <c r="J17" s="56"/>
      <c r="K17" s="144"/>
      <c r="L17" s="144" t="s">
        <v>162</v>
      </c>
      <c r="M17" s="28"/>
      <c r="N17" s="29"/>
      <c r="O17" s="29"/>
      <c r="P17" s="29"/>
      <c r="Q17" s="29"/>
      <c r="R17" s="29"/>
      <c r="S17" s="29"/>
      <c r="T17" s="29"/>
      <c r="U17" s="29"/>
      <c r="V17" s="29"/>
      <c r="W17" s="29"/>
      <c r="X17" s="29"/>
      <c r="Y17" s="29"/>
      <c r="Z17" s="29"/>
    </row>
    <row r="18">
      <c r="A18" s="20">
        <v>45238.0</v>
      </c>
      <c r="B18" s="130" t="s">
        <v>43</v>
      </c>
      <c r="C18" s="8" t="s">
        <v>26</v>
      </c>
      <c r="D18" s="132" t="s">
        <v>58</v>
      </c>
      <c r="E18" s="132" t="s">
        <v>64</v>
      </c>
      <c r="F18" s="142" t="s">
        <v>16</v>
      </c>
      <c r="G18" s="153" t="s">
        <v>493</v>
      </c>
      <c r="H18" s="45"/>
      <c r="I18" s="56" t="s">
        <v>67</v>
      </c>
      <c r="J18" s="56" t="s">
        <v>66</v>
      </c>
      <c r="K18" s="171" t="s">
        <v>494</v>
      </c>
      <c r="L18" s="144" t="s">
        <v>71</v>
      </c>
      <c r="M18" s="28"/>
      <c r="N18" s="29"/>
      <c r="O18" s="29"/>
      <c r="P18" s="29"/>
      <c r="Q18" s="29"/>
      <c r="R18" s="29"/>
      <c r="S18" s="29"/>
      <c r="T18" s="29"/>
      <c r="U18" s="29"/>
      <c r="V18" s="29"/>
      <c r="W18" s="29"/>
      <c r="X18" s="29"/>
      <c r="Y18" s="29"/>
      <c r="Z18" s="29"/>
    </row>
    <row r="19">
      <c r="A19" s="20">
        <v>45207.0</v>
      </c>
      <c r="B19" s="130" t="s">
        <v>56</v>
      </c>
      <c r="C19" s="8" t="s">
        <v>20</v>
      </c>
      <c r="D19" s="132" t="s">
        <v>58</v>
      </c>
      <c r="E19" s="132" t="s">
        <v>15</v>
      </c>
      <c r="F19" s="142" t="s">
        <v>16</v>
      </c>
      <c r="G19" s="155" t="s">
        <v>495</v>
      </c>
      <c r="H19" s="158" t="s">
        <v>97</v>
      </c>
      <c r="I19" s="56" t="s">
        <v>66</v>
      </c>
      <c r="J19" s="56" t="s">
        <v>67</v>
      </c>
      <c r="K19" s="144"/>
      <c r="L19" s="144" t="s">
        <v>71</v>
      </c>
      <c r="M19" s="28"/>
      <c r="N19" s="29"/>
      <c r="O19" s="29"/>
      <c r="P19" s="29"/>
      <c r="Q19" s="29"/>
      <c r="R19" s="29"/>
      <c r="S19" s="29"/>
      <c r="T19" s="29"/>
      <c r="U19" s="29"/>
      <c r="V19" s="29"/>
      <c r="W19" s="29"/>
      <c r="X19" s="29"/>
      <c r="Y19" s="29"/>
      <c r="Z19" s="29"/>
    </row>
    <row r="20">
      <c r="A20" s="20">
        <v>45219.0</v>
      </c>
      <c r="B20" s="130" t="s">
        <v>56</v>
      </c>
      <c r="C20" s="8" t="s">
        <v>76</v>
      </c>
      <c r="D20" s="132" t="s">
        <v>44</v>
      </c>
      <c r="E20" s="132" t="s">
        <v>22</v>
      </c>
      <c r="F20" s="142" t="s">
        <v>16</v>
      </c>
      <c r="G20" s="153" t="s">
        <v>496</v>
      </c>
      <c r="H20" s="45"/>
      <c r="I20" s="56" t="s">
        <v>115</v>
      </c>
      <c r="J20" s="56" t="s">
        <v>346</v>
      </c>
      <c r="K20" s="144"/>
      <c r="L20" s="144" t="s">
        <v>71</v>
      </c>
      <c r="M20" s="28"/>
      <c r="N20" s="29"/>
      <c r="O20" s="29"/>
      <c r="P20" s="29"/>
      <c r="Q20" s="29"/>
      <c r="R20" s="29"/>
      <c r="S20" s="29"/>
      <c r="T20" s="29"/>
      <c r="U20" s="29"/>
      <c r="V20" s="29"/>
      <c r="W20" s="29"/>
      <c r="X20" s="29"/>
      <c r="Y20" s="29"/>
      <c r="Z20" s="29"/>
    </row>
    <row r="21">
      <c r="A21" s="20">
        <v>45226.0</v>
      </c>
      <c r="B21" s="130" t="s">
        <v>56</v>
      </c>
      <c r="C21" s="8" t="s">
        <v>49</v>
      </c>
      <c r="D21" s="132" t="s">
        <v>44</v>
      </c>
      <c r="E21" s="132" t="s">
        <v>15</v>
      </c>
      <c r="F21" s="142" t="s">
        <v>16</v>
      </c>
      <c r="G21" s="153" t="s">
        <v>497</v>
      </c>
      <c r="H21" s="45"/>
      <c r="I21" s="56" t="s">
        <v>115</v>
      </c>
      <c r="J21" s="56"/>
      <c r="K21" s="144"/>
      <c r="L21" s="144" t="s">
        <v>68</v>
      </c>
      <c r="M21" s="28"/>
      <c r="N21" s="29"/>
      <c r="O21" s="29"/>
      <c r="P21" s="29"/>
      <c r="Q21" s="29"/>
      <c r="R21" s="29"/>
      <c r="S21" s="29"/>
      <c r="T21" s="29"/>
      <c r="U21" s="29"/>
      <c r="V21" s="29"/>
      <c r="W21" s="29"/>
      <c r="X21" s="29"/>
      <c r="Y21" s="29"/>
      <c r="Z21" s="29"/>
    </row>
    <row r="22">
      <c r="A22" s="20">
        <v>45225.0</v>
      </c>
      <c r="B22" s="130" t="s">
        <v>56</v>
      </c>
      <c r="C22" s="8" t="s">
        <v>20</v>
      </c>
      <c r="D22" s="132" t="s">
        <v>44</v>
      </c>
      <c r="E22" s="132" t="s">
        <v>15</v>
      </c>
      <c r="F22" s="142" t="s">
        <v>16</v>
      </c>
      <c r="G22" s="153" t="s">
        <v>498</v>
      </c>
      <c r="H22" s="45"/>
      <c r="I22" s="56" t="s">
        <v>67</v>
      </c>
      <c r="J22" s="56" t="s">
        <v>66</v>
      </c>
      <c r="K22" s="146" t="s">
        <v>97</v>
      </c>
      <c r="L22" s="144" t="s">
        <v>162</v>
      </c>
      <c r="M22" s="28"/>
      <c r="N22" s="29"/>
      <c r="O22" s="29"/>
      <c r="P22" s="29"/>
      <c r="Q22" s="29"/>
      <c r="R22" s="29"/>
      <c r="S22" s="29"/>
      <c r="T22" s="29"/>
      <c r="U22" s="29"/>
      <c r="V22" s="29"/>
      <c r="W22" s="29"/>
      <c r="X22" s="29"/>
      <c r="Y22" s="29"/>
      <c r="Z22" s="29"/>
    </row>
    <row r="23" ht="63.75" customHeight="1">
      <c r="A23" s="20">
        <v>45215.0</v>
      </c>
      <c r="B23" s="130" t="s">
        <v>56</v>
      </c>
      <c r="C23" s="8" t="s">
        <v>76</v>
      </c>
      <c r="D23" s="132" t="s">
        <v>44</v>
      </c>
      <c r="E23" s="132" t="s">
        <v>15</v>
      </c>
      <c r="F23" s="142" t="s">
        <v>16</v>
      </c>
      <c r="G23" s="153" t="s">
        <v>499</v>
      </c>
      <c r="H23" s="45"/>
      <c r="I23" s="56" t="s">
        <v>346</v>
      </c>
      <c r="J23" s="56"/>
      <c r="K23" s="144"/>
      <c r="L23" s="144" t="s">
        <v>167</v>
      </c>
      <c r="M23" s="28"/>
      <c r="N23" s="29"/>
      <c r="O23" s="29"/>
      <c r="P23" s="29"/>
      <c r="Q23" s="29"/>
      <c r="R23" s="29"/>
      <c r="S23" s="29"/>
      <c r="T23" s="29"/>
      <c r="U23" s="29"/>
      <c r="V23" s="29"/>
      <c r="W23" s="29"/>
      <c r="X23" s="29"/>
      <c r="Y23" s="29"/>
      <c r="Z23" s="29"/>
    </row>
    <row r="24">
      <c r="A24" s="20">
        <v>45197.0</v>
      </c>
      <c r="B24" s="130" t="s">
        <v>56</v>
      </c>
      <c r="C24" s="8" t="s">
        <v>76</v>
      </c>
      <c r="D24" s="132" t="s">
        <v>77</v>
      </c>
      <c r="E24" s="132" t="s">
        <v>22</v>
      </c>
      <c r="F24" s="142" t="s">
        <v>16</v>
      </c>
      <c r="G24" s="155" t="s">
        <v>500</v>
      </c>
      <c r="H24" s="158" t="s">
        <v>97</v>
      </c>
      <c r="I24" s="56" t="s">
        <v>346</v>
      </c>
      <c r="J24" s="56"/>
      <c r="K24" s="144"/>
      <c r="L24" s="144" t="s">
        <v>71</v>
      </c>
      <c r="M24" s="28"/>
      <c r="N24" s="29"/>
      <c r="O24" s="29"/>
      <c r="P24" s="29"/>
      <c r="Q24" s="29"/>
      <c r="R24" s="29"/>
      <c r="S24" s="29"/>
      <c r="T24" s="29"/>
      <c r="U24" s="29"/>
      <c r="V24" s="29"/>
      <c r="W24" s="29"/>
      <c r="X24" s="29"/>
      <c r="Y24" s="29"/>
      <c r="Z24" s="29"/>
    </row>
    <row r="25">
      <c r="A25" s="20">
        <v>45207.0</v>
      </c>
      <c r="B25" s="130" t="s">
        <v>56</v>
      </c>
      <c r="C25" s="8" t="s">
        <v>20</v>
      </c>
      <c r="D25" s="132" t="s">
        <v>58</v>
      </c>
      <c r="E25" s="132" t="s">
        <v>15</v>
      </c>
      <c r="F25" s="142" t="s">
        <v>16</v>
      </c>
      <c r="G25" s="155" t="s">
        <v>501</v>
      </c>
      <c r="H25" s="45"/>
      <c r="I25" s="56" t="s">
        <v>334</v>
      </c>
      <c r="J25" s="56" t="s">
        <v>404</v>
      </c>
      <c r="K25" s="146" t="s">
        <v>97</v>
      </c>
      <c r="L25" s="144" t="s">
        <v>63</v>
      </c>
      <c r="M25" s="28"/>
      <c r="N25" s="29"/>
      <c r="O25" s="29"/>
      <c r="P25" s="29"/>
      <c r="Q25" s="29"/>
      <c r="R25" s="29"/>
      <c r="S25" s="29"/>
      <c r="T25" s="29"/>
      <c r="U25" s="29"/>
      <c r="V25" s="29"/>
      <c r="W25" s="29"/>
      <c r="X25" s="29"/>
      <c r="Y25" s="29"/>
      <c r="Z25" s="29"/>
    </row>
    <row r="26">
      <c r="A26" s="20">
        <v>45206.0</v>
      </c>
      <c r="B26" s="130" t="s">
        <v>56</v>
      </c>
      <c r="C26" s="8" t="s">
        <v>57</v>
      </c>
      <c r="D26" s="132" t="s">
        <v>58</v>
      </c>
      <c r="E26" s="132" t="s">
        <v>22</v>
      </c>
      <c r="F26" s="142" t="s">
        <v>16</v>
      </c>
      <c r="G26" s="155" t="s">
        <v>502</v>
      </c>
      <c r="H26" s="45" t="s">
        <v>97</v>
      </c>
      <c r="I26" s="56" t="s">
        <v>334</v>
      </c>
      <c r="J26" s="56" t="s">
        <v>404</v>
      </c>
      <c r="K26" s="146" t="s">
        <v>97</v>
      </c>
      <c r="L26" s="144" t="s">
        <v>167</v>
      </c>
      <c r="M26" s="28"/>
      <c r="N26" s="29"/>
      <c r="O26" s="29"/>
      <c r="P26" s="29"/>
      <c r="Q26" s="29"/>
      <c r="R26" s="29"/>
      <c r="S26" s="29"/>
      <c r="T26" s="29"/>
      <c r="U26" s="29"/>
      <c r="V26" s="29"/>
      <c r="W26" s="29"/>
      <c r="X26" s="29"/>
      <c r="Y26" s="29"/>
      <c r="Z26" s="29"/>
    </row>
    <row r="27">
      <c r="A27" s="20">
        <v>45206.0</v>
      </c>
      <c r="B27" s="130" t="s">
        <v>56</v>
      </c>
      <c r="C27" s="8" t="s">
        <v>57</v>
      </c>
      <c r="D27" s="132" t="s">
        <v>58</v>
      </c>
      <c r="E27" s="132" t="s">
        <v>22</v>
      </c>
      <c r="F27" s="142" t="s">
        <v>16</v>
      </c>
      <c r="G27" s="155" t="s">
        <v>503</v>
      </c>
      <c r="H27" s="45"/>
      <c r="I27" s="56" t="s">
        <v>115</v>
      </c>
      <c r="J27" s="56" t="s">
        <v>404</v>
      </c>
      <c r="K27" s="146" t="s">
        <v>97</v>
      </c>
      <c r="L27" s="144" t="s">
        <v>71</v>
      </c>
      <c r="M27" s="28"/>
      <c r="N27" s="29"/>
      <c r="O27" s="29"/>
      <c r="P27" s="29"/>
      <c r="Q27" s="29"/>
      <c r="R27" s="29"/>
      <c r="S27" s="29"/>
      <c r="T27" s="29"/>
      <c r="U27" s="29"/>
      <c r="V27" s="29"/>
      <c r="W27" s="29"/>
      <c r="X27" s="29"/>
      <c r="Y27" s="29"/>
      <c r="Z27" s="29"/>
    </row>
    <row r="28">
      <c r="A28" s="20">
        <v>45206.0</v>
      </c>
      <c r="B28" s="130" t="s">
        <v>56</v>
      </c>
      <c r="C28" s="8" t="s">
        <v>20</v>
      </c>
      <c r="D28" s="132" t="s">
        <v>58</v>
      </c>
      <c r="E28" s="132" t="s">
        <v>22</v>
      </c>
      <c r="F28" s="142" t="s">
        <v>16</v>
      </c>
      <c r="G28" s="155" t="s">
        <v>504</v>
      </c>
      <c r="H28" s="51" t="s">
        <v>61</v>
      </c>
      <c r="I28" s="56" t="s">
        <v>67</v>
      </c>
      <c r="J28" s="56" t="s">
        <v>346</v>
      </c>
      <c r="K28" s="158" t="s">
        <v>97</v>
      </c>
      <c r="L28" s="144" t="s">
        <v>71</v>
      </c>
      <c r="M28" s="28"/>
      <c r="N28" s="29"/>
      <c r="O28" s="29"/>
      <c r="P28" s="29"/>
      <c r="Q28" s="29"/>
      <c r="R28" s="29"/>
      <c r="S28" s="29"/>
      <c r="T28" s="29"/>
      <c r="U28" s="29"/>
      <c r="V28" s="29"/>
      <c r="W28" s="29"/>
      <c r="X28" s="29"/>
      <c r="Y28" s="29"/>
      <c r="Z28" s="29"/>
    </row>
    <row r="29">
      <c r="A29" s="20">
        <v>45215.0</v>
      </c>
      <c r="B29" s="130" t="s">
        <v>56</v>
      </c>
      <c r="C29" s="8" t="s">
        <v>26</v>
      </c>
      <c r="D29" s="132" t="s">
        <v>58</v>
      </c>
      <c r="E29" s="132" t="s">
        <v>15</v>
      </c>
      <c r="F29" s="142" t="s">
        <v>16</v>
      </c>
      <c r="G29" s="155" t="s">
        <v>505</v>
      </c>
      <c r="H29" s="158" t="s">
        <v>97</v>
      </c>
      <c r="I29" s="56" t="s">
        <v>70</v>
      </c>
      <c r="J29" s="56" t="s">
        <v>334</v>
      </c>
      <c r="K29" s="144"/>
      <c r="L29" s="144" t="s">
        <v>71</v>
      </c>
      <c r="M29" s="28"/>
      <c r="N29" s="29"/>
      <c r="O29" s="29"/>
      <c r="P29" s="29"/>
      <c r="Q29" s="29"/>
      <c r="R29" s="29"/>
      <c r="S29" s="29"/>
      <c r="T29" s="29"/>
      <c r="U29" s="29"/>
      <c r="V29" s="29"/>
      <c r="W29" s="29"/>
      <c r="X29" s="29"/>
      <c r="Y29" s="29"/>
      <c r="Z29" s="29"/>
    </row>
    <row r="30">
      <c r="A30" s="20">
        <v>45206.0</v>
      </c>
      <c r="B30" s="130" t="s">
        <v>56</v>
      </c>
      <c r="C30" s="8" t="s">
        <v>20</v>
      </c>
      <c r="D30" s="132" t="s">
        <v>58</v>
      </c>
      <c r="E30" s="132" t="s">
        <v>22</v>
      </c>
      <c r="F30" s="142" t="s">
        <v>16</v>
      </c>
      <c r="G30" s="155" t="s">
        <v>506</v>
      </c>
      <c r="H30" s="45"/>
      <c r="I30" s="56" t="s">
        <v>67</v>
      </c>
      <c r="J30" s="56" t="s">
        <v>346</v>
      </c>
      <c r="K30" s="144"/>
      <c r="L30" s="144" t="s">
        <v>167</v>
      </c>
      <c r="M30" s="28"/>
      <c r="N30" s="29"/>
      <c r="O30" s="29"/>
      <c r="P30" s="29"/>
      <c r="Q30" s="29"/>
      <c r="R30" s="29"/>
      <c r="S30" s="29"/>
      <c r="T30" s="29"/>
      <c r="U30" s="29"/>
      <c r="V30" s="29"/>
      <c r="W30" s="29"/>
      <c r="X30" s="29"/>
      <c r="Y30" s="29"/>
      <c r="Z30" s="29"/>
    </row>
    <row r="31">
      <c r="A31" s="20">
        <v>45177.0</v>
      </c>
      <c r="B31" s="130" t="s">
        <v>56</v>
      </c>
      <c r="C31" s="8" t="s">
        <v>371</v>
      </c>
      <c r="D31" s="132" t="s">
        <v>81</v>
      </c>
      <c r="E31" s="132" t="s">
        <v>64</v>
      </c>
      <c r="F31" s="142" t="s">
        <v>16</v>
      </c>
      <c r="G31" s="155" t="s">
        <v>507</v>
      </c>
      <c r="H31" s="158" t="s">
        <v>61</v>
      </c>
      <c r="I31" s="56" t="s">
        <v>346</v>
      </c>
      <c r="J31" s="56" t="s">
        <v>66</v>
      </c>
      <c r="K31" s="144"/>
      <c r="L31" s="144" t="s">
        <v>68</v>
      </c>
      <c r="M31" s="28"/>
      <c r="N31" s="29"/>
      <c r="O31" s="29"/>
      <c r="P31" s="29"/>
      <c r="Q31" s="29"/>
      <c r="R31" s="29"/>
      <c r="S31" s="29"/>
      <c r="T31" s="29"/>
      <c r="U31" s="29"/>
      <c r="V31" s="29"/>
      <c r="W31" s="29"/>
      <c r="X31" s="29"/>
      <c r="Y31" s="29"/>
      <c r="Z31" s="29"/>
    </row>
    <row r="32">
      <c r="A32" s="20">
        <v>45197.0</v>
      </c>
      <c r="B32" s="130" t="s">
        <v>56</v>
      </c>
      <c r="C32" s="8" t="s">
        <v>371</v>
      </c>
      <c r="D32" s="132" t="s">
        <v>27</v>
      </c>
      <c r="E32" s="132" t="s">
        <v>22</v>
      </c>
      <c r="F32" s="142" t="s">
        <v>16</v>
      </c>
      <c r="G32" s="155" t="s">
        <v>508</v>
      </c>
      <c r="H32" s="158" t="s">
        <v>61</v>
      </c>
      <c r="I32" s="56" t="s">
        <v>66</v>
      </c>
      <c r="J32" s="56"/>
      <c r="K32" s="144"/>
      <c r="L32" s="144" t="s">
        <v>71</v>
      </c>
      <c r="M32" s="28"/>
      <c r="N32" s="29"/>
      <c r="O32" s="29"/>
      <c r="P32" s="29"/>
      <c r="Q32" s="29"/>
      <c r="R32" s="29"/>
      <c r="S32" s="29"/>
      <c r="T32" s="29"/>
      <c r="U32" s="29"/>
      <c r="V32" s="29"/>
      <c r="W32" s="29"/>
      <c r="X32" s="29"/>
      <c r="Y32" s="29"/>
      <c r="Z32" s="29"/>
    </row>
    <row r="33">
      <c r="A33" s="20">
        <v>45177.0</v>
      </c>
      <c r="B33" s="130" t="s">
        <v>121</v>
      </c>
      <c r="C33" s="8" t="s">
        <v>36</v>
      </c>
      <c r="D33" s="132" t="s">
        <v>44</v>
      </c>
      <c r="E33" s="132" t="s">
        <v>22</v>
      </c>
      <c r="F33" s="142" t="s">
        <v>16</v>
      </c>
      <c r="G33" s="155" t="s">
        <v>509</v>
      </c>
      <c r="H33" s="158" t="s">
        <v>61</v>
      </c>
      <c r="I33" s="152" t="s">
        <v>381</v>
      </c>
      <c r="J33" s="56" t="s">
        <v>151</v>
      </c>
      <c r="K33" s="144"/>
      <c r="L33" s="144" t="s">
        <v>71</v>
      </c>
      <c r="M33" s="28"/>
      <c r="N33" s="29"/>
      <c r="O33" s="29"/>
      <c r="P33" s="29"/>
      <c r="Q33" s="29"/>
      <c r="R33" s="29"/>
      <c r="S33" s="29"/>
      <c r="T33" s="29"/>
      <c r="U33" s="29"/>
      <c r="V33" s="29"/>
      <c r="W33" s="29"/>
      <c r="X33" s="29"/>
      <c r="Y33" s="29"/>
      <c r="Z33" s="29"/>
    </row>
    <row r="34">
      <c r="A34" s="20">
        <v>45177.0</v>
      </c>
      <c r="B34" s="130" t="s">
        <v>121</v>
      </c>
      <c r="C34" s="8" t="s">
        <v>49</v>
      </c>
      <c r="D34" s="132" t="s">
        <v>77</v>
      </c>
      <c r="E34" s="132" t="s">
        <v>46</v>
      </c>
      <c r="F34" s="142" t="s">
        <v>16</v>
      </c>
      <c r="G34" s="155" t="s">
        <v>510</v>
      </c>
      <c r="H34" s="45"/>
      <c r="I34" s="152" t="s">
        <v>511</v>
      </c>
      <c r="J34" s="56" t="s">
        <v>346</v>
      </c>
      <c r="K34" s="144"/>
      <c r="L34" s="144" t="s">
        <v>167</v>
      </c>
      <c r="M34" s="28"/>
      <c r="N34" s="29"/>
      <c r="O34" s="29"/>
      <c r="P34" s="29"/>
      <c r="Q34" s="29"/>
      <c r="R34" s="29"/>
      <c r="S34" s="29"/>
      <c r="T34" s="29"/>
      <c r="U34" s="29"/>
      <c r="V34" s="29"/>
      <c r="W34" s="29"/>
      <c r="X34" s="29"/>
      <c r="Y34" s="29"/>
      <c r="Z34" s="29"/>
    </row>
    <row r="35">
      <c r="A35" s="20">
        <v>45166.0</v>
      </c>
      <c r="B35" s="130" t="s">
        <v>121</v>
      </c>
      <c r="C35" s="8" t="s">
        <v>36</v>
      </c>
      <c r="D35" s="132" t="s">
        <v>44</v>
      </c>
      <c r="E35" s="132" t="s">
        <v>22</v>
      </c>
      <c r="F35" s="142" t="s">
        <v>16</v>
      </c>
      <c r="G35" s="155" t="s">
        <v>512</v>
      </c>
      <c r="H35" s="158" t="s">
        <v>112</v>
      </c>
      <c r="I35" s="152" t="s">
        <v>381</v>
      </c>
      <c r="J35" s="56" t="s">
        <v>151</v>
      </c>
      <c r="K35" s="144"/>
      <c r="L35" s="144" t="s">
        <v>144</v>
      </c>
      <c r="M35" s="28"/>
      <c r="N35" s="29"/>
      <c r="O35" s="29"/>
      <c r="P35" s="29"/>
      <c r="Q35" s="29"/>
      <c r="R35" s="29"/>
      <c r="S35" s="29"/>
      <c r="T35" s="29"/>
      <c r="U35" s="29"/>
      <c r="V35" s="29"/>
      <c r="W35" s="29"/>
      <c r="X35" s="29"/>
      <c r="Y35" s="29"/>
      <c r="Z35" s="29"/>
    </row>
    <row r="36">
      <c r="A36" s="20">
        <v>45166.0</v>
      </c>
      <c r="B36" s="130" t="s">
        <v>121</v>
      </c>
      <c r="C36" s="8" t="s">
        <v>26</v>
      </c>
      <c r="D36" s="132" t="s">
        <v>77</v>
      </c>
      <c r="E36" s="132" t="s">
        <v>15</v>
      </c>
      <c r="F36" s="142" t="s">
        <v>16</v>
      </c>
      <c r="G36" s="155" t="s">
        <v>513</v>
      </c>
      <c r="H36" s="158" t="s">
        <v>61</v>
      </c>
      <c r="I36" s="152" t="s">
        <v>381</v>
      </c>
      <c r="J36" s="56"/>
      <c r="K36" s="144"/>
      <c r="L36" s="144" t="s">
        <v>71</v>
      </c>
      <c r="M36" s="28"/>
      <c r="N36" s="29"/>
      <c r="O36" s="29"/>
      <c r="P36" s="29"/>
      <c r="Q36" s="29"/>
      <c r="R36" s="29"/>
      <c r="S36" s="29"/>
      <c r="T36" s="29"/>
      <c r="U36" s="29"/>
      <c r="V36" s="29"/>
      <c r="W36" s="29"/>
      <c r="X36" s="29"/>
      <c r="Y36" s="29"/>
      <c r="Z36" s="29"/>
    </row>
    <row r="37">
      <c r="A37" s="20"/>
      <c r="B37" s="130"/>
      <c r="C37" s="8"/>
      <c r="D37" s="132"/>
      <c r="E37" s="132"/>
      <c r="F37" s="142"/>
      <c r="G37" s="155"/>
      <c r="H37" s="45"/>
      <c r="I37" s="152"/>
      <c r="J37" s="56"/>
      <c r="K37" s="144"/>
      <c r="L37" s="144"/>
      <c r="M37" s="28"/>
      <c r="N37" s="29"/>
      <c r="O37" s="29"/>
      <c r="P37" s="29"/>
      <c r="Q37" s="29"/>
      <c r="R37" s="29"/>
      <c r="S37" s="29"/>
      <c r="T37" s="29"/>
      <c r="U37" s="29"/>
      <c r="V37" s="29"/>
      <c r="W37" s="29"/>
      <c r="X37" s="29"/>
      <c r="Y37" s="29"/>
      <c r="Z37" s="29"/>
    </row>
    <row r="38">
      <c r="A38" s="20"/>
      <c r="B38" s="130"/>
      <c r="C38" s="8"/>
      <c r="D38" s="132"/>
      <c r="E38" s="132"/>
      <c r="F38" s="142"/>
      <c r="G38" s="155"/>
      <c r="H38" s="45"/>
      <c r="I38" s="152"/>
      <c r="J38" s="56"/>
      <c r="K38" s="144"/>
      <c r="L38" s="144"/>
      <c r="M38" s="28"/>
      <c r="N38" s="29"/>
      <c r="O38" s="29"/>
      <c r="P38" s="29"/>
      <c r="Q38" s="29"/>
      <c r="R38" s="29"/>
      <c r="S38" s="29"/>
      <c r="T38" s="29"/>
      <c r="U38" s="29"/>
      <c r="V38" s="29"/>
      <c r="W38" s="29"/>
      <c r="X38" s="29"/>
      <c r="Y38" s="29"/>
      <c r="Z38" s="29"/>
    </row>
    <row r="39">
      <c r="A39" s="20"/>
      <c r="B39" s="130"/>
      <c r="C39" s="8"/>
      <c r="D39" s="132"/>
      <c r="E39" s="132"/>
      <c r="F39" s="142"/>
      <c r="G39" s="155"/>
      <c r="H39" s="45"/>
      <c r="I39" s="152"/>
      <c r="J39" s="56"/>
      <c r="K39" s="144"/>
      <c r="L39" s="144"/>
      <c r="M39" s="28"/>
      <c r="N39" s="29"/>
      <c r="O39" s="29"/>
      <c r="P39" s="29"/>
      <c r="Q39" s="29"/>
      <c r="R39" s="29"/>
      <c r="S39" s="29"/>
      <c r="T39" s="29"/>
      <c r="U39" s="29"/>
      <c r="V39" s="29"/>
      <c r="W39" s="29"/>
      <c r="X39" s="29"/>
      <c r="Y39" s="29"/>
      <c r="Z39" s="29"/>
    </row>
    <row r="40" ht="95.25" customHeight="1">
      <c r="A40" s="20"/>
      <c r="B40" s="130"/>
      <c r="C40" s="8"/>
      <c r="D40" s="132"/>
      <c r="E40" s="132"/>
      <c r="F40" s="142"/>
      <c r="G40" s="155"/>
      <c r="H40" s="45"/>
      <c r="I40" s="152"/>
      <c r="J40" s="56"/>
      <c r="K40" s="144"/>
      <c r="L40" s="144"/>
      <c r="M40" s="28"/>
      <c r="N40" s="29"/>
      <c r="O40" s="29"/>
      <c r="P40" s="29"/>
      <c r="Q40" s="29"/>
      <c r="R40" s="29"/>
      <c r="S40" s="29"/>
      <c r="T40" s="29"/>
      <c r="U40" s="29"/>
      <c r="V40" s="29"/>
      <c r="W40" s="29"/>
      <c r="X40" s="29"/>
      <c r="Y40" s="29"/>
      <c r="Z40" s="29"/>
    </row>
    <row r="41" ht="87.75" customHeight="1">
      <c r="A41" s="20"/>
      <c r="B41" s="130"/>
      <c r="C41" s="8"/>
      <c r="D41" s="132"/>
      <c r="E41" s="132"/>
      <c r="F41" s="142"/>
      <c r="G41" s="155"/>
      <c r="H41" s="45"/>
      <c r="I41" s="152"/>
      <c r="J41" s="56"/>
      <c r="K41" s="144"/>
      <c r="L41" s="143"/>
      <c r="M41" s="28"/>
      <c r="N41" s="29"/>
      <c r="O41" s="29"/>
      <c r="P41" s="29"/>
      <c r="Q41" s="29"/>
      <c r="R41" s="29"/>
      <c r="S41" s="29"/>
      <c r="T41" s="29"/>
      <c r="U41" s="29"/>
      <c r="V41" s="29"/>
      <c r="W41" s="29"/>
      <c r="X41" s="29"/>
      <c r="Y41" s="29"/>
      <c r="Z41" s="29"/>
    </row>
    <row r="42" ht="84.75" customHeight="1">
      <c r="A42" s="20"/>
      <c r="B42" s="130"/>
      <c r="C42" s="8"/>
      <c r="D42" s="132"/>
      <c r="E42" s="132"/>
      <c r="F42" s="142"/>
      <c r="G42" s="155"/>
      <c r="H42" s="45"/>
      <c r="I42" s="152"/>
      <c r="J42" s="56"/>
      <c r="K42" s="144"/>
      <c r="L42" s="143"/>
      <c r="M42" s="28"/>
      <c r="N42" s="29"/>
      <c r="O42" s="29"/>
      <c r="P42" s="29"/>
      <c r="Q42" s="29"/>
      <c r="R42" s="29"/>
      <c r="S42" s="29"/>
      <c r="T42" s="29"/>
      <c r="U42" s="29"/>
      <c r="V42" s="29"/>
      <c r="W42" s="29"/>
      <c r="X42" s="29"/>
      <c r="Y42" s="29"/>
      <c r="Z42" s="29"/>
    </row>
    <row r="43">
      <c r="A43" s="20"/>
      <c r="B43" s="130"/>
      <c r="C43" s="8"/>
      <c r="D43" s="132"/>
      <c r="E43" s="132"/>
      <c r="F43" s="142"/>
      <c r="G43" s="155"/>
      <c r="H43" s="45"/>
      <c r="I43" s="152"/>
      <c r="J43" s="56"/>
      <c r="K43" s="144"/>
      <c r="L43" s="144"/>
      <c r="M43" s="28"/>
      <c r="N43" s="29"/>
      <c r="O43" s="29"/>
      <c r="P43" s="29"/>
      <c r="Q43" s="29"/>
      <c r="R43" s="29"/>
      <c r="S43" s="29"/>
      <c r="T43" s="29"/>
      <c r="U43" s="29"/>
      <c r="V43" s="29"/>
      <c r="W43" s="29"/>
      <c r="X43" s="29"/>
      <c r="Y43" s="29"/>
      <c r="Z43" s="29"/>
    </row>
    <row r="44">
      <c r="A44" s="20"/>
      <c r="B44" s="130"/>
      <c r="C44" s="8"/>
      <c r="D44" s="132"/>
      <c r="E44" s="132"/>
      <c r="F44" s="142"/>
      <c r="G44" s="155"/>
      <c r="H44" s="45"/>
      <c r="I44" s="152"/>
      <c r="J44" s="56"/>
      <c r="K44" s="144"/>
      <c r="L44" s="144"/>
      <c r="M44" s="28"/>
      <c r="N44" s="29"/>
      <c r="O44" s="29"/>
      <c r="P44" s="29"/>
      <c r="Q44" s="29"/>
      <c r="R44" s="29"/>
      <c r="S44" s="29"/>
      <c r="T44" s="29"/>
      <c r="U44" s="29"/>
      <c r="V44" s="29"/>
      <c r="W44" s="29"/>
      <c r="X44" s="29"/>
      <c r="Y44" s="29"/>
      <c r="Z44" s="29"/>
    </row>
    <row r="45" ht="151.5" customHeight="1">
      <c r="A45" s="20"/>
      <c r="B45" s="130"/>
      <c r="D45" s="132"/>
      <c r="E45" s="132"/>
      <c r="F45" s="142"/>
      <c r="G45" s="156"/>
      <c r="H45" s="45"/>
      <c r="I45" s="152"/>
      <c r="J45" s="56"/>
      <c r="K45" s="144"/>
      <c r="L45" s="144"/>
      <c r="M45" s="28"/>
      <c r="N45" s="29"/>
      <c r="O45" s="29"/>
      <c r="P45" s="29"/>
      <c r="Q45" s="29"/>
      <c r="R45" s="29"/>
      <c r="S45" s="29"/>
      <c r="T45" s="29"/>
      <c r="U45" s="29"/>
      <c r="V45" s="29"/>
      <c r="W45" s="29"/>
      <c r="X45" s="29"/>
      <c r="Y45" s="29"/>
      <c r="Z45" s="29"/>
    </row>
    <row r="46" ht="108.0" customHeight="1">
      <c r="A46" s="20"/>
      <c r="B46" s="130"/>
      <c r="C46" s="8"/>
      <c r="D46" s="132"/>
      <c r="E46" s="132"/>
      <c r="F46" s="142"/>
      <c r="G46" s="155"/>
      <c r="H46" s="45"/>
      <c r="I46" s="56"/>
      <c r="J46" s="56"/>
      <c r="K46" s="144"/>
      <c r="L46" s="143"/>
      <c r="M46" s="28"/>
      <c r="N46" s="29"/>
      <c r="O46" s="29"/>
      <c r="P46" s="29"/>
      <c r="Q46" s="29"/>
      <c r="R46" s="29"/>
      <c r="S46" s="29"/>
      <c r="T46" s="29"/>
      <c r="U46" s="29"/>
      <c r="V46" s="29"/>
      <c r="W46" s="29"/>
      <c r="X46" s="29"/>
      <c r="Y46" s="29"/>
      <c r="Z46" s="29"/>
    </row>
    <row r="47" ht="63.75" customHeight="1">
      <c r="A47" s="20"/>
      <c r="B47" s="130"/>
      <c r="C47" s="8"/>
      <c r="D47" s="132"/>
      <c r="E47" s="132"/>
      <c r="F47" s="142"/>
      <c r="G47" s="155"/>
      <c r="H47" s="157"/>
      <c r="I47" s="56"/>
      <c r="J47" s="56"/>
      <c r="K47" s="144"/>
      <c r="L47" s="143"/>
      <c r="M47" s="28"/>
      <c r="N47" s="29"/>
      <c r="O47" s="29"/>
      <c r="P47" s="29"/>
      <c r="Q47" s="29"/>
      <c r="R47" s="29"/>
      <c r="S47" s="29"/>
      <c r="T47" s="29"/>
      <c r="U47" s="29"/>
      <c r="V47" s="29"/>
      <c r="W47" s="29"/>
      <c r="X47" s="29"/>
      <c r="Y47" s="29"/>
      <c r="Z47" s="29"/>
    </row>
  </sheetData>
  <autoFilter ref="$A$1:$Z$1041"/>
  <customSheetViews>
    <customSheetView guid="{7E71B5F7-61AF-4C93-AAAA-D905E381EEB1}" filter="1" showAutoFilter="1">
      <autoFilter ref="$A$1:$Z$1041"/>
    </customSheetView>
  </customSheetViews>
  <conditionalFormatting sqref="F2:F47">
    <cfRule type="containsText" dxfId="0" priority="1" operator="containsText" text="Closed">
      <formula>NOT(ISERROR(SEARCH(("Closed"),(F2))))</formula>
    </cfRule>
  </conditionalFormatting>
  <conditionalFormatting sqref="F2:F47">
    <cfRule type="containsText" dxfId="3" priority="2" operator="containsText" text="Monitor">
      <formula>NOT(ISERROR(SEARCH(("Monitor"),(F2))))</formula>
    </cfRule>
  </conditionalFormatting>
  <conditionalFormatting sqref="F2:F47">
    <cfRule type="containsText" dxfId="4" priority="3" operator="containsText" text="Open">
      <formula>NOT(ISERROR(SEARCH(("Open"),(F2))))</formula>
    </cfRule>
  </conditionalFormatting>
  <conditionalFormatting sqref="F2:F47">
    <cfRule type="containsText" dxfId="5" priority="4" operator="containsText" text="NA">
      <formula>NOT(ISERROR(SEARCH(("NA"),(F2))))</formula>
    </cfRule>
  </conditionalFormatting>
  <dataValidations>
    <dataValidation type="list" allowBlank="1" sqref="B2:B47">
      <formula1>Option!$C$2:$C$16</formula1>
    </dataValidation>
    <dataValidation type="list" allowBlank="1" sqref="I2:J32 J33:J45 I46:J47">
      <formula1>Option!$K$2:$K$17</formula1>
    </dataValidation>
    <dataValidation type="list" allowBlank="1" sqref="C2:C44 C46:C47">
      <formula1>Option!$E$2:$E$13</formula1>
    </dataValidation>
    <dataValidation type="list" allowBlank="1" sqref="D2:D47">
      <formula1>Option!$D$2:$D$15</formula1>
    </dataValidation>
    <dataValidation type="list" allowBlank="1" sqref="F2:F47">
      <formula1>Option!$F$2:$F$5</formula1>
    </dataValidation>
    <dataValidation type="list" allowBlank="1" sqref="L2:L47">
      <formula1>"1.SCH,2.PCB,3.BOM,4.Parameter,5.SW/ME/RF/ANT/Component/MFG/Vendor,6.No Change"</formula1>
    </dataValidation>
    <dataValidation type="list" allowBlank="1" sqref="E2:E47">
      <formula1>Option!$G$2:$G$5</formula1>
    </dataValidation>
  </dataValidations>
  <hyperlinks>
    <hyperlink r:id="rId4" location="slide=id.g2acd12b7e06_0_0" ref="H2"/>
    <hyperlink r:id="rId5" ref="K2"/>
    <hyperlink r:id="rId6" location="slide=id.p" ref="H4"/>
    <hyperlink r:id="rId7" location="slide=id.g2bc8c49be63_0_107" ref="H5"/>
    <hyperlink r:id="rId8" location="slide=id.g2bbd12c4e74_4_34" ref="K5"/>
    <hyperlink r:id="rId9" location="slide=id.g29a667361f4_0_132" ref="H6"/>
    <hyperlink r:id="rId10" location="slide=id.p" ref="H7"/>
    <hyperlink r:id="rId11" ref="K7"/>
    <hyperlink r:id="rId12" location="slide=id.p3" ref="H8"/>
    <hyperlink r:id="rId13" ref="K9"/>
    <hyperlink r:id="rId14" ref="H12"/>
    <hyperlink r:id="rId15" location="slide=id.g27bcfd4d04d_0_1" ref="H13"/>
    <hyperlink r:id="rId16" location="slide=id.g29a667361f4_0_132" ref="H14"/>
    <hyperlink r:id="rId17" ref="K18"/>
    <hyperlink r:id="rId18" location="slide=id.p" ref="H19"/>
    <hyperlink r:id="rId19" location="slide=id.g4057557fca_0_46" ref="K22"/>
    <hyperlink r:id="rId20" location="slide=id.g2241a48d855_0_106" ref="H24"/>
    <hyperlink r:id="rId21" location="slide=id.g24c5cef2f9f_13_2" ref="K25"/>
    <hyperlink r:id="rId22" location="slide=id.g284a7985581_0_6" ref="K26"/>
    <hyperlink r:id="rId23" location="slide=id.g288db0e99ea_0_117" ref="K27"/>
    <hyperlink r:id="rId24" location="slide=id.p" ref="H28"/>
    <hyperlink r:id="rId25" location="slide=id.g288db0e99ea_0_125" ref="K28"/>
    <hyperlink r:id="rId26" location="slide=id.g24e1119f179_0_10" ref="H29"/>
    <hyperlink r:id="rId27" location="slide=id.g239d1947884_1_14" ref="H31"/>
    <hyperlink r:id="rId28" location="slide=id.g27bcfd4d04d_0_1" ref="H32"/>
    <hyperlink r:id="rId29" location="slide=id.g27bcfd4d04d_0_82" ref="H33"/>
    <hyperlink r:id="rId30" location="slide=id.g27bcfd4d04d_0_82" ref="H35"/>
    <hyperlink r:id="rId31" location="slide=id.p" ref="H36"/>
  </hyperlinks>
  <drawing r:id="rId32"/>
  <legacyDrawing r:id="rId3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5.13" defaultRowHeight="15.0"/>
  <cols>
    <col customWidth="1" min="1" max="1" width="14.75"/>
    <col customWidth="1" min="2" max="2" width="11.38"/>
    <col customWidth="1" min="5" max="5" width="12.38"/>
    <col customWidth="1" min="6" max="6" width="11.63"/>
    <col customWidth="1" min="7" max="7" width="105.88"/>
    <col customWidth="1" min="9" max="9" width="10.88"/>
    <col customWidth="1" min="10" max="10" width="13.38"/>
  </cols>
  <sheetData>
    <row r="1">
      <c r="A1" s="4" t="s">
        <v>54</v>
      </c>
      <c r="B1" s="4" t="s">
        <v>1</v>
      </c>
      <c r="C1" s="4" t="s">
        <v>2</v>
      </c>
      <c r="D1" s="4" t="s">
        <v>3</v>
      </c>
      <c r="E1" s="4" t="s">
        <v>4</v>
      </c>
      <c r="F1" s="4" t="s">
        <v>5</v>
      </c>
      <c r="G1" s="4" t="s">
        <v>6</v>
      </c>
      <c r="H1" s="4" t="s">
        <v>7</v>
      </c>
      <c r="I1" s="3" t="s">
        <v>8</v>
      </c>
      <c r="J1" s="3" t="s">
        <v>9</v>
      </c>
      <c r="K1" s="4" t="s">
        <v>10</v>
      </c>
      <c r="L1" s="4" t="s">
        <v>11</v>
      </c>
    </row>
    <row r="2">
      <c r="A2" s="20">
        <v>45167.0</v>
      </c>
      <c r="B2" s="130" t="s">
        <v>172</v>
      </c>
      <c r="C2" s="8" t="s">
        <v>26</v>
      </c>
      <c r="D2" s="132" t="s">
        <v>95</v>
      </c>
      <c r="E2" s="132" t="s">
        <v>64</v>
      </c>
      <c r="F2" s="179" t="s">
        <v>64</v>
      </c>
      <c r="G2" s="188" t="s">
        <v>514</v>
      </c>
      <c r="H2" s="51" t="s">
        <v>61</v>
      </c>
      <c r="I2" s="56" t="s">
        <v>66</v>
      </c>
      <c r="J2" s="56"/>
      <c r="K2" s="26" t="s">
        <v>61</v>
      </c>
      <c r="L2" s="27"/>
      <c r="M2" s="181"/>
    </row>
    <row r="3">
      <c r="A3" s="20">
        <v>44984.0</v>
      </c>
      <c r="B3" s="130" t="s">
        <v>12</v>
      </c>
      <c r="C3" s="8" t="s">
        <v>49</v>
      </c>
      <c r="D3" s="132" t="s">
        <v>58</v>
      </c>
      <c r="E3" s="132" t="s">
        <v>15</v>
      </c>
      <c r="F3" s="179" t="s">
        <v>64</v>
      </c>
      <c r="G3" s="188" t="s">
        <v>515</v>
      </c>
      <c r="H3" s="34"/>
      <c r="I3" s="56" t="s">
        <v>115</v>
      </c>
      <c r="J3" s="56"/>
      <c r="K3" s="34"/>
      <c r="L3" s="27" t="s">
        <v>71</v>
      </c>
      <c r="M3" s="181"/>
    </row>
    <row r="4" ht="131.25" customHeight="1">
      <c r="A4" s="20">
        <v>44984.0</v>
      </c>
      <c r="B4" s="130" t="s">
        <v>12</v>
      </c>
      <c r="C4" s="8" t="s">
        <v>36</v>
      </c>
      <c r="D4" s="132" t="s">
        <v>58</v>
      </c>
      <c r="E4" s="132" t="s">
        <v>15</v>
      </c>
      <c r="F4" s="179" t="s">
        <v>16</v>
      </c>
      <c r="G4" s="188" t="s">
        <v>516</v>
      </c>
      <c r="H4" s="34"/>
      <c r="I4" s="56" t="s">
        <v>66</v>
      </c>
      <c r="J4" s="56"/>
      <c r="K4" s="34"/>
      <c r="L4" s="27"/>
      <c r="M4" s="181"/>
    </row>
    <row r="5" ht="131.25" customHeight="1">
      <c r="A5" s="20">
        <v>44984.0</v>
      </c>
      <c r="B5" s="130" t="s">
        <v>12</v>
      </c>
      <c r="C5" s="8" t="s">
        <v>30</v>
      </c>
      <c r="D5" s="132" t="s">
        <v>58</v>
      </c>
      <c r="E5" s="132" t="s">
        <v>15</v>
      </c>
      <c r="F5" s="179" t="s">
        <v>16</v>
      </c>
      <c r="G5" s="188" t="s">
        <v>517</v>
      </c>
      <c r="H5" s="34"/>
      <c r="I5" s="56" t="s">
        <v>127</v>
      </c>
      <c r="J5" s="56"/>
      <c r="K5" s="34"/>
      <c r="L5" s="27" t="s">
        <v>71</v>
      </c>
      <c r="M5" s="181"/>
    </row>
    <row r="6" ht="82.5" customHeight="1">
      <c r="A6" s="20">
        <v>44981.0</v>
      </c>
      <c r="B6" s="130" t="s">
        <v>12</v>
      </c>
      <c r="C6" s="8" t="s">
        <v>26</v>
      </c>
      <c r="D6" s="132" t="s">
        <v>58</v>
      </c>
      <c r="E6" s="132" t="s">
        <v>15</v>
      </c>
      <c r="F6" s="179" t="s">
        <v>16</v>
      </c>
      <c r="G6" s="188" t="s">
        <v>518</v>
      </c>
      <c r="H6" s="34"/>
      <c r="I6" s="56" t="s">
        <v>67</v>
      </c>
      <c r="J6" s="56"/>
      <c r="K6" s="34"/>
      <c r="L6" s="27" t="s">
        <v>71</v>
      </c>
      <c r="M6" s="181"/>
    </row>
    <row r="7" ht="151.5" customHeight="1">
      <c r="A7" s="20">
        <v>44972.0</v>
      </c>
      <c r="B7" s="130" t="s">
        <v>19</v>
      </c>
      <c r="C7" s="8" t="s">
        <v>57</v>
      </c>
      <c r="D7" s="132" t="s">
        <v>21</v>
      </c>
      <c r="E7" s="132" t="s">
        <v>22</v>
      </c>
      <c r="F7" s="179" t="s">
        <v>16</v>
      </c>
      <c r="G7" s="188" t="s">
        <v>519</v>
      </c>
      <c r="H7" s="26" t="s">
        <v>61</v>
      </c>
      <c r="I7" s="56" t="s">
        <v>334</v>
      </c>
      <c r="J7" s="56" t="s">
        <v>70</v>
      </c>
      <c r="K7" s="26" t="s">
        <v>520</v>
      </c>
      <c r="L7" s="27" t="s">
        <v>144</v>
      </c>
      <c r="M7" s="181"/>
    </row>
    <row r="8" ht="86.25" customHeight="1">
      <c r="A8" s="20">
        <v>44971.0</v>
      </c>
      <c r="B8" s="130" t="s">
        <v>25</v>
      </c>
      <c r="C8" s="8" t="s">
        <v>76</v>
      </c>
      <c r="D8" s="132" t="s">
        <v>21</v>
      </c>
      <c r="E8" s="132" t="s">
        <v>22</v>
      </c>
      <c r="F8" s="179" t="s">
        <v>16</v>
      </c>
      <c r="G8" s="188" t="s">
        <v>521</v>
      </c>
      <c r="H8" s="34"/>
      <c r="I8" s="56" t="s">
        <v>346</v>
      </c>
      <c r="J8" s="56" t="s">
        <v>522</v>
      </c>
      <c r="K8" s="34"/>
      <c r="L8" s="27" t="s">
        <v>71</v>
      </c>
      <c r="M8" s="181"/>
    </row>
    <row r="9" ht="86.25" customHeight="1">
      <c r="A9" s="20">
        <v>44971.0</v>
      </c>
      <c r="B9" s="130" t="s">
        <v>25</v>
      </c>
      <c r="C9" s="8" t="s">
        <v>20</v>
      </c>
      <c r="D9" s="132" t="s">
        <v>21</v>
      </c>
      <c r="E9" s="132" t="s">
        <v>22</v>
      </c>
      <c r="F9" s="179" t="s">
        <v>16</v>
      </c>
      <c r="G9" s="188" t="s">
        <v>523</v>
      </c>
      <c r="H9" s="34"/>
      <c r="I9" s="56" t="s">
        <v>67</v>
      </c>
      <c r="J9" s="56" t="s">
        <v>522</v>
      </c>
      <c r="K9" s="34"/>
      <c r="L9" s="27" t="s">
        <v>68</v>
      </c>
      <c r="M9" s="181"/>
    </row>
    <row r="10" ht="86.25" customHeight="1">
      <c r="A10" s="20">
        <v>44960.0</v>
      </c>
      <c r="B10" s="130" t="s">
        <v>25</v>
      </c>
      <c r="C10" s="8" t="s">
        <v>20</v>
      </c>
      <c r="D10" s="132" t="s">
        <v>95</v>
      </c>
      <c r="E10" s="132" t="s">
        <v>15</v>
      </c>
      <c r="F10" s="179" t="s">
        <v>64</v>
      </c>
      <c r="G10" s="188" t="s">
        <v>524</v>
      </c>
      <c r="H10" s="34"/>
      <c r="I10" s="56" t="s">
        <v>67</v>
      </c>
      <c r="J10" s="56" t="s">
        <v>74</v>
      </c>
      <c r="K10" s="26" t="s">
        <v>525</v>
      </c>
      <c r="L10" s="27" t="s">
        <v>68</v>
      </c>
      <c r="M10" s="181"/>
    </row>
    <row r="11" ht="72.0" customHeight="1">
      <c r="A11" s="20">
        <v>44964.0</v>
      </c>
      <c r="B11" s="130" t="s">
        <v>25</v>
      </c>
      <c r="C11" s="8" t="s">
        <v>36</v>
      </c>
      <c r="D11" s="132" t="s">
        <v>89</v>
      </c>
      <c r="E11" s="132" t="s">
        <v>22</v>
      </c>
      <c r="F11" s="179" t="s">
        <v>16</v>
      </c>
      <c r="G11" s="188" t="s">
        <v>526</v>
      </c>
      <c r="H11" s="34"/>
      <c r="I11" s="56" t="s">
        <v>66</v>
      </c>
      <c r="J11" s="56"/>
      <c r="K11" s="171" t="s">
        <v>527</v>
      </c>
      <c r="L11" s="27" t="s">
        <v>71</v>
      </c>
      <c r="M11" s="181"/>
    </row>
    <row r="12" ht="171.0" customHeight="1">
      <c r="A12" s="20">
        <v>44960.0</v>
      </c>
      <c r="B12" s="130" t="s">
        <v>25</v>
      </c>
      <c r="C12" s="8" t="s">
        <v>20</v>
      </c>
      <c r="D12" s="132" t="s">
        <v>95</v>
      </c>
      <c r="E12" s="132" t="s">
        <v>22</v>
      </c>
      <c r="F12" s="179" t="s">
        <v>16</v>
      </c>
      <c r="G12" s="188" t="s">
        <v>528</v>
      </c>
      <c r="H12" s="26" t="s">
        <v>61</v>
      </c>
      <c r="I12" s="56" t="s">
        <v>67</v>
      </c>
      <c r="J12" s="56" t="s">
        <v>127</v>
      </c>
      <c r="K12" s="34" t="s">
        <v>529</v>
      </c>
      <c r="L12" s="27" t="s">
        <v>71</v>
      </c>
      <c r="M12" s="181"/>
    </row>
    <row r="13">
      <c r="A13" s="20">
        <v>44957.0</v>
      </c>
      <c r="B13" s="130" t="s">
        <v>25</v>
      </c>
      <c r="C13" s="8" t="s">
        <v>20</v>
      </c>
      <c r="D13" s="132" t="s">
        <v>95</v>
      </c>
      <c r="E13" s="132" t="s">
        <v>22</v>
      </c>
      <c r="F13" s="179" t="s">
        <v>16</v>
      </c>
      <c r="G13" s="188" t="s">
        <v>530</v>
      </c>
      <c r="H13" s="34"/>
      <c r="I13" s="56" t="s">
        <v>67</v>
      </c>
      <c r="J13" s="56" t="s">
        <v>115</v>
      </c>
      <c r="K13" s="34"/>
      <c r="L13" s="27" t="s">
        <v>71</v>
      </c>
      <c r="M13" s="181"/>
    </row>
    <row r="14">
      <c r="A14" s="20">
        <v>44591.0</v>
      </c>
      <c r="B14" s="130" t="s">
        <v>25</v>
      </c>
      <c r="C14" s="8" t="s">
        <v>36</v>
      </c>
      <c r="D14" s="132" t="s">
        <v>58</v>
      </c>
      <c r="E14" s="132" t="s">
        <v>22</v>
      </c>
      <c r="F14" s="179" t="s">
        <v>16</v>
      </c>
      <c r="G14" s="189" t="s">
        <v>531</v>
      </c>
      <c r="H14" s="26" t="s">
        <v>61</v>
      </c>
      <c r="I14" s="56" t="s">
        <v>66</v>
      </c>
      <c r="J14" s="56" t="s">
        <v>346</v>
      </c>
      <c r="K14" s="34"/>
      <c r="L14" s="27" t="s">
        <v>167</v>
      </c>
      <c r="M14" s="181"/>
    </row>
    <row r="15">
      <c r="A15" s="20">
        <v>44924.0</v>
      </c>
      <c r="B15" s="130" t="s">
        <v>19</v>
      </c>
      <c r="C15" s="8" t="s">
        <v>20</v>
      </c>
      <c r="D15" s="132" t="s">
        <v>58</v>
      </c>
      <c r="E15" s="132" t="s">
        <v>64</v>
      </c>
      <c r="F15" s="179" t="s">
        <v>16</v>
      </c>
      <c r="G15" s="189" t="s">
        <v>532</v>
      </c>
      <c r="H15" s="26" t="s">
        <v>61</v>
      </c>
      <c r="I15" s="56" t="s">
        <v>346</v>
      </c>
      <c r="J15" s="56" t="s">
        <v>67</v>
      </c>
      <c r="K15" s="34"/>
      <c r="L15" s="27" t="s">
        <v>68</v>
      </c>
      <c r="M15" s="181"/>
    </row>
    <row r="16">
      <c r="A16" s="20">
        <v>44918.0</v>
      </c>
      <c r="B16" s="130" t="s">
        <v>19</v>
      </c>
      <c r="C16" s="8" t="s">
        <v>13</v>
      </c>
      <c r="D16" s="132" t="s">
        <v>58</v>
      </c>
      <c r="E16" s="132" t="s">
        <v>22</v>
      </c>
      <c r="F16" s="179" t="s">
        <v>64</v>
      </c>
      <c r="G16" s="188" t="s">
        <v>533</v>
      </c>
      <c r="H16" s="34"/>
      <c r="I16" s="56" t="s">
        <v>79</v>
      </c>
      <c r="J16" s="56"/>
      <c r="K16" s="34"/>
      <c r="L16" s="27" t="s">
        <v>71</v>
      </c>
      <c r="M16" s="181"/>
    </row>
    <row r="17">
      <c r="A17" s="20">
        <v>44917.0</v>
      </c>
      <c r="B17" s="130" t="s">
        <v>19</v>
      </c>
      <c r="C17" s="8" t="s">
        <v>26</v>
      </c>
      <c r="D17" s="132" t="s">
        <v>95</v>
      </c>
      <c r="E17" s="132" t="s">
        <v>22</v>
      </c>
      <c r="F17" s="179" t="s">
        <v>16</v>
      </c>
      <c r="G17" s="188" t="s">
        <v>534</v>
      </c>
      <c r="H17" s="26" t="s">
        <v>61</v>
      </c>
      <c r="I17" s="56" t="s">
        <v>66</v>
      </c>
      <c r="J17" s="56" t="s">
        <v>67</v>
      </c>
      <c r="K17" s="34"/>
      <c r="L17" s="27" t="s">
        <v>63</v>
      </c>
      <c r="M17" s="181"/>
    </row>
    <row r="18" ht="48.0" customHeight="1">
      <c r="A18" s="20">
        <v>44917.0</v>
      </c>
      <c r="B18" s="130" t="s">
        <v>19</v>
      </c>
      <c r="C18" s="8" t="s">
        <v>49</v>
      </c>
      <c r="D18" s="132" t="s">
        <v>14</v>
      </c>
      <c r="E18" s="132" t="s">
        <v>22</v>
      </c>
      <c r="F18" s="179" t="s">
        <v>64</v>
      </c>
      <c r="G18" s="188" t="s">
        <v>535</v>
      </c>
      <c r="H18" s="34"/>
      <c r="I18" s="56" t="s">
        <v>115</v>
      </c>
      <c r="J18" s="56"/>
      <c r="K18" s="34"/>
      <c r="L18" s="27" t="s">
        <v>68</v>
      </c>
      <c r="M18" s="181"/>
    </row>
    <row r="19">
      <c r="A19" s="20">
        <v>44917.0</v>
      </c>
      <c r="B19" s="130" t="s">
        <v>19</v>
      </c>
      <c r="C19" s="8" t="s">
        <v>72</v>
      </c>
      <c r="D19" s="132" t="s">
        <v>27</v>
      </c>
      <c r="E19" s="132" t="s">
        <v>22</v>
      </c>
      <c r="F19" s="179" t="s">
        <v>16</v>
      </c>
      <c r="G19" s="188" t="s">
        <v>536</v>
      </c>
      <c r="H19" s="34"/>
      <c r="I19" s="56" t="s">
        <v>74</v>
      </c>
      <c r="J19" s="56"/>
      <c r="K19" s="34"/>
      <c r="L19" s="27" t="s">
        <v>71</v>
      </c>
      <c r="M19" s="181"/>
    </row>
    <row r="20">
      <c r="A20" s="20">
        <v>44910.0</v>
      </c>
      <c r="B20" s="130" t="s">
        <v>19</v>
      </c>
      <c r="C20" s="8" t="s">
        <v>33</v>
      </c>
      <c r="D20" s="132" t="s">
        <v>21</v>
      </c>
      <c r="E20" s="132" t="s">
        <v>22</v>
      </c>
      <c r="F20" s="179" t="s">
        <v>64</v>
      </c>
      <c r="G20" s="188" t="s">
        <v>537</v>
      </c>
      <c r="H20" s="34"/>
      <c r="I20" s="56" t="s">
        <v>463</v>
      </c>
      <c r="J20" s="56"/>
      <c r="K20" s="34"/>
      <c r="L20" s="27" t="s">
        <v>71</v>
      </c>
      <c r="M20" s="181"/>
    </row>
    <row r="21">
      <c r="A21" s="20">
        <v>44910.0</v>
      </c>
      <c r="B21" s="130" t="s">
        <v>19</v>
      </c>
      <c r="C21" s="8" t="s">
        <v>49</v>
      </c>
      <c r="D21" s="132" t="s">
        <v>58</v>
      </c>
      <c r="E21" s="132" t="s">
        <v>15</v>
      </c>
      <c r="F21" s="179" t="s">
        <v>16</v>
      </c>
      <c r="G21" s="188" t="s">
        <v>538</v>
      </c>
      <c r="H21" s="26" t="s">
        <v>61</v>
      </c>
      <c r="I21" s="56" t="s">
        <v>334</v>
      </c>
      <c r="J21" s="56" t="s">
        <v>127</v>
      </c>
      <c r="K21" s="34"/>
      <c r="L21" s="27" t="s">
        <v>144</v>
      </c>
      <c r="M21" s="181"/>
    </row>
    <row r="22" ht="177.0" customHeight="1">
      <c r="A22" s="20">
        <v>44910.0</v>
      </c>
      <c r="B22" s="130" t="s">
        <v>19</v>
      </c>
      <c r="C22" s="8" t="s">
        <v>30</v>
      </c>
      <c r="D22" s="132" t="s">
        <v>58</v>
      </c>
      <c r="E22" s="132" t="s">
        <v>15</v>
      </c>
      <c r="F22" s="179" t="s">
        <v>16</v>
      </c>
      <c r="G22" s="188" t="s">
        <v>539</v>
      </c>
      <c r="H22" s="26" t="s">
        <v>61</v>
      </c>
      <c r="I22" s="56" t="s">
        <v>334</v>
      </c>
      <c r="J22" s="56" t="s">
        <v>127</v>
      </c>
      <c r="K22" s="34"/>
      <c r="L22" s="27" t="s">
        <v>144</v>
      </c>
      <c r="M22" s="181"/>
    </row>
    <row r="23" ht="94.5" customHeight="1">
      <c r="A23" s="20">
        <v>44902.0</v>
      </c>
      <c r="B23" s="130" t="s">
        <v>19</v>
      </c>
      <c r="C23" s="8" t="s">
        <v>57</v>
      </c>
      <c r="D23" s="132" t="s">
        <v>21</v>
      </c>
      <c r="E23" s="132" t="s">
        <v>22</v>
      </c>
      <c r="F23" s="179" t="s">
        <v>16</v>
      </c>
      <c r="G23" s="188" t="s">
        <v>540</v>
      </c>
      <c r="H23" s="26" t="s">
        <v>61</v>
      </c>
      <c r="I23" s="56" t="s">
        <v>334</v>
      </c>
      <c r="J23" s="56" t="s">
        <v>70</v>
      </c>
      <c r="K23" s="34"/>
      <c r="L23" s="27" t="s">
        <v>167</v>
      </c>
      <c r="M23" s="181"/>
    </row>
    <row r="24">
      <c r="A24" s="20">
        <v>44893.0</v>
      </c>
      <c r="B24" s="130" t="s">
        <v>43</v>
      </c>
      <c r="C24" s="8" t="s">
        <v>20</v>
      </c>
      <c r="D24" s="132" t="s">
        <v>14</v>
      </c>
      <c r="E24" s="132" t="s">
        <v>22</v>
      </c>
      <c r="F24" s="179" t="s">
        <v>16</v>
      </c>
      <c r="G24" s="188" t="s">
        <v>541</v>
      </c>
      <c r="H24" s="26" t="s">
        <v>97</v>
      </c>
      <c r="I24" s="56" t="s">
        <v>74</v>
      </c>
      <c r="J24" s="56" t="s">
        <v>127</v>
      </c>
      <c r="K24" s="34"/>
      <c r="L24" s="27" t="s">
        <v>71</v>
      </c>
      <c r="M24" s="181"/>
    </row>
    <row r="25">
      <c r="A25" s="20">
        <v>44881.0</v>
      </c>
      <c r="B25" s="130" t="s">
        <v>43</v>
      </c>
      <c r="C25" s="8" t="s">
        <v>36</v>
      </c>
      <c r="D25" s="132" t="s">
        <v>27</v>
      </c>
      <c r="E25" s="132" t="s">
        <v>22</v>
      </c>
      <c r="F25" s="179" t="s">
        <v>16</v>
      </c>
      <c r="G25" s="188" t="s">
        <v>542</v>
      </c>
      <c r="H25" s="26" t="s">
        <v>61</v>
      </c>
      <c r="I25" s="56" t="s">
        <v>66</v>
      </c>
      <c r="J25" s="56"/>
      <c r="K25" s="34"/>
      <c r="L25" s="27" t="s">
        <v>63</v>
      </c>
      <c r="M25" s="181"/>
    </row>
    <row r="26">
      <c r="A26" s="20">
        <v>44826.0</v>
      </c>
      <c r="B26" s="130" t="s">
        <v>56</v>
      </c>
      <c r="C26" s="8" t="s">
        <v>49</v>
      </c>
      <c r="D26" s="132" t="s">
        <v>21</v>
      </c>
      <c r="E26" s="132" t="s">
        <v>22</v>
      </c>
      <c r="F26" s="179" t="s">
        <v>16</v>
      </c>
      <c r="G26" s="155" t="s">
        <v>543</v>
      </c>
      <c r="H26" s="26" t="s">
        <v>61</v>
      </c>
      <c r="I26" s="56" t="s">
        <v>127</v>
      </c>
      <c r="J26" s="56"/>
      <c r="K26" s="26" t="s">
        <v>544</v>
      </c>
      <c r="L26" s="27" t="s">
        <v>167</v>
      </c>
      <c r="M26" s="181"/>
    </row>
    <row r="27">
      <c r="A27" s="20">
        <v>44868.0</v>
      </c>
      <c r="B27" s="130" t="s">
        <v>43</v>
      </c>
      <c r="C27" s="8" t="s">
        <v>76</v>
      </c>
      <c r="D27" s="132" t="s">
        <v>44</v>
      </c>
      <c r="E27" s="132" t="s">
        <v>22</v>
      </c>
      <c r="F27" s="179" t="s">
        <v>16</v>
      </c>
      <c r="G27" s="155" t="s">
        <v>545</v>
      </c>
      <c r="H27" s="26" t="s">
        <v>61</v>
      </c>
      <c r="I27" s="56"/>
      <c r="J27" s="56"/>
      <c r="K27" s="34"/>
      <c r="L27" s="27" t="s">
        <v>71</v>
      </c>
      <c r="M27" s="181"/>
    </row>
    <row r="28" ht="145.5" customHeight="1">
      <c r="A28" s="20">
        <v>44846.0</v>
      </c>
      <c r="B28" s="130" t="s">
        <v>56</v>
      </c>
      <c r="C28" s="8" t="s">
        <v>57</v>
      </c>
      <c r="D28" s="132" t="s">
        <v>21</v>
      </c>
      <c r="E28" s="132" t="s">
        <v>22</v>
      </c>
      <c r="F28" s="179" t="s">
        <v>16</v>
      </c>
      <c r="G28" s="155" t="s">
        <v>546</v>
      </c>
      <c r="H28" s="26" t="s">
        <v>61</v>
      </c>
      <c r="I28" s="56" t="s">
        <v>334</v>
      </c>
      <c r="J28" s="56"/>
      <c r="K28" s="34"/>
      <c r="L28" s="27" t="s">
        <v>71</v>
      </c>
      <c r="M28" s="181"/>
    </row>
    <row r="29">
      <c r="A29" s="20">
        <v>44844.0</v>
      </c>
      <c r="B29" s="130" t="s">
        <v>56</v>
      </c>
      <c r="C29" s="8" t="s">
        <v>26</v>
      </c>
      <c r="D29" s="132" t="s">
        <v>58</v>
      </c>
      <c r="E29" s="132" t="s">
        <v>22</v>
      </c>
      <c r="F29" s="179" t="s">
        <v>16</v>
      </c>
      <c r="G29" s="155" t="s">
        <v>547</v>
      </c>
      <c r="H29" s="26" t="s">
        <v>61</v>
      </c>
      <c r="I29" s="56" t="s">
        <v>66</v>
      </c>
      <c r="J29" s="56"/>
      <c r="K29" s="34"/>
      <c r="L29" s="27" t="s">
        <v>167</v>
      </c>
      <c r="M29" s="181"/>
    </row>
    <row r="30">
      <c r="A30" s="20">
        <v>44854.0</v>
      </c>
      <c r="B30" s="130" t="s">
        <v>56</v>
      </c>
      <c r="C30" s="8" t="s">
        <v>36</v>
      </c>
      <c r="D30" s="132" t="s">
        <v>44</v>
      </c>
      <c r="E30" s="132" t="s">
        <v>22</v>
      </c>
      <c r="F30" s="179" t="s">
        <v>16</v>
      </c>
      <c r="G30" s="155" t="s">
        <v>548</v>
      </c>
      <c r="H30" s="26" t="s">
        <v>61</v>
      </c>
      <c r="I30" s="56" t="s">
        <v>66</v>
      </c>
      <c r="J30" s="56"/>
      <c r="K30" s="34"/>
      <c r="L30" s="27" t="s">
        <v>71</v>
      </c>
      <c r="M30" s="181"/>
    </row>
    <row r="31">
      <c r="A31" s="20">
        <v>44826.0</v>
      </c>
      <c r="B31" s="130" t="s">
        <v>56</v>
      </c>
      <c r="C31" s="8" t="s">
        <v>49</v>
      </c>
      <c r="D31" s="132" t="s">
        <v>21</v>
      </c>
      <c r="E31" s="132" t="s">
        <v>22</v>
      </c>
      <c r="F31" s="179" t="s">
        <v>16</v>
      </c>
      <c r="G31" s="155" t="s">
        <v>549</v>
      </c>
      <c r="H31" s="26" t="s">
        <v>61</v>
      </c>
      <c r="I31" s="56" t="s">
        <v>115</v>
      </c>
      <c r="J31" s="56"/>
      <c r="K31" s="26" t="s">
        <v>550</v>
      </c>
      <c r="L31" s="27" t="s">
        <v>167</v>
      </c>
      <c r="M31" s="181"/>
    </row>
    <row r="32" ht="147.75" customHeight="1">
      <c r="A32" s="20">
        <v>44848.0</v>
      </c>
      <c r="B32" s="130" t="s">
        <v>56</v>
      </c>
      <c r="C32" s="8" t="s">
        <v>57</v>
      </c>
      <c r="D32" s="132" t="s">
        <v>21</v>
      </c>
      <c r="E32" s="132" t="s">
        <v>64</v>
      </c>
      <c r="F32" s="179" t="s">
        <v>16</v>
      </c>
      <c r="G32" s="155" t="s">
        <v>551</v>
      </c>
      <c r="H32" s="34"/>
      <c r="I32" s="56"/>
      <c r="J32" s="56"/>
      <c r="K32" s="34"/>
      <c r="L32" s="27" t="s">
        <v>68</v>
      </c>
      <c r="M32" s="181"/>
    </row>
    <row r="33">
      <c r="A33" s="20">
        <v>44826.0</v>
      </c>
      <c r="B33" s="130" t="s">
        <v>56</v>
      </c>
      <c r="C33" s="8" t="s">
        <v>30</v>
      </c>
      <c r="D33" s="132" t="s">
        <v>44</v>
      </c>
      <c r="E33" s="132" t="s">
        <v>15</v>
      </c>
      <c r="F33" s="179" t="s">
        <v>16</v>
      </c>
      <c r="G33" s="155" t="s">
        <v>552</v>
      </c>
      <c r="H33" s="34"/>
      <c r="I33" s="56" t="s">
        <v>127</v>
      </c>
      <c r="J33" s="56"/>
      <c r="K33" s="34"/>
      <c r="L33" s="27" t="s">
        <v>68</v>
      </c>
      <c r="M33" s="181"/>
    </row>
    <row r="34">
      <c r="A34" s="20">
        <v>44830.0</v>
      </c>
      <c r="B34" s="130" t="s">
        <v>56</v>
      </c>
      <c r="C34" s="8" t="s">
        <v>83</v>
      </c>
      <c r="D34" s="132" t="s">
        <v>44</v>
      </c>
      <c r="E34" s="132" t="s">
        <v>64</v>
      </c>
      <c r="F34" s="179" t="s">
        <v>16</v>
      </c>
      <c r="G34" s="155" t="s">
        <v>553</v>
      </c>
      <c r="H34" s="26" t="s">
        <v>61</v>
      </c>
      <c r="I34" s="56" t="s">
        <v>66</v>
      </c>
      <c r="J34" s="56"/>
      <c r="K34" s="34"/>
      <c r="L34" s="27" t="s">
        <v>162</v>
      </c>
      <c r="M34" s="181"/>
    </row>
    <row r="35">
      <c r="A35" s="20">
        <v>44816.0</v>
      </c>
      <c r="B35" s="130" t="s">
        <v>56</v>
      </c>
      <c r="C35" s="8" t="s">
        <v>33</v>
      </c>
      <c r="D35" s="132" t="s">
        <v>14</v>
      </c>
      <c r="E35" s="132" t="s">
        <v>22</v>
      </c>
      <c r="F35" s="179" t="s">
        <v>16</v>
      </c>
      <c r="G35" s="155" t="s">
        <v>554</v>
      </c>
      <c r="H35" s="34"/>
      <c r="I35" s="56" t="s">
        <v>463</v>
      </c>
      <c r="J35" s="56" t="s">
        <v>70</v>
      </c>
      <c r="K35" s="26" t="s">
        <v>97</v>
      </c>
      <c r="L35" s="27" t="s">
        <v>71</v>
      </c>
      <c r="M35" s="181"/>
    </row>
    <row r="36">
      <c r="A36" s="20">
        <v>44802.0</v>
      </c>
      <c r="B36" s="130" t="s">
        <v>75</v>
      </c>
      <c r="C36" s="8" t="s">
        <v>26</v>
      </c>
      <c r="D36" s="132" t="s">
        <v>77</v>
      </c>
      <c r="E36" s="132" t="s">
        <v>22</v>
      </c>
      <c r="F36" s="179" t="s">
        <v>16</v>
      </c>
      <c r="G36" s="155" t="s">
        <v>555</v>
      </c>
      <c r="H36" s="26" t="s">
        <v>61</v>
      </c>
      <c r="I36" s="56" t="s">
        <v>66</v>
      </c>
      <c r="J36" s="56"/>
      <c r="K36" s="180"/>
      <c r="L36" s="27" t="s">
        <v>63</v>
      </c>
      <c r="M36" s="181"/>
    </row>
    <row r="37">
      <c r="A37" s="20">
        <v>44798.0</v>
      </c>
      <c r="B37" s="130" t="s">
        <v>75</v>
      </c>
      <c r="C37" s="8" t="s">
        <v>26</v>
      </c>
      <c r="D37" s="132" t="s">
        <v>77</v>
      </c>
      <c r="E37" s="132" t="s">
        <v>22</v>
      </c>
      <c r="F37" s="179" t="s">
        <v>16</v>
      </c>
      <c r="G37" s="155" t="s">
        <v>556</v>
      </c>
      <c r="H37" s="26" t="s">
        <v>61</v>
      </c>
      <c r="I37" s="56" t="s">
        <v>66</v>
      </c>
      <c r="J37" s="56"/>
      <c r="K37" s="180"/>
      <c r="L37" s="27" t="s">
        <v>144</v>
      </c>
      <c r="M37" s="181"/>
    </row>
    <row r="38" ht="56.25" customHeight="1">
      <c r="A38" s="20"/>
      <c r="B38" s="130"/>
      <c r="C38" s="8"/>
      <c r="D38" s="132"/>
      <c r="E38" s="132"/>
      <c r="F38" s="179"/>
      <c r="G38" s="155"/>
      <c r="H38" s="180"/>
      <c r="I38" s="56"/>
      <c r="J38" s="56"/>
      <c r="K38" s="180"/>
      <c r="L38" s="27"/>
      <c r="M38" s="181"/>
    </row>
    <row r="39" ht="56.25" customHeight="1">
      <c r="A39" s="20"/>
      <c r="B39" s="130"/>
      <c r="C39" s="8"/>
      <c r="D39" s="132"/>
      <c r="E39" s="132"/>
      <c r="F39" s="179"/>
      <c r="H39" s="180"/>
      <c r="I39" s="56"/>
      <c r="J39" s="56"/>
      <c r="K39" s="180"/>
      <c r="L39" s="27"/>
      <c r="M39" s="181"/>
    </row>
    <row r="40">
      <c r="A40" s="20"/>
      <c r="B40" s="130"/>
      <c r="C40" s="8"/>
      <c r="D40" s="132"/>
      <c r="E40" s="132"/>
      <c r="F40" s="179"/>
      <c r="G40" s="155"/>
      <c r="H40" s="180"/>
      <c r="I40" s="56"/>
      <c r="J40" s="56"/>
      <c r="K40" s="180"/>
      <c r="L40" s="27"/>
    </row>
    <row r="41">
      <c r="A41" s="20"/>
      <c r="B41" s="130"/>
      <c r="C41" s="8"/>
      <c r="D41" s="132"/>
      <c r="E41" s="132"/>
      <c r="F41" s="179"/>
      <c r="G41" s="155"/>
      <c r="H41" s="180"/>
      <c r="I41" s="56"/>
      <c r="J41" s="56"/>
      <c r="K41" s="180"/>
      <c r="L41" s="27"/>
      <c r="M41" s="181"/>
    </row>
    <row r="42">
      <c r="A42" s="20"/>
      <c r="B42" s="130"/>
      <c r="C42" s="8"/>
      <c r="D42" s="132"/>
      <c r="E42" s="132"/>
      <c r="F42" s="179"/>
      <c r="G42" s="155"/>
      <c r="H42" s="180"/>
      <c r="I42" s="56"/>
      <c r="J42" s="56"/>
      <c r="K42" s="180"/>
      <c r="L42" s="27"/>
      <c r="M42" s="181"/>
    </row>
    <row r="43">
      <c r="A43" s="20"/>
      <c r="B43" s="130"/>
      <c r="C43" s="8"/>
      <c r="D43" s="132"/>
      <c r="E43" s="132"/>
      <c r="F43" s="179"/>
      <c r="G43" s="155"/>
      <c r="H43" s="180"/>
      <c r="I43" s="56"/>
      <c r="J43" s="56"/>
      <c r="K43" s="180"/>
      <c r="L43" s="27"/>
      <c r="M43" s="181"/>
    </row>
    <row r="44" ht="67.5" customHeight="1">
      <c r="A44" s="20"/>
      <c r="B44" s="130"/>
      <c r="C44" s="8"/>
      <c r="D44" s="132"/>
      <c r="E44" s="132"/>
      <c r="F44" s="179"/>
      <c r="G44" s="155"/>
      <c r="H44" s="180"/>
      <c r="I44" s="56"/>
      <c r="J44" s="56"/>
      <c r="K44" s="180"/>
      <c r="L44" s="27"/>
      <c r="M44" s="181"/>
    </row>
    <row r="45">
      <c r="A45" s="20"/>
      <c r="B45" s="130"/>
      <c r="C45" s="8"/>
      <c r="D45" s="132"/>
      <c r="E45" s="132"/>
      <c r="F45" s="179"/>
      <c r="G45" s="155"/>
      <c r="H45" s="180"/>
      <c r="I45" s="175"/>
      <c r="J45" s="56"/>
      <c r="K45" s="180"/>
      <c r="L45" s="27"/>
    </row>
    <row r="46" ht="41.25" customHeight="1">
      <c r="A46" s="20"/>
      <c r="B46" s="130"/>
      <c r="C46" s="8"/>
      <c r="D46" s="132"/>
      <c r="E46" s="132"/>
      <c r="F46" s="179"/>
      <c r="G46" s="155"/>
      <c r="H46" s="180"/>
      <c r="I46" s="56"/>
      <c r="J46" s="56"/>
      <c r="K46" s="180"/>
      <c r="L46" s="27"/>
    </row>
    <row r="47" ht="101.25" customHeight="1">
      <c r="A47" s="20"/>
      <c r="B47" s="130"/>
      <c r="C47" s="8"/>
      <c r="D47" s="132"/>
      <c r="E47" s="140"/>
      <c r="F47" s="179"/>
      <c r="G47" s="130"/>
      <c r="H47" s="183"/>
      <c r="I47" s="175"/>
      <c r="J47" s="143"/>
      <c r="K47" s="138"/>
      <c r="L47" s="27"/>
    </row>
    <row r="48" ht="101.25" customHeight="1">
      <c r="A48" s="20"/>
      <c r="B48" s="130"/>
      <c r="C48" s="8"/>
      <c r="D48" s="132"/>
      <c r="E48" s="140"/>
      <c r="F48" s="179"/>
      <c r="G48" s="130"/>
      <c r="H48" s="184"/>
      <c r="I48" s="175"/>
      <c r="J48" s="143"/>
      <c r="K48" s="138"/>
      <c r="L48" s="27"/>
    </row>
    <row r="49" ht="101.25" customHeight="1">
      <c r="A49" s="20"/>
      <c r="B49" s="130"/>
      <c r="C49" s="8"/>
      <c r="D49" s="132"/>
      <c r="E49" s="140"/>
      <c r="F49" s="179"/>
      <c r="G49" s="130"/>
      <c r="H49" s="185"/>
      <c r="I49" s="175"/>
      <c r="J49" s="98"/>
      <c r="K49" s="28"/>
      <c r="L49" s="98"/>
    </row>
    <row r="50">
      <c r="G50" s="186"/>
    </row>
    <row r="51">
      <c r="G51" s="187"/>
    </row>
    <row r="52">
      <c r="G52" s="187"/>
    </row>
    <row r="53">
      <c r="G53" s="187"/>
    </row>
    <row r="54">
      <c r="G54" s="187"/>
    </row>
    <row r="55">
      <c r="G55" s="187"/>
    </row>
    <row r="56">
      <c r="G56" s="187"/>
    </row>
    <row r="57">
      <c r="G57" s="187"/>
    </row>
    <row r="58">
      <c r="G58" s="187"/>
    </row>
    <row r="59">
      <c r="G59" s="187"/>
    </row>
    <row r="61">
      <c r="G61" s="187"/>
    </row>
    <row r="62">
      <c r="G62" s="187"/>
    </row>
    <row r="63">
      <c r="G63" s="187"/>
    </row>
    <row r="64">
      <c r="G64" s="187"/>
    </row>
    <row r="65">
      <c r="G65" s="187"/>
    </row>
    <row r="66">
      <c r="G66" s="187"/>
    </row>
    <row r="67">
      <c r="G67" s="187"/>
    </row>
    <row r="68">
      <c r="G68" s="187"/>
    </row>
    <row r="69">
      <c r="G69" s="187"/>
    </row>
    <row r="70">
      <c r="G70" s="187"/>
    </row>
    <row r="75">
      <c r="G75" s="190"/>
    </row>
    <row r="76">
      <c r="G76" s="190"/>
    </row>
    <row r="77">
      <c r="G77" s="190"/>
    </row>
    <row r="86">
      <c r="G86" s="187"/>
    </row>
    <row r="87">
      <c r="G87" s="187"/>
    </row>
    <row r="88">
      <c r="G88" s="187"/>
    </row>
    <row r="89">
      <c r="G89" s="187"/>
    </row>
    <row r="90">
      <c r="G90" s="187"/>
    </row>
    <row r="91">
      <c r="G91" s="187"/>
    </row>
    <row r="92">
      <c r="G92" s="187"/>
    </row>
    <row r="93">
      <c r="G93" s="187"/>
    </row>
    <row r="94">
      <c r="G94" s="187"/>
    </row>
    <row r="95">
      <c r="G95" s="187"/>
    </row>
    <row r="96">
      <c r="G96" s="187"/>
    </row>
    <row r="97">
      <c r="G97" s="187"/>
    </row>
    <row r="98">
      <c r="G98" s="187"/>
    </row>
    <row r="99">
      <c r="G99" s="187"/>
    </row>
    <row r="100">
      <c r="G100" s="187"/>
    </row>
    <row r="101">
      <c r="G101" s="187"/>
    </row>
    <row r="102">
      <c r="G102" s="187"/>
    </row>
    <row r="103">
      <c r="G103" s="187"/>
    </row>
    <row r="104">
      <c r="G104" s="187"/>
    </row>
    <row r="105">
      <c r="G105" s="187"/>
    </row>
    <row r="106">
      <c r="G106" s="187"/>
    </row>
    <row r="107">
      <c r="G107" s="187"/>
    </row>
    <row r="108">
      <c r="G108" s="187"/>
    </row>
    <row r="109">
      <c r="G109" s="187"/>
    </row>
    <row r="110">
      <c r="G110" s="187"/>
    </row>
    <row r="111">
      <c r="G111" s="187"/>
    </row>
    <row r="112">
      <c r="G112" s="187"/>
    </row>
    <row r="113">
      <c r="G113" s="187"/>
    </row>
    <row r="114">
      <c r="G114" s="187"/>
    </row>
    <row r="115">
      <c r="G115" s="187"/>
    </row>
    <row r="116">
      <c r="G116" s="187"/>
    </row>
    <row r="117">
      <c r="G117" s="187"/>
    </row>
    <row r="118">
      <c r="G118" s="187"/>
    </row>
    <row r="119">
      <c r="G119" s="187"/>
    </row>
    <row r="120">
      <c r="G120" s="187"/>
    </row>
    <row r="121">
      <c r="G121" s="187"/>
    </row>
    <row r="122">
      <c r="G122" s="187"/>
    </row>
    <row r="123">
      <c r="G123" s="187"/>
    </row>
    <row r="124">
      <c r="G124" s="187"/>
    </row>
    <row r="125">
      <c r="G125" s="187"/>
    </row>
    <row r="126">
      <c r="G126" s="187"/>
    </row>
    <row r="127">
      <c r="G127" s="187"/>
    </row>
    <row r="128">
      <c r="G128" s="187"/>
    </row>
    <row r="129">
      <c r="G129" s="187"/>
    </row>
    <row r="130">
      <c r="G130" s="187"/>
    </row>
    <row r="131">
      <c r="G131" s="187"/>
    </row>
    <row r="132">
      <c r="G132" s="187"/>
    </row>
    <row r="133">
      <c r="G133" s="187"/>
    </row>
    <row r="134">
      <c r="G134" s="187"/>
    </row>
    <row r="135">
      <c r="G135" s="187"/>
    </row>
    <row r="136">
      <c r="G136" s="187"/>
    </row>
    <row r="137">
      <c r="G137" s="187"/>
    </row>
    <row r="138">
      <c r="G138" s="187"/>
    </row>
    <row r="139">
      <c r="G139" s="187"/>
    </row>
    <row r="140">
      <c r="G140" s="187"/>
    </row>
    <row r="141">
      <c r="G141" s="187"/>
    </row>
    <row r="142">
      <c r="G142" s="187"/>
    </row>
    <row r="143">
      <c r="G143" s="187"/>
    </row>
    <row r="144">
      <c r="G144" s="187"/>
    </row>
    <row r="145">
      <c r="G145" s="187"/>
    </row>
    <row r="146">
      <c r="G146" s="187"/>
    </row>
    <row r="147">
      <c r="G147" s="187"/>
    </row>
    <row r="148">
      <c r="G148" s="187"/>
    </row>
    <row r="149">
      <c r="G149" s="187"/>
    </row>
    <row r="150">
      <c r="G150" s="187"/>
    </row>
    <row r="151">
      <c r="G151" s="187"/>
    </row>
    <row r="152">
      <c r="G152" s="187"/>
    </row>
    <row r="153">
      <c r="G153" s="187"/>
    </row>
    <row r="154">
      <c r="G154" s="187"/>
    </row>
    <row r="155">
      <c r="G155" s="187"/>
    </row>
    <row r="156">
      <c r="G156" s="187"/>
    </row>
    <row r="157">
      <c r="G157" s="187"/>
    </row>
    <row r="158">
      <c r="G158" s="187"/>
    </row>
    <row r="159">
      <c r="G159" s="187"/>
    </row>
    <row r="160">
      <c r="G160" s="187"/>
    </row>
    <row r="161">
      <c r="G161" s="187"/>
    </row>
    <row r="162">
      <c r="G162" s="187"/>
    </row>
    <row r="163">
      <c r="G163" s="187"/>
    </row>
    <row r="164">
      <c r="G164" s="187"/>
    </row>
    <row r="165">
      <c r="G165" s="187"/>
    </row>
    <row r="166">
      <c r="G166" s="187"/>
    </row>
    <row r="167">
      <c r="G167" s="187"/>
    </row>
    <row r="168">
      <c r="G168" s="187"/>
    </row>
    <row r="169">
      <c r="G169" s="187"/>
    </row>
    <row r="170">
      <c r="G170" s="187"/>
    </row>
    <row r="171">
      <c r="G171" s="187"/>
    </row>
    <row r="172">
      <c r="G172" s="187"/>
    </row>
    <row r="173">
      <c r="G173" s="187"/>
    </row>
    <row r="174">
      <c r="G174" s="187"/>
    </row>
    <row r="175">
      <c r="G175" s="187"/>
    </row>
    <row r="176">
      <c r="G176" s="187"/>
    </row>
    <row r="177">
      <c r="G177" s="187"/>
    </row>
    <row r="178">
      <c r="G178" s="187"/>
    </row>
    <row r="179">
      <c r="G179" s="187"/>
    </row>
    <row r="180">
      <c r="G180" s="187"/>
    </row>
    <row r="181">
      <c r="G181" s="187"/>
    </row>
    <row r="182">
      <c r="G182" s="187"/>
    </row>
    <row r="183">
      <c r="G183" s="187"/>
    </row>
    <row r="184">
      <c r="G184" s="187"/>
    </row>
    <row r="185">
      <c r="G185" s="187"/>
    </row>
    <row r="186">
      <c r="G186" s="187"/>
    </row>
    <row r="187">
      <c r="G187" s="187"/>
    </row>
    <row r="188">
      <c r="G188" s="187"/>
    </row>
    <row r="189">
      <c r="G189" s="187"/>
    </row>
    <row r="190">
      <c r="G190" s="187"/>
    </row>
    <row r="191">
      <c r="G191" s="187"/>
    </row>
    <row r="192">
      <c r="G192" s="187"/>
    </row>
    <row r="193">
      <c r="G193" s="187"/>
    </row>
    <row r="194">
      <c r="G194" s="187"/>
    </row>
    <row r="195">
      <c r="G195" s="187"/>
    </row>
    <row r="196">
      <c r="G196" s="187"/>
    </row>
    <row r="197">
      <c r="G197" s="187"/>
    </row>
    <row r="198">
      <c r="G198" s="187"/>
    </row>
    <row r="199">
      <c r="G199" s="187"/>
    </row>
    <row r="200">
      <c r="G200" s="187"/>
    </row>
    <row r="201">
      <c r="G201" s="187"/>
    </row>
    <row r="202">
      <c r="G202" s="187"/>
    </row>
    <row r="203">
      <c r="G203" s="187"/>
    </row>
    <row r="204">
      <c r="G204" s="187"/>
    </row>
    <row r="205">
      <c r="G205" s="187"/>
    </row>
    <row r="206">
      <c r="G206" s="187"/>
    </row>
    <row r="207">
      <c r="G207" s="187"/>
    </row>
    <row r="208">
      <c r="G208" s="187"/>
    </row>
    <row r="209">
      <c r="G209" s="187"/>
    </row>
    <row r="210">
      <c r="G210" s="187"/>
    </row>
    <row r="211">
      <c r="G211" s="187"/>
    </row>
    <row r="212">
      <c r="G212" s="187"/>
    </row>
    <row r="213">
      <c r="G213" s="187"/>
    </row>
    <row r="214">
      <c r="G214" s="187"/>
    </row>
    <row r="215">
      <c r="G215" s="187"/>
    </row>
    <row r="216">
      <c r="G216" s="187"/>
    </row>
    <row r="217">
      <c r="G217" s="187"/>
    </row>
    <row r="218">
      <c r="G218" s="187"/>
    </row>
    <row r="219">
      <c r="G219" s="187"/>
    </row>
    <row r="220">
      <c r="G220" s="187"/>
    </row>
    <row r="221">
      <c r="G221" s="187"/>
    </row>
    <row r="222">
      <c r="G222" s="187"/>
    </row>
    <row r="223">
      <c r="G223" s="187"/>
    </row>
    <row r="224">
      <c r="G224" s="187"/>
    </row>
    <row r="225">
      <c r="G225" s="187"/>
    </row>
    <row r="226">
      <c r="G226" s="187"/>
    </row>
    <row r="227">
      <c r="G227" s="187"/>
    </row>
    <row r="228">
      <c r="G228" s="187"/>
    </row>
    <row r="229">
      <c r="G229" s="187"/>
    </row>
    <row r="230">
      <c r="G230" s="187"/>
    </row>
    <row r="231">
      <c r="G231" s="187"/>
    </row>
    <row r="232">
      <c r="G232" s="187"/>
    </row>
    <row r="233">
      <c r="G233" s="187"/>
    </row>
    <row r="234">
      <c r="G234" s="187"/>
    </row>
    <row r="235">
      <c r="G235" s="187"/>
    </row>
    <row r="236">
      <c r="G236" s="187"/>
    </row>
    <row r="237">
      <c r="G237" s="187"/>
    </row>
    <row r="238">
      <c r="G238" s="187"/>
    </row>
    <row r="239">
      <c r="G239" s="187"/>
    </row>
    <row r="240">
      <c r="G240" s="187"/>
    </row>
    <row r="241">
      <c r="G241" s="187"/>
    </row>
    <row r="242">
      <c r="G242" s="187"/>
    </row>
    <row r="243">
      <c r="G243" s="187"/>
    </row>
    <row r="244">
      <c r="G244" s="187"/>
    </row>
    <row r="245">
      <c r="G245" s="187"/>
    </row>
    <row r="246">
      <c r="G246" s="187"/>
    </row>
    <row r="247">
      <c r="G247" s="187"/>
    </row>
    <row r="248">
      <c r="G248" s="187"/>
    </row>
    <row r="249">
      <c r="G249" s="187"/>
    </row>
    <row r="250">
      <c r="G250" s="187"/>
    </row>
    <row r="251">
      <c r="G251" s="187"/>
    </row>
    <row r="252">
      <c r="G252" s="187"/>
    </row>
    <row r="253">
      <c r="G253" s="187"/>
    </row>
    <row r="254">
      <c r="G254" s="187"/>
    </row>
    <row r="255">
      <c r="G255" s="187"/>
    </row>
    <row r="256">
      <c r="G256" s="187"/>
    </row>
    <row r="257">
      <c r="G257" s="187"/>
    </row>
    <row r="258">
      <c r="G258" s="187"/>
    </row>
    <row r="259">
      <c r="G259" s="187"/>
    </row>
    <row r="260">
      <c r="G260" s="187"/>
    </row>
    <row r="261">
      <c r="G261" s="187"/>
    </row>
    <row r="262">
      <c r="G262" s="187"/>
    </row>
    <row r="263">
      <c r="G263" s="187"/>
    </row>
    <row r="264">
      <c r="G264" s="187"/>
    </row>
    <row r="265">
      <c r="G265" s="187"/>
    </row>
    <row r="266">
      <c r="G266" s="187"/>
    </row>
    <row r="267">
      <c r="G267" s="187"/>
    </row>
    <row r="268">
      <c r="G268" s="187"/>
    </row>
    <row r="269">
      <c r="G269" s="187"/>
    </row>
    <row r="270">
      <c r="G270" s="187"/>
    </row>
    <row r="271">
      <c r="G271" s="187"/>
    </row>
    <row r="272">
      <c r="G272" s="187"/>
    </row>
    <row r="273">
      <c r="G273" s="187"/>
    </row>
    <row r="274">
      <c r="G274" s="187"/>
    </row>
    <row r="275">
      <c r="G275" s="187"/>
    </row>
    <row r="276">
      <c r="G276" s="187"/>
    </row>
    <row r="277">
      <c r="G277" s="187"/>
    </row>
    <row r="278">
      <c r="G278" s="187"/>
    </row>
    <row r="279">
      <c r="G279" s="187"/>
    </row>
    <row r="280">
      <c r="G280" s="187"/>
    </row>
    <row r="281">
      <c r="G281" s="187"/>
    </row>
    <row r="282">
      <c r="G282" s="187"/>
    </row>
    <row r="283">
      <c r="G283" s="187"/>
    </row>
    <row r="284">
      <c r="G284" s="187"/>
    </row>
    <row r="285">
      <c r="G285" s="187"/>
    </row>
    <row r="286">
      <c r="G286" s="187"/>
    </row>
    <row r="287">
      <c r="G287" s="187"/>
    </row>
    <row r="288">
      <c r="G288" s="187"/>
    </row>
    <row r="289">
      <c r="G289" s="187"/>
    </row>
    <row r="290">
      <c r="G290" s="187"/>
    </row>
    <row r="291">
      <c r="G291" s="187"/>
    </row>
    <row r="292">
      <c r="G292" s="187"/>
    </row>
    <row r="293">
      <c r="G293" s="187"/>
    </row>
    <row r="294">
      <c r="G294" s="187"/>
    </row>
    <row r="295">
      <c r="G295" s="187"/>
    </row>
    <row r="296">
      <c r="G296" s="187"/>
    </row>
    <row r="297">
      <c r="G297" s="187"/>
    </row>
    <row r="298">
      <c r="G298" s="187"/>
    </row>
    <row r="299">
      <c r="G299" s="187"/>
    </row>
    <row r="300">
      <c r="G300" s="187"/>
    </row>
    <row r="301">
      <c r="G301" s="187"/>
    </row>
    <row r="302">
      <c r="G302" s="187"/>
    </row>
    <row r="303">
      <c r="G303" s="187"/>
    </row>
    <row r="304">
      <c r="G304" s="187"/>
    </row>
    <row r="305">
      <c r="G305" s="187"/>
    </row>
    <row r="306">
      <c r="G306" s="187"/>
    </row>
    <row r="307">
      <c r="G307" s="187"/>
    </row>
    <row r="308">
      <c r="G308" s="187"/>
    </row>
    <row r="309">
      <c r="G309" s="187"/>
    </row>
    <row r="310">
      <c r="G310" s="187"/>
    </row>
    <row r="311">
      <c r="G311" s="187"/>
    </row>
    <row r="312">
      <c r="G312" s="187"/>
    </row>
    <row r="313">
      <c r="G313" s="187"/>
    </row>
    <row r="314">
      <c r="G314" s="187"/>
    </row>
    <row r="315">
      <c r="G315" s="187"/>
    </row>
    <row r="316">
      <c r="G316" s="187"/>
    </row>
    <row r="317">
      <c r="G317" s="187"/>
    </row>
    <row r="318">
      <c r="G318" s="187"/>
    </row>
    <row r="319">
      <c r="G319" s="187"/>
    </row>
    <row r="320">
      <c r="G320" s="187"/>
    </row>
    <row r="321">
      <c r="G321" s="187"/>
    </row>
    <row r="322">
      <c r="G322" s="187"/>
    </row>
    <row r="323">
      <c r="G323" s="187"/>
    </row>
    <row r="324">
      <c r="G324" s="187"/>
    </row>
    <row r="325">
      <c r="G325" s="187"/>
    </row>
    <row r="326">
      <c r="G326" s="187"/>
    </row>
    <row r="327">
      <c r="G327" s="187"/>
    </row>
    <row r="328">
      <c r="G328" s="187"/>
    </row>
    <row r="329">
      <c r="G329" s="187"/>
    </row>
    <row r="330">
      <c r="G330" s="187"/>
    </row>
    <row r="331">
      <c r="G331" s="187"/>
    </row>
    <row r="332">
      <c r="G332" s="187"/>
    </row>
    <row r="333">
      <c r="G333" s="187"/>
    </row>
    <row r="334">
      <c r="G334" s="187"/>
    </row>
    <row r="335">
      <c r="G335" s="187"/>
    </row>
    <row r="336">
      <c r="G336" s="187"/>
    </row>
    <row r="337">
      <c r="G337" s="187"/>
    </row>
    <row r="338">
      <c r="G338" s="187"/>
    </row>
    <row r="339">
      <c r="G339" s="187"/>
    </row>
    <row r="340">
      <c r="G340" s="187"/>
    </row>
    <row r="341">
      <c r="G341" s="187"/>
    </row>
    <row r="342">
      <c r="G342" s="187"/>
    </row>
    <row r="343">
      <c r="G343" s="187"/>
    </row>
    <row r="344">
      <c r="G344" s="187"/>
    </row>
    <row r="345">
      <c r="G345" s="187"/>
    </row>
    <row r="346">
      <c r="G346" s="187"/>
    </row>
    <row r="347">
      <c r="G347" s="187"/>
    </row>
    <row r="348">
      <c r="G348" s="187"/>
    </row>
    <row r="349">
      <c r="G349" s="187"/>
    </row>
    <row r="350">
      <c r="G350" s="187"/>
    </row>
    <row r="351">
      <c r="G351" s="187"/>
    </row>
    <row r="352">
      <c r="G352" s="187"/>
    </row>
    <row r="353">
      <c r="G353" s="187"/>
    </row>
    <row r="354">
      <c r="G354" s="187"/>
    </row>
    <row r="355">
      <c r="G355" s="187"/>
    </row>
    <row r="356">
      <c r="G356" s="187"/>
    </row>
    <row r="357">
      <c r="G357" s="187"/>
    </row>
    <row r="358">
      <c r="G358" s="187"/>
    </row>
    <row r="359">
      <c r="G359" s="187"/>
    </row>
    <row r="360">
      <c r="G360" s="187"/>
    </row>
    <row r="361">
      <c r="G361" s="187"/>
    </row>
    <row r="362">
      <c r="G362" s="187"/>
    </row>
    <row r="363">
      <c r="G363" s="187"/>
    </row>
    <row r="364">
      <c r="G364" s="187"/>
    </row>
    <row r="365">
      <c r="G365" s="187"/>
    </row>
    <row r="366">
      <c r="G366" s="187"/>
    </row>
    <row r="367">
      <c r="G367" s="187"/>
    </row>
    <row r="368">
      <c r="G368" s="187"/>
    </row>
    <row r="369">
      <c r="G369" s="187"/>
    </row>
    <row r="370">
      <c r="G370" s="187"/>
    </row>
    <row r="371">
      <c r="G371" s="187"/>
    </row>
    <row r="372">
      <c r="G372" s="187"/>
    </row>
    <row r="373">
      <c r="G373" s="187"/>
    </row>
    <row r="374">
      <c r="G374" s="187"/>
    </row>
    <row r="375">
      <c r="G375" s="187"/>
    </row>
    <row r="376">
      <c r="G376" s="187"/>
    </row>
    <row r="377">
      <c r="G377" s="187"/>
    </row>
    <row r="378">
      <c r="G378" s="187"/>
    </row>
    <row r="379">
      <c r="G379" s="187"/>
    </row>
    <row r="380">
      <c r="G380" s="187"/>
    </row>
    <row r="381">
      <c r="G381" s="187"/>
    </row>
    <row r="382">
      <c r="G382" s="187"/>
    </row>
    <row r="383">
      <c r="G383" s="187"/>
    </row>
    <row r="384">
      <c r="G384" s="187"/>
    </row>
    <row r="385">
      <c r="G385" s="187"/>
    </row>
    <row r="386">
      <c r="G386" s="187"/>
    </row>
    <row r="387">
      <c r="G387" s="187"/>
    </row>
    <row r="388">
      <c r="G388" s="187"/>
    </row>
    <row r="389">
      <c r="G389" s="187"/>
    </row>
    <row r="390">
      <c r="G390" s="187"/>
    </row>
    <row r="391">
      <c r="G391" s="187"/>
    </row>
    <row r="392">
      <c r="G392" s="187"/>
    </row>
    <row r="393">
      <c r="G393" s="187"/>
    </row>
    <row r="394">
      <c r="G394" s="187"/>
    </row>
    <row r="395">
      <c r="G395" s="187"/>
    </row>
    <row r="396">
      <c r="G396" s="187"/>
    </row>
    <row r="397">
      <c r="G397" s="187"/>
    </row>
    <row r="398">
      <c r="G398" s="187"/>
    </row>
    <row r="399">
      <c r="G399" s="187"/>
    </row>
    <row r="400">
      <c r="G400" s="187"/>
    </row>
    <row r="401">
      <c r="G401" s="187"/>
    </row>
    <row r="402">
      <c r="G402" s="187"/>
    </row>
    <row r="403">
      <c r="G403" s="187"/>
    </row>
    <row r="404">
      <c r="G404" s="187"/>
    </row>
    <row r="405">
      <c r="G405" s="187"/>
    </row>
    <row r="406">
      <c r="G406" s="187"/>
    </row>
    <row r="407">
      <c r="G407" s="187"/>
    </row>
    <row r="408">
      <c r="G408" s="187"/>
    </row>
    <row r="409">
      <c r="G409" s="187"/>
    </row>
    <row r="410">
      <c r="G410" s="187"/>
    </row>
    <row r="411">
      <c r="G411" s="187"/>
    </row>
    <row r="412">
      <c r="G412" s="187"/>
    </row>
    <row r="413">
      <c r="G413" s="187"/>
    </row>
    <row r="414">
      <c r="G414" s="187"/>
    </row>
    <row r="415">
      <c r="G415" s="187"/>
    </row>
    <row r="416">
      <c r="G416" s="187"/>
    </row>
    <row r="417">
      <c r="G417" s="187"/>
    </row>
    <row r="418">
      <c r="G418" s="187"/>
    </row>
    <row r="419">
      <c r="G419" s="187"/>
    </row>
    <row r="420">
      <c r="G420" s="187"/>
    </row>
    <row r="421">
      <c r="G421" s="187"/>
    </row>
    <row r="422">
      <c r="G422" s="187"/>
    </row>
    <row r="423">
      <c r="G423" s="187"/>
    </row>
    <row r="424">
      <c r="G424" s="187"/>
    </row>
    <row r="425">
      <c r="G425" s="187"/>
    </row>
    <row r="426">
      <c r="G426" s="187"/>
    </row>
    <row r="427">
      <c r="G427" s="187"/>
    </row>
    <row r="428">
      <c r="G428" s="187"/>
    </row>
    <row r="429">
      <c r="G429" s="187"/>
    </row>
    <row r="430">
      <c r="G430" s="187"/>
    </row>
    <row r="431">
      <c r="G431" s="187"/>
    </row>
    <row r="432">
      <c r="G432" s="187"/>
    </row>
    <row r="433">
      <c r="G433" s="187"/>
    </row>
    <row r="434">
      <c r="G434" s="187"/>
    </row>
    <row r="435">
      <c r="G435" s="187"/>
    </row>
    <row r="436">
      <c r="G436" s="187"/>
    </row>
    <row r="437">
      <c r="G437" s="187"/>
    </row>
    <row r="438">
      <c r="G438" s="187"/>
    </row>
    <row r="439">
      <c r="G439" s="187"/>
    </row>
    <row r="440">
      <c r="G440" s="187"/>
    </row>
    <row r="441">
      <c r="G441" s="187"/>
    </row>
    <row r="442">
      <c r="G442" s="187"/>
    </row>
    <row r="443">
      <c r="G443" s="187"/>
    </row>
    <row r="444">
      <c r="G444" s="187"/>
    </row>
    <row r="445">
      <c r="G445" s="187"/>
    </row>
    <row r="446">
      <c r="G446" s="187"/>
    </row>
    <row r="447">
      <c r="G447" s="187"/>
    </row>
    <row r="448">
      <c r="G448" s="187"/>
    </row>
    <row r="449">
      <c r="G449" s="187"/>
    </row>
    <row r="450">
      <c r="G450" s="187"/>
    </row>
    <row r="451">
      <c r="G451" s="187"/>
    </row>
    <row r="452">
      <c r="G452" s="187"/>
    </row>
    <row r="453">
      <c r="G453" s="187"/>
    </row>
    <row r="454">
      <c r="G454" s="187"/>
    </row>
    <row r="455">
      <c r="G455" s="187"/>
    </row>
    <row r="456">
      <c r="G456" s="187"/>
    </row>
    <row r="457">
      <c r="G457" s="187"/>
    </row>
    <row r="458">
      <c r="G458" s="187"/>
    </row>
    <row r="459">
      <c r="G459" s="187"/>
    </row>
    <row r="460">
      <c r="G460" s="187"/>
    </row>
    <row r="461">
      <c r="G461" s="187"/>
    </row>
    <row r="462">
      <c r="G462" s="187"/>
    </row>
    <row r="463">
      <c r="G463" s="187"/>
    </row>
    <row r="464">
      <c r="G464" s="187"/>
    </row>
    <row r="465">
      <c r="G465" s="187"/>
    </row>
    <row r="466">
      <c r="G466" s="187"/>
    </row>
    <row r="467">
      <c r="G467" s="187"/>
    </row>
    <row r="468">
      <c r="G468" s="187"/>
    </row>
    <row r="469">
      <c r="G469" s="187"/>
    </row>
    <row r="470">
      <c r="G470" s="187"/>
    </row>
    <row r="471">
      <c r="G471" s="187"/>
    </row>
    <row r="472">
      <c r="G472" s="187"/>
    </row>
    <row r="473">
      <c r="G473" s="187"/>
    </row>
    <row r="474">
      <c r="G474" s="187"/>
    </row>
    <row r="475">
      <c r="G475" s="187"/>
    </row>
    <row r="476">
      <c r="G476" s="187"/>
    </row>
    <row r="477">
      <c r="G477" s="187"/>
    </row>
    <row r="478">
      <c r="G478" s="187"/>
    </row>
    <row r="479">
      <c r="G479" s="187"/>
    </row>
    <row r="480">
      <c r="G480" s="187"/>
    </row>
    <row r="481">
      <c r="G481" s="187"/>
    </row>
    <row r="482">
      <c r="G482" s="187"/>
    </row>
    <row r="483">
      <c r="G483" s="187"/>
    </row>
    <row r="484">
      <c r="G484" s="187"/>
    </row>
    <row r="485">
      <c r="G485" s="187"/>
    </row>
    <row r="486">
      <c r="G486" s="187"/>
    </row>
    <row r="487">
      <c r="G487" s="187"/>
    </row>
    <row r="488">
      <c r="G488" s="187"/>
    </row>
    <row r="489">
      <c r="G489" s="187"/>
    </row>
    <row r="490">
      <c r="G490" s="187"/>
    </row>
    <row r="491">
      <c r="G491" s="187"/>
    </row>
    <row r="492">
      <c r="G492" s="187"/>
    </row>
    <row r="493">
      <c r="G493" s="187"/>
    </row>
    <row r="494">
      <c r="G494" s="187"/>
    </row>
    <row r="495">
      <c r="G495" s="187"/>
    </row>
    <row r="496">
      <c r="G496" s="187"/>
    </row>
    <row r="497">
      <c r="G497" s="187"/>
    </row>
    <row r="498">
      <c r="G498" s="187"/>
    </row>
    <row r="499">
      <c r="G499" s="187"/>
    </row>
    <row r="500">
      <c r="G500" s="187"/>
    </row>
    <row r="501">
      <c r="G501" s="187"/>
    </row>
    <row r="502">
      <c r="G502" s="187"/>
    </row>
    <row r="503">
      <c r="G503" s="187"/>
    </row>
    <row r="504">
      <c r="G504" s="187"/>
    </row>
    <row r="505">
      <c r="G505" s="187"/>
    </row>
    <row r="506">
      <c r="G506" s="187"/>
    </row>
    <row r="507">
      <c r="G507" s="187"/>
    </row>
    <row r="508">
      <c r="G508" s="187"/>
    </row>
    <row r="509">
      <c r="G509" s="187"/>
    </row>
    <row r="510">
      <c r="G510" s="187"/>
    </row>
    <row r="511">
      <c r="G511" s="187"/>
    </row>
    <row r="512">
      <c r="G512" s="187"/>
    </row>
    <row r="513">
      <c r="G513" s="187"/>
    </row>
    <row r="514">
      <c r="G514" s="187"/>
    </row>
    <row r="515">
      <c r="G515" s="187"/>
    </row>
    <row r="516">
      <c r="G516" s="187"/>
    </row>
    <row r="517">
      <c r="G517" s="187"/>
    </row>
    <row r="518">
      <c r="G518" s="187"/>
    </row>
    <row r="519">
      <c r="G519" s="187"/>
    </row>
    <row r="520">
      <c r="G520" s="187"/>
    </row>
    <row r="521">
      <c r="G521" s="187"/>
    </row>
    <row r="522">
      <c r="G522" s="187"/>
    </row>
    <row r="523">
      <c r="G523" s="187"/>
    </row>
    <row r="524">
      <c r="G524" s="187"/>
    </row>
    <row r="525">
      <c r="G525" s="187"/>
    </row>
    <row r="526">
      <c r="G526" s="187"/>
    </row>
    <row r="527">
      <c r="G527" s="187"/>
    </row>
    <row r="528">
      <c r="G528" s="187"/>
    </row>
    <row r="529">
      <c r="G529" s="187"/>
    </row>
    <row r="530">
      <c r="G530" s="187"/>
    </row>
    <row r="531">
      <c r="G531" s="187"/>
    </row>
    <row r="532">
      <c r="G532" s="187"/>
    </row>
    <row r="533">
      <c r="G533" s="187"/>
    </row>
    <row r="534">
      <c r="G534" s="187"/>
    </row>
    <row r="535">
      <c r="G535" s="187"/>
    </row>
    <row r="536">
      <c r="G536" s="187"/>
    </row>
    <row r="537">
      <c r="G537" s="187"/>
    </row>
    <row r="538">
      <c r="G538" s="187"/>
    </row>
    <row r="539">
      <c r="G539" s="187"/>
    </row>
    <row r="540">
      <c r="G540" s="187"/>
    </row>
    <row r="541">
      <c r="G541" s="187"/>
    </row>
    <row r="542">
      <c r="G542" s="187"/>
    </row>
    <row r="543">
      <c r="G543" s="187"/>
    </row>
    <row r="544">
      <c r="G544" s="187"/>
    </row>
    <row r="545">
      <c r="G545" s="187"/>
    </row>
    <row r="546">
      <c r="G546" s="187"/>
    </row>
    <row r="547">
      <c r="G547" s="187"/>
    </row>
    <row r="548">
      <c r="G548" s="187"/>
    </row>
    <row r="549">
      <c r="G549" s="187"/>
    </row>
    <row r="550">
      <c r="G550" s="187"/>
    </row>
    <row r="551">
      <c r="G551" s="187"/>
    </row>
    <row r="552">
      <c r="G552" s="187"/>
    </row>
    <row r="553">
      <c r="G553" s="187"/>
    </row>
    <row r="554">
      <c r="G554" s="187"/>
    </row>
    <row r="555">
      <c r="G555" s="187"/>
    </row>
    <row r="556">
      <c r="G556" s="187"/>
    </row>
    <row r="557">
      <c r="G557" s="187"/>
    </row>
    <row r="558">
      <c r="G558" s="187"/>
    </row>
    <row r="559">
      <c r="G559" s="187"/>
    </row>
    <row r="560">
      <c r="G560" s="187"/>
    </row>
    <row r="561">
      <c r="G561" s="187"/>
    </row>
    <row r="562">
      <c r="G562" s="187"/>
    </row>
    <row r="563">
      <c r="G563" s="187"/>
    </row>
    <row r="564">
      <c r="G564" s="187"/>
    </row>
    <row r="565">
      <c r="G565" s="187"/>
    </row>
    <row r="566">
      <c r="G566" s="187"/>
    </row>
    <row r="567">
      <c r="G567" s="187"/>
    </row>
    <row r="568">
      <c r="G568" s="187"/>
    </row>
    <row r="569">
      <c r="G569" s="187"/>
    </row>
    <row r="570">
      <c r="G570" s="187"/>
    </row>
    <row r="571">
      <c r="G571" s="187"/>
    </row>
    <row r="572">
      <c r="G572" s="187"/>
    </row>
    <row r="573">
      <c r="G573" s="187"/>
    </row>
    <row r="574">
      <c r="G574" s="187"/>
    </row>
    <row r="575">
      <c r="G575" s="187"/>
    </row>
    <row r="576">
      <c r="G576" s="187"/>
    </row>
    <row r="577">
      <c r="G577" s="187"/>
    </row>
    <row r="578">
      <c r="G578" s="187"/>
    </row>
    <row r="579">
      <c r="G579" s="187"/>
    </row>
    <row r="580">
      <c r="G580" s="187"/>
    </row>
    <row r="581">
      <c r="G581" s="187"/>
    </row>
    <row r="582">
      <c r="G582" s="187"/>
    </row>
    <row r="583">
      <c r="G583" s="187"/>
    </row>
    <row r="584">
      <c r="G584" s="187"/>
    </row>
    <row r="585">
      <c r="G585" s="187"/>
    </row>
    <row r="586">
      <c r="G586" s="187"/>
    </row>
    <row r="587">
      <c r="G587" s="187"/>
    </row>
    <row r="588">
      <c r="G588" s="187"/>
    </row>
    <row r="589">
      <c r="G589" s="187"/>
    </row>
    <row r="590">
      <c r="G590" s="187"/>
    </row>
    <row r="591">
      <c r="G591" s="187"/>
    </row>
    <row r="592">
      <c r="G592" s="187"/>
    </row>
    <row r="593">
      <c r="G593" s="187"/>
    </row>
    <row r="594">
      <c r="G594" s="187"/>
    </row>
    <row r="595">
      <c r="G595" s="187"/>
    </row>
    <row r="596">
      <c r="G596" s="187"/>
    </row>
    <row r="597">
      <c r="G597" s="187"/>
    </row>
    <row r="598">
      <c r="G598" s="187"/>
    </row>
    <row r="599">
      <c r="G599" s="187"/>
    </row>
    <row r="600">
      <c r="G600" s="187"/>
    </row>
    <row r="601">
      <c r="G601" s="187"/>
    </row>
    <row r="602">
      <c r="G602" s="187"/>
    </row>
    <row r="603">
      <c r="G603" s="187"/>
    </row>
    <row r="604">
      <c r="G604" s="187"/>
    </row>
    <row r="605">
      <c r="G605" s="187"/>
    </row>
    <row r="606">
      <c r="G606" s="187"/>
    </row>
    <row r="607">
      <c r="G607" s="187"/>
    </row>
    <row r="608">
      <c r="G608" s="187"/>
    </row>
    <row r="609">
      <c r="G609" s="187"/>
    </row>
    <row r="610">
      <c r="G610" s="187"/>
    </row>
    <row r="611">
      <c r="G611" s="187"/>
    </row>
    <row r="612">
      <c r="G612" s="187"/>
    </row>
    <row r="613">
      <c r="G613" s="187"/>
    </row>
    <row r="614">
      <c r="G614" s="187"/>
    </row>
    <row r="615">
      <c r="G615" s="187"/>
    </row>
    <row r="616">
      <c r="G616" s="187"/>
    </row>
    <row r="617">
      <c r="G617" s="187"/>
    </row>
    <row r="618">
      <c r="G618" s="187"/>
    </row>
    <row r="619">
      <c r="G619" s="187"/>
    </row>
    <row r="620">
      <c r="G620" s="187"/>
    </row>
    <row r="621">
      <c r="G621" s="187"/>
    </row>
    <row r="622">
      <c r="G622" s="187"/>
    </row>
    <row r="623">
      <c r="G623" s="187"/>
    </row>
    <row r="624">
      <c r="G624" s="187"/>
    </row>
    <row r="625">
      <c r="G625" s="187"/>
    </row>
    <row r="626">
      <c r="G626" s="187"/>
    </row>
    <row r="627">
      <c r="G627" s="187"/>
    </row>
    <row r="628">
      <c r="G628" s="187"/>
    </row>
    <row r="629">
      <c r="G629" s="187"/>
    </row>
    <row r="630">
      <c r="G630" s="187"/>
    </row>
    <row r="631">
      <c r="G631" s="187"/>
    </row>
    <row r="632">
      <c r="G632" s="187"/>
    </row>
    <row r="633">
      <c r="G633" s="187"/>
    </row>
    <row r="634">
      <c r="G634" s="187"/>
    </row>
    <row r="635">
      <c r="G635" s="187"/>
    </row>
    <row r="636">
      <c r="G636" s="187"/>
    </row>
    <row r="637">
      <c r="G637" s="187"/>
    </row>
    <row r="638">
      <c r="G638" s="187"/>
    </row>
    <row r="639">
      <c r="G639" s="187"/>
    </row>
    <row r="640">
      <c r="G640" s="187"/>
    </row>
    <row r="641">
      <c r="G641" s="187"/>
    </row>
    <row r="642">
      <c r="G642" s="187"/>
    </row>
    <row r="643">
      <c r="G643" s="187"/>
    </row>
    <row r="644">
      <c r="G644" s="187"/>
    </row>
    <row r="645">
      <c r="G645" s="187"/>
    </row>
    <row r="646">
      <c r="G646" s="187"/>
    </row>
    <row r="647">
      <c r="G647" s="187"/>
    </row>
    <row r="648">
      <c r="G648" s="187"/>
    </row>
    <row r="649">
      <c r="G649" s="187"/>
    </row>
    <row r="650">
      <c r="G650" s="187"/>
    </row>
    <row r="651">
      <c r="G651" s="187"/>
    </row>
    <row r="652">
      <c r="G652" s="187"/>
    </row>
    <row r="653">
      <c r="G653" s="187"/>
    </row>
    <row r="654">
      <c r="G654" s="187"/>
    </row>
    <row r="655">
      <c r="G655" s="187"/>
    </row>
    <row r="656">
      <c r="G656" s="187"/>
    </row>
    <row r="657">
      <c r="G657" s="187"/>
    </row>
    <row r="658">
      <c r="G658" s="187"/>
    </row>
    <row r="659">
      <c r="G659" s="187"/>
    </row>
    <row r="660">
      <c r="G660" s="187"/>
    </row>
    <row r="661">
      <c r="G661" s="187"/>
    </row>
    <row r="662">
      <c r="G662" s="187"/>
    </row>
    <row r="663">
      <c r="G663" s="187"/>
    </row>
    <row r="664">
      <c r="G664" s="187"/>
    </row>
    <row r="665">
      <c r="G665" s="187"/>
    </row>
    <row r="666">
      <c r="G666" s="187"/>
    </row>
    <row r="667">
      <c r="G667" s="187"/>
    </row>
    <row r="668">
      <c r="G668" s="187"/>
    </row>
    <row r="669">
      <c r="G669" s="187"/>
    </row>
    <row r="670">
      <c r="G670" s="187"/>
    </row>
    <row r="671">
      <c r="G671" s="187"/>
    </row>
    <row r="672">
      <c r="G672" s="187"/>
    </row>
    <row r="673">
      <c r="G673" s="187"/>
    </row>
    <row r="674">
      <c r="G674" s="187"/>
    </row>
    <row r="675">
      <c r="G675" s="187"/>
    </row>
    <row r="676">
      <c r="G676" s="187"/>
    </row>
    <row r="677">
      <c r="G677" s="187"/>
    </row>
    <row r="678">
      <c r="G678" s="187"/>
    </row>
    <row r="679">
      <c r="G679" s="187"/>
    </row>
    <row r="680">
      <c r="G680" s="187"/>
    </row>
    <row r="681">
      <c r="G681" s="187"/>
    </row>
    <row r="682">
      <c r="G682" s="187"/>
    </row>
    <row r="683">
      <c r="G683" s="187"/>
    </row>
    <row r="684">
      <c r="G684" s="187"/>
    </row>
    <row r="685">
      <c r="G685" s="187"/>
    </row>
    <row r="686">
      <c r="G686" s="187"/>
    </row>
    <row r="687">
      <c r="G687" s="187"/>
    </row>
    <row r="688">
      <c r="G688" s="187"/>
    </row>
    <row r="689">
      <c r="G689" s="187"/>
    </row>
    <row r="690">
      <c r="G690" s="187"/>
    </row>
    <row r="691">
      <c r="G691" s="187"/>
    </row>
    <row r="692">
      <c r="G692" s="187"/>
    </row>
    <row r="693">
      <c r="G693" s="187"/>
    </row>
    <row r="694">
      <c r="G694" s="187"/>
    </row>
    <row r="695">
      <c r="G695" s="187"/>
    </row>
    <row r="696">
      <c r="G696" s="187"/>
    </row>
    <row r="697">
      <c r="G697" s="187"/>
    </row>
    <row r="698">
      <c r="G698" s="187"/>
    </row>
    <row r="699">
      <c r="G699" s="187"/>
    </row>
    <row r="700">
      <c r="G700" s="187"/>
    </row>
    <row r="701">
      <c r="G701" s="187"/>
    </row>
    <row r="702">
      <c r="G702" s="187"/>
    </row>
    <row r="703">
      <c r="G703" s="187"/>
    </row>
    <row r="704">
      <c r="G704" s="187"/>
    </row>
    <row r="705">
      <c r="G705" s="187"/>
    </row>
    <row r="706">
      <c r="G706" s="187"/>
    </row>
    <row r="707">
      <c r="G707" s="187"/>
    </row>
    <row r="708">
      <c r="G708" s="187"/>
    </row>
    <row r="709">
      <c r="G709" s="187"/>
    </row>
    <row r="710">
      <c r="G710" s="187"/>
    </row>
    <row r="711">
      <c r="G711" s="187"/>
    </row>
    <row r="712">
      <c r="G712" s="187"/>
    </row>
    <row r="713">
      <c r="G713" s="187"/>
    </row>
    <row r="714">
      <c r="G714" s="187"/>
    </row>
    <row r="715">
      <c r="G715" s="187"/>
    </row>
    <row r="716">
      <c r="G716" s="187"/>
    </row>
    <row r="717">
      <c r="G717" s="187"/>
    </row>
    <row r="718">
      <c r="G718" s="187"/>
    </row>
    <row r="719">
      <c r="G719" s="187"/>
    </row>
    <row r="720">
      <c r="G720" s="187"/>
    </row>
    <row r="721">
      <c r="G721" s="187"/>
    </row>
    <row r="722">
      <c r="G722" s="187"/>
    </row>
    <row r="723">
      <c r="G723" s="187"/>
    </row>
    <row r="724">
      <c r="G724" s="187"/>
    </row>
    <row r="725">
      <c r="G725" s="187"/>
    </row>
    <row r="726">
      <c r="G726" s="187"/>
    </row>
    <row r="727">
      <c r="G727" s="187"/>
    </row>
    <row r="728">
      <c r="G728" s="187"/>
    </row>
    <row r="729">
      <c r="G729" s="187"/>
    </row>
    <row r="730">
      <c r="G730" s="187"/>
    </row>
    <row r="731">
      <c r="G731" s="187"/>
    </row>
    <row r="732">
      <c r="G732" s="187"/>
    </row>
    <row r="733">
      <c r="G733" s="187"/>
    </row>
    <row r="734">
      <c r="G734" s="187"/>
    </row>
    <row r="735">
      <c r="G735" s="187"/>
    </row>
    <row r="736">
      <c r="G736" s="187"/>
    </row>
    <row r="737">
      <c r="G737" s="187"/>
    </row>
    <row r="738">
      <c r="G738" s="187"/>
    </row>
    <row r="739">
      <c r="G739" s="187"/>
    </row>
    <row r="740">
      <c r="G740" s="187"/>
    </row>
    <row r="741">
      <c r="G741" s="187"/>
    </row>
    <row r="742">
      <c r="G742" s="187"/>
    </row>
    <row r="743">
      <c r="G743" s="187"/>
    </row>
    <row r="744">
      <c r="G744" s="187"/>
    </row>
    <row r="745">
      <c r="G745" s="187"/>
    </row>
    <row r="746">
      <c r="G746" s="187"/>
    </row>
    <row r="747">
      <c r="G747" s="187"/>
    </row>
    <row r="748">
      <c r="G748" s="187"/>
    </row>
    <row r="749">
      <c r="G749" s="187"/>
    </row>
    <row r="750">
      <c r="G750" s="187"/>
    </row>
    <row r="751">
      <c r="G751" s="187"/>
    </row>
    <row r="752">
      <c r="G752" s="187"/>
    </row>
    <row r="753">
      <c r="G753" s="187"/>
    </row>
    <row r="754">
      <c r="G754" s="187"/>
    </row>
    <row r="755">
      <c r="G755" s="187"/>
    </row>
    <row r="756">
      <c r="G756" s="187"/>
    </row>
    <row r="757">
      <c r="G757" s="187"/>
    </row>
    <row r="758">
      <c r="G758" s="187"/>
    </row>
    <row r="759">
      <c r="G759" s="187"/>
    </row>
    <row r="760">
      <c r="G760" s="187"/>
    </row>
    <row r="761">
      <c r="G761" s="187"/>
    </row>
    <row r="762">
      <c r="G762" s="187"/>
    </row>
    <row r="763">
      <c r="G763" s="187"/>
    </row>
    <row r="764">
      <c r="G764" s="187"/>
    </row>
    <row r="765">
      <c r="G765" s="187"/>
    </row>
    <row r="766">
      <c r="G766" s="187"/>
    </row>
    <row r="767">
      <c r="G767" s="187"/>
    </row>
    <row r="768">
      <c r="G768" s="187"/>
    </row>
    <row r="769">
      <c r="G769" s="187"/>
    </row>
    <row r="770">
      <c r="G770" s="187"/>
    </row>
    <row r="771">
      <c r="G771" s="187"/>
    </row>
    <row r="772">
      <c r="G772" s="187"/>
    </row>
    <row r="773">
      <c r="G773" s="187"/>
    </row>
    <row r="774">
      <c r="G774" s="187"/>
    </row>
    <row r="775">
      <c r="G775" s="187"/>
    </row>
    <row r="776">
      <c r="G776" s="187"/>
    </row>
    <row r="777">
      <c r="G777" s="187"/>
    </row>
    <row r="778">
      <c r="G778" s="187"/>
    </row>
    <row r="779">
      <c r="G779" s="187"/>
    </row>
    <row r="780">
      <c r="G780" s="187"/>
    </row>
    <row r="781">
      <c r="G781" s="187"/>
    </row>
    <row r="782">
      <c r="G782" s="187"/>
    </row>
    <row r="783">
      <c r="G783" s="187"/>
    </row>
    <row r="784">
      <c r="G784" s="187"/>
    </row>
    <row r="785">
      <c r="G785" s="187"/>
    </row>
    <row r="786">
      <c r="G786" s="187"/>
    </row>
    <row r="787">
      <c r="G787" s="187"/>
    </row>
    <row r="788">
      <c r="G788" s="187"/>
    </row>
    <row r="789">
      <c r="G789" s="187"/>
    </row>
    <row r="790">
      <c r="G790" s="187"/>
    </row>
    <row r="791">
      <c r="G791" s="187"/>
    </row>
    <row r="792">
      <c r="G792" s="187"/>
    </row>
    <row r="793">
      <c r="G793" s="187"/>
    </row>
    <row r="794">
      <c r="G794" s="187"/>
    </row>
    <row r="795">
      <c r="G795" s="187"/>
    </row>
    <row r="796">
      <c r="G796" s="187"/>
    </row>
    <row r="797">
      <c r="G797" s="187"/>
    </row>
    <row r="798">
      <c r="G798" s="187"/>
    </row>
    <row r="799">
      <c r="G799" s="187"/>
    </row>
    <row r="800">
      <c r="G800" s="187"/>
    </row>
    <row r="801">
      <c r="G801" s="187"/>
    </row>
    <row r="802">
      <c r="G802" s="187"/>
    </row>
    <row r="803">
      <c r="G803" s="187"/>
    </row>
    <row r="804">
      <c r="G804" s="187"/>
    </row>
    <row r="805">
      <c r="G805" s="187"/>
    </row>
    <row r="806">
      <c r="G806" s="187"/>
    </row>
    <row r="807">
      <c r="G807" s="187"/>
    </row>
    <row r="808">
      <c r="G808" s="187"/>
    </row>
    <row r="809">
      <c r="G809" s="187"/>
    </row>
    <row r="810">
      <c r="G810" s="187"/>
    </row>
    <row r="811">
      <c r="G811" s="187"/>
    </row>
    <row r="812">
      <c r="G812" s="187"/>
    </row>
    <row r="813">
      <c r="G813" s="187"/>
    </row>
    <row r="814">
      <c r="G814" s="187"/>
    </row>
    <row r="815">
      <c r="G815" s="187"/>
    </row>
    <row r="816">
      <c r="G816" s="187"/>
    </row>
    <row r="817">
      <c r="G817" s="187"/>
    </row>
    <row r="818">
      <c r="G818" s="187"/>
    </row>
    <row r="819">
      <c r="G819" s="187"/>
    </row>
    <row r="820">
      <c r="G820" s="187"/>
    </row>
    <row r="821">
      <c r="G821" s="187"/>
    </row>
    <row r="822">
      <c r="G822" s="187"/>
    </row>
    <row r="823">
      <c r="G823" s="187"/>
    </row>
    <row r="824">
      <c r="G824" s="187"/>
    </row>
    <row r="825">
      <c r="G825" s="187"/>
    </row>
    <row r="826">
      <c r="G826" s="187"/>
    </row>
    <row r="827">
      <c r="G827" s="187"/>
    </row>
    <row r="828">
      <c r="G828" s="187"/>
    </row>
    <row r="829">
      <c r="G829" s="187"/>
    </row>
    <row r="830">
      <c r="G830" s="187"/>
    </row>
    <row r="831">
      <c r="G831" s="187"/>
    </row>
    <row r="832">
      <c r="G832" s="187"/>
    </row>
    <row r="833">
      <c r="G833" s="187"/>
    </row>
    <row r="834">
      <c r="G834" s="187"/>
    </row>
    <row r="835">
      <c r="G835" s="187"/>
    </row>
    <row r="836">
      <c r="G836" s="187"/>
    </row>
    <row r="837">
      <c r="G837" s="187"/>
    </row>
    <row r="838">
      <c r="G838" s="187"/>
    </row>
    <row r="839">
      <c r="G839" s="187"/>
    </row>
    <row r="840">
      <c r="G840" s="187"/>
    </row>
    <row r="841">
      <c r="G841" s="187"/>
    </row>
    <row r="842">
      <c r="G842" s="187"/>
    </row>
    <row r="843">
      <c r="G843" s="187"/>
    </row>
    <row r="844">
      <c r="G844" s="187"/>
    </row>
    <row r="845">
      <c r="G845" s="187"/>
    </row>
    <row r="846">
      <c r="G846" s="187"/>
    </row>
    <row r="847">
      <c r="G847" s="187"/>
    </row>
    <row r="848">
      <c r="G848" s="187"/>
    </row>
    <row r="849">
      <c r="G849" s="187"/>
    </row>
    <row r="850">
      <c r="G850" s="187"/>
    </row>
    <row r="851">
      <c r="G851" s="187"/>
    </row>
    <row r="852">
      <c r="G852" s="187"/>
    </row>
    <row r="853">
      <c r="G853" s="187"/>
    </row>
    <row r="854">
      <c r="G854" s="187"/>
    </row>
    <row r="855">
      <c r="G855" s="187"/>
    </row>
    <row r="856">
      <c r="G856" s="187"/>
    </row>
    <row r="857">
      <c r="G857" s="187"/>
    </row>
    <row r="858">
      <c r="G858" s="187"/>
    </row>
    <row r="859">
      <c r="G859" s="187"/>
    </row>
    <row r="860">
      <c r="G860" s="187"/>
    </row>
    <row r="861">
      <c r="G861" s="187"/>
    </row>
    <row r="862">
      <c r="G862" s="187"/>
    </row>
    <row r="863">
      <c r="G863" s="187"/>
    </row>
    <row r="864">
      <c r="G864" s="187"/>
    </row>
    <row r="865">
      <c r="G865" s="187"/>
    </row>
    <row r="866">
      <c r="G866" s="187"/>
    </row>
    <row r="867">
      <c r="G867" s="187"/>
    </row>
    <row r="868">
      <c r="G868" s="187"/>
    </row>
    <row r="869">
      <c r="G869" s="187"/>
    </row>
    <row r="870">
      <c r="G870" s="187"/>
    </row>
    <row r="871">
      <c r="G871" s="187"/>
    </row>
    <row r="872">
      <c r="G872" s="187"/>
    </row>
    <row r="873">
      <c r="G873" s="187"/>
    </row>
    <row r="874">
      <c r="G874" s="187"/>
    </row>
    <row r="875">
      <c r="G875" s="187"/>
    </row>
    <row r="876">
      <c r="G876" s="187"/>
    </row>
    <row r="877">
      <c r="G877" s="187"/>
    </row>
    <row r="878">
      <c r="G878" s="187"/>
    </row>
    <row r="879">
      <c r="G879" s="187"/>
    </row>
    <row r="880">
      <c r="G880" s="187"/>
    </row>
    <row r="881">
      <c r="G881" s="187"/>
    </row>
    <row r="882">
      <c r="G882" s="187"/>
    </row>
    <row r="883">
      <c r="G883" s="187"/>
    </row>
    <row r="884">
      <c r="G884" s="187"/>
    </row>
    <row r="885">
      <c r="G885" s="187"/>
    </row>
    <row r="886">
      <c r="G886" s="187"/>
    </row>
    <row r="887">
      <c r="G887" s="187"/>
    </row>
    <row r="888">
      <c r="G888" s="187"/>
    </row>
    <row r="889">
      <c r="G889" s="187"/>
    </row>
    <row r="890">
      <c r="G890" s="187"/>
    </row>
    <row r="891">
      <c r="G891" s="187"/>
    </row>
    <row r="892">
      <c r="G892" s="187"/>
    </row>
    <row r="893">
      <c r="G893" s="187"/>
    </row>
    <row r="894">
      <c r="G894" s="187"/>
    </row>
    <row r="895">
      <c r="G895" s="187"/>
    </row>
    <row r="896">
      <c r="G896" s="187"/>
    </row>
    <row r="897">
      <c r="G897" s="187"/>
    </row>
    <row r="898">
      <c r="G898" s="187"/>
    </row>
    <row r="899">
      <c r="G899" s="187"/>
    </row>
    <row r="900">
      <c r="G900" s="187"/>
    </row>
    <row r="901">
      <c r="G901" s="187"/>
    </row>
    <row r="902">
      <c r="G902" s="187"/>
    </row>
    <row r="903">
      <c r="G903" s="187"/>
    </row>
    <row r="904">
      <c r="G904" s="187"/>
    </row>
    <row r="905">
      <c r="G905" s="187"/>
    </row>
    <row r="906">
      <c r="G906" s="187"/>
    </row>
    <row r="907">
      <c r="G907" s="187"/>
    </row>
    <row r="908">
      <c r="G908" s="187"/>
    </row>
    <row r="909">
      <c r="G909" s="187"/>
    </row>
    <row r="910">
      <c r="G910" s="187"/>
    </row>
    <row r="911">
      <c r="G911" s="187"/>
    </row>
    <row r="912">
      <c r="G912" s="187"/>
    </row>
    <row r="913">
      <c r="G913" s="187"/>
    </row>
    <row r="914">
      <c r="G914" s="187"/>
    </row>
    <row r="915">
      <c r="G915" s="187"/>
    </row>
    <row r="916">
      <c r="G916" s="187"/>
    </row>
    <row r="917">
      <c r="G917" s="187"/>
    </row>
    <row r="918">
      <c r="G918" s="187"/>
    </row>
    <row r="919">
      <c r="G919" s="187"/>
    </row>
    <row r="920">
      <c r="G920" s="187"/>
    </row>
    <row r="921">
      <c r="G921" s="187"/>
    </row>
    <row r="922">
      <c r="G922" s="187"/>
    </row>
    <row r="923">
      <c r="G923" s="187"/>
    </row>
    <row r="924">
      <c r="G924" s="187"/>
    </row>
    <row r="925">
      <c r="G925" s="187"/>
    </row>
    <row r="926">
      <c r="G926" s="187"/>
    </row>
    <row r="927">
      <c r="G927" s="187"/>
    </row>
    <row r="928">
      <c r="G928" s="187"/>
    </row>
    <row r="929">
      <c r="G929" s="187"/>
    </row>
    <row r="930">
      <c r="G930" s="187"/>
    </row>
    <row r="931">
      <c r="G931" s="187"/>
    </row>
    <row r="932">
      <c r="G932" s="187"/>
    </row>
    <row r="933">
      <c r="G933" s="187"/>
    </row>
    <row r="934">
      <c r="G934" s="187"/>
    </row>
    <row r="935">
      <c r="G935" s="187"/>
    </row>
    <row r="936">
      <c r="G936" s="187"/>
    </row>
    <row r="937">
      <c r="G937" s="187"/>
    </row>
    <row r="938">
      <c r="G938" s="187"/>
    </row>
    <row r="939">
      <c r="G939" s="187"/>
    </row>
    <row r="940">
      <c r="G940" s="187"/>
    </row>
    <row r="941">
      <c r="G941" s="187"/>
    </row>
    <row r="942">
      <c r="G942" s="187"/>
    </row>
    <row r="943">
      <c r="G943" s="187"/>
    </row>
    <row r="944">
      <c r="G944" s="187"/>
    </row>
    <row r="945">
      <c r="G945" s="187"/>
    </row>
    <row r="946">
      <c r="G946" s="187"/>
    </row>
    <row r="947">
      <c r="G947" s="187"/>
    </row>
    <row r="948">
      <c r="G948" s="187"/>
    </row>
    <row r="949">
      <c r="G949" s="187"/>
    </row>
    <row r="950">
      <c r="G950" s="187"/>
    </row>
    <row r="951">
      <c r="G951" s="187"/>
    </row>
    <row r="952">
      <c r="G952" s="187"/>
    </row>
    <row r="953">
      <c r="G953" s="187"/>
    </row>
    <row r="954">
      <c r="G954" s="187"/>
    </row>
    <row r="955">
      <c r="G955" s="187"/>
    </row>
    <row r="956">
      <c r="G956" s="187"/>
    </row>
    <row r="957">
      <c r="G957" s="187"/>
    </row>
    <row r="958">
      <c r="G958" s="187"/>
    </row>
    <row r="959">
      <c r="G959" s="187"/>
    </row>
    <row r="960">
      <c r="G960" s="187"/>
    </row>
    <row r="961">
      <c r="G961" s="187"/>
    </row>
    <row r="962">
      <c r="G962" s="187"/>
    </row>
    <row r="963">
      <c r="G963" s="187"/>
    </row>
    <row r="964">
      <c r="G964" s="187"/>
    </row>
    <row r="965">
      <c r="G965" s="187"/>
    </row>
    <row r="966">
      <c r="G966" s="187"/>
    </row>
    <row r="967">
      <c r="G967" s="187"/>
    </row>
    <row r="968">
      <c r="G968" s="187"/>
    </row>
    <row r="969">
      <c r="G969" s="187"/>
    </row>
    <row r="970">
      <c r="G970" s="187"/>
    </row>
    <row r="971">
      <c r="G971" s="187"/>
    </row>
    <row r="972">
      <c r="G972" s="187"/>
    </row>
    <row r="973">
      <c r="G973" s="187"/>
    </row>
    <row r="974">
      <c r="G974" s="187"/>
    </row>
    <row r="975">
      <c r="G975" s="187"/>
    </row>
    <row r="976">
      <c r="G976" s="187"/>
    </row>
    <row r="977">
      <c r="G977" s="187"/>
    </row>
    <row r="978">
      <c r="G978" s="187"/>
    </row>
    <row r="979">
      <c r="G979" s="187"/>
    </row>
    <row r="980">
      <c r="G980" s="187"/>
    </row>
    <row r="981">
      <c r="G981" s="187"/>
    </row>
    <row r="982">
      <c r="G982" s="187"/>
    </row>
    <row r="983">
      <c r="G983" s="187"/>
    </row>
    <row r="984">
      <c r="G984" s="187"/>
    </row>
    <row r="985">
      <c r="G985" s="187"/>
    </row>
    <row r="986">
      <c r="G986" s="187"/>
    </row>
    <row r="987">
      <c r="G987" s="187"/>
    </row>
    <row r="988">
      <c r="G988" s="187"/>
    </row>
    <row r="989">
      <c r="G989" s="187"/>
    </row>
    <row r="990">
      <c r="G990" s="187"/>
    </row>
    <row r="991">
      <c r="G991" s="187"/>
    </row>
    <row r="992">
      <c r="G992" s="187"/>
    </row>
    <row r="993">
      <c r="G993" s="187"/>
    </row>
    <row r="994">
      <c r="G994" s="187"/>
    </row>
    <row r="995">
      <c r="G995" s="187"/>
    </row>
    <row r="996">
      <c r="G996" s="187"/>
    </row>
    <row r="997">
      <c r="G997" s="187"/>
    </row>
    <row r="998">
      <c r="G998" s="187"/>
    </row>
    <row r="999">
      <c r="G999" s="187"/>
    </row>
    <row r="1000">
      <c r="G1000" s="187"/>
    </row>
    <row r="1001">
      <c r="G1001" s="187"/>
    </row>
    <row r="1002">
      <c r="G1002" s="187"/>
    </row>
    <row r="1003">
      <c r="G1003" s="187"/>
    </row>
    <row r="1004">
      <c r="G1004" s="187"/>
    </row>
    <row r="1005">
      <c r="G1005" s="187"/>
    </row>
    <row r="1006">
      <c r="G1006" s="187"/>
    </row>
    <row r="1007">
      <c r="G1007" s="187"/>
    </row>
    <row r="1008">
      <c r="G1008" s="187"/>
    </row>
    <row r="1009">
      <c r="G1009" s="187"/>
    </row>
    <row r="1010">
      <c r="G1010" s="187"/>
    </row>
    <row r="1011">
      <c r="G1011" s="187"/>
    </row>
    <row r="1012">
      <c r="G1012" s="187"/>
    </row>
    <row r="1013">
      <c r="G1013" s="187"/>
    </row>
    <row r="1014">
      <c r="G1014" s="187"/>
    </row>
    <row r="1015">
      <c r="G1015" s="187"/>
    </row>
    <row r="1016">
      <c r="G1016" s="187"/>
    </row>
    <row r="1017">
      <c r="G1017" s="187"/>
    </row>
    <row r="1018">
      <c r="G1018" s="187"/>
    </row>
    <row r="1019">
      <c r="G1019" s="187"/>
    </row>
    <row r="1020">
      <c r="G1020" s="187"/>
    </row>
    <row r="1021">
      <c r="G1021" s="187"/>
    </row>
    <row r="1022">
      <c r="G1022" s="187"/>
    </row>
    <row r="1023">
      <c r="G1023" s="187"/>
    </row>
    <row r="1024">
      <c r="G1024" s="187"/>
    </row>
    <row r="1025">
      <c r="G1025" s="187"/>
    </row>
    <row r="1026">
      <c r="G1026" s="187"/>
    </row>
    <row r="1027">
      <c r="G1027" s="187"/>
    </row>
    <row r="1028">
      <c r="G1028" s="187"/>
    </row>
    <row r="1029">
      <c r="G1029" s="187"/>
    </row>
    <row r="1030">
      <c r="G1030" s="187"/>
    </row>
    <row r="1031">
      <c r="G1031" s="187"/>
    </row>
    <row r="1032">
      <c r="G1032" s="187"/>
    </row>
    <row r="1033">
      <c r="G1033" s="187"/>
    </row>
    <row r="1034">
      <c r="G1034" s="187"/>
    </row>
    <row r="1035">
      <c r="G1035" s="187"/>
    </row>
    <row r="1036">
      <c r="G1036" s="187"/>
    </row>
    <row r="1037">
      <c r="G1037" s="187"/>
    </row>
    <row r="1038">
      <c r="G1038" s="187"/>
    </row>
    <row r="1039">
      <c r="G1039" s="187"/>
    </row>
    <row r="1040">
      <c r="G1040" s="187"/>
    </row>
    <row r="1041">
      <c r="G1041" s="187"/>
    </row>
    <row r="1042">
      <c r="G1042" s="187"/>
    </row>
    <row r="1043">
      <c r="G1043" s="187"/>
    </row>
    <row r="1044">
      <c r="G1044" s="187"/>
    </row>
    <row r="1045">
      <c r="G1045" s="187"/>
    </row>
    <row r="1046">
      <c r="G1046" s="187"/>
    </row>
    <row r="1047">
      <c r="G1047" s="187"/>
    </row>
  </sheetData>
  <autoFilter ref="$A$1:$L$49"/>
  <customSheetViews>
    <customSheetView guid="{4E722777-354C-41C4-BDAF-3C065BD42EC8}" filter="1" showAutoFilter="1">
      <autoFilter ref="$A$1:$L$67"/>
    </customSheetView>
  </customSheetViews>
  <conditionalFormatting sqref="F2:F49">
    <cfRule type="containsText" dxfId="0" priority="1" operator="containsText" text="Closed">
      <formula>NOT(ISERROR(SEARCH(("Closed"),(F2))))</formula>
    </cfRule>
  </conditionalFormatting>
  <conditionalFormatting sqref="F2:F49">
    <cfRule type="containsText" dxfId="3" priority="2" operator="containsText" text="Monitor">
      <formula>NOT(ISERROR(SEARCH(("Monitor"),(F2))))</formula>
    </cfRule>
  </conditionalFormatting>
  <conditionalFormatting sqref="F2:F49">
    <cfRule type="containsText" dxfId="4" priority="3" operator="containsText" text="Open">
      <formula>NOT(ISERROR(SEARCH(("Open"),(F2))))</formula>
    </cfRule>
  </conditionalFormatting>
  <conditionalFormatting sqref="F2:F49">
    <cfRule type="containsText" dxfId="5" priority="4" operator="containsText" text="NA">
      <formula>NOT(ISERROR(SEARCH(("NA"),(F2))))</formula>
    </cfRule>
  </conditionalFormatting>
  <dataValidations>
    <dataValidation type="list" allowBlank="1" sqref="B2:B49">
      <formula1>Option!$C$2:$C$16</formula1>
    </dataValidation>
    <dataValidation type="list" allowBlank="1" sqref="I2:J49">
      <formula1>Option!$K$2:$K$17</formula1>
    </dataValidation>
    <dataValidation type="list" allowBlank="1" sqref="C2:C49">
      <formula1>Option!$E$2:$E$13</formula1>
    </dataValidation>
    <dataValidation type="list" allowBlank="1" sqref="D2:D49">
      <formula1>Option!$D$2:$D$15</formula1>
    </dataValidation>
    <dataValidation type="list" allowBlank="1" sqref="F2:F49">
      <formula1>Option!$F$2:$F$5</formula1>
    </dataValidation>
    <dataValidation type="list" allowBlank="1" sqref="L2:L49">
      <formula1>"1.SCH,2.PCB,3.BOM,4.Parameter,5.SW/ME/RF/ANT/Component/MFG/Vendor,6.No Change"</formula1>
    </dataValidation>
    <dataValidation type="list" allowBlank="1" sqref="E2:E49">
      <formula1>Option!$G$2:$G$5</formula1>
    </dataValidation>
  </dataValidations>
  <hyperlinks>
    <hyperlink r:id="rId4" location="slide=id.g2047ca53799_0_9" ref="H2"/>
    <hyperlink r:id="rId5" location="gid=0" ref="K2"/>
    <hyperlink r:id="rId6" location="slide=id.g2bc80d657e_0_97" ref="H7"/>
    <hyperlink r:id="rId7" location="slide=id.g2047ca53799_0_9" ref="K7"/>
    <hyperlink r:id="rId8" ref="K10"/>
    <hyperlink r:id="rId9" ref="K11"/>
    <hyperlink r:id="rId10" location="slide=id.p" ref="H12"/>
    <hyperlink r:id="rId11" ref="G14"/>
    <hyperlink r:id="rId12" location="slide=id.g2047ca53799_0_9" ref="H14"/>
    <hyperlink r:id="rId13" ref="G15"/>
    <hyperlink r:id="rId14" location="slide=id.g1caa4a58d92_0_2" ref="H15"/>
    <hyperlink r:id="rId15" location="slide=id.g19b62df82c6_0_0" ref="H17"/>
    <hyperlink r:id="rId16" location="slide=id.g1bd5f22e85d_0_0" ref="H21"/>
    <hyperlink r:id="rId17" location="slide=id.g1bd5f22e85d_0_0" ref="H22"/>
    <hyperlink r:id="rId18" location="slide=id.g1bd5f22e85d_0_0" ref="H23"/>
    <hyperlink r:id="rId19" location="slide=id.g4057557fca_0_46" ref="H24"/>
    <hyperlink r:id="rId20" location="slide=id.p" ref="H25"/>
    <hyperlink r:id="rId21" location="slide=id.p" ref="H26"/>
    <hyperlink r:id="rId22" location="slide=id.g15cb626b41c_2_30" ref="K26"/>
    <hyperlink r:id="rId23" location="slide=id.g17b30f08190_0_85" ref="H27"/>
    <hyperlink r:id="rId24" location="slide=id.g1661c1cfe43_0_0" ref="H28"/>
    <hyperlink r:id="rId25" location="slide=id.p" ref="H29"/>
    <hyperlink r:id="rId26" location="slide=id.p" ref="H30"/>
    <hyperlink r:id="rId27" location="slide=id.g15da93a8a65_0_41" ref="H31"/>
    <hyperlink r:id="rId28" location="slide=id.g156db021345_0_31" ref="K31"/>
    <hyperlink r:id="rId29" location="slide=id.g4057557fca_0_46" ref="H34"/>
    <hyperlink r:id="rId30" location="slide=id.g11a141a7786_1_7" ref="K35"/>
    <hyperlink r:id="rId31" location="slide=id.g2bc80d657e_0_97" ref="H36"/>
    <hyperlink r:id="rId32" location="slide=id.g4057557fca_0_46" ref="H37"/>
  </hyperlinks>
  <drawing r:id="rId33"/>
  <legacyDrawing r:id="rId34"/>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5.13" defaultRowHeight="15.0"/>
  <cols>
    <col customWidth="1" min="2" max="2" width="11.38"/>
    <col customWidth="1" min="5" max="5" width="12.38"/>
    <col customWidth="1" min="7" max="7" width="106.5"/>
    <col customWidth="1" min="9" max="9" width="10.88"/>
    <col customWidth="1" min="10" max="10" width="10.38"/>
    <col customWidth="1" min="11" max="11" width="16.0"/>
    <col customWidth="1" min="12" max="12" width="41.25"/>
  </cols>
  <sheetData>
    <row r="1">
      <c r="A1" s="4" t="s">
        <v>54</v>
      </c>
      <c r="B1" s="4" t="s">
        <v>1</v>
      </c>
      <c r="C1" s="4" t="s">
        <v>2</v>
      </c>
      <c r="D1" s="4" t="s">
        <v>3</v>
      </c>
      <c r="E1" s="4" t="s">
        <v>4</v>
      </c>
      <c r="F1" s="4" t="s">
        <v>5</v>
      </c>
      <c r="G1" s="4" t="s">
        <v>6</v>
      </c>
      <c r="H1" s="4" t="s">
        <v>7</v>
      </c>
      <c r="I1" s="3" t="s">
        <v>8</v>
      </c>
      <c r="J1" s="3" t="s">
        <v>9</v>
      </c>
      <c r="K1" s="4" t="s">
        <v>10</v>
      </c>
      <c r="L1" s="4" t="s">
        <v>11</v>
      </c>
    </row>
    <row r="2" ht="78.75" customHeight="1">
      <c r="A2" s="20">
        <v>44931.0</v>
      </c>
      <c r="B2" s="130" t="s">
        <v>172</v>
      </c>
      <c r="C2" s="8" t="s">
        <v>72</v>
      </c>
      <c r="D2" s="132" t="s">
        <v>14</v>
      </c>
      <c r="E2" s="132" t="s">
        <v>64</v>
      </c>
      <c r="F2" s="132" t="s">
        <v>64</v>
      </c>
      <c r="G2" s="155" t="s">
        <v>557</v>
      </c>
      <c r="H2" s="34"/>
      <c r="I2" s="191" t="s">
        <v>74</v>
      </c>
      <c r="J2" s="56" t="s">
        <v>66</v>
      </c>
      <c r="K2" s="150"/>
      <c r="L2" s="27" t="s">
        <v>68</v>
      </c>
      <c r="M2" s="181"/>
    </row>
    <row r="3" ht="132.0" customHeight="1">
      <c r="A3" s="20">
        <v>44729.0</v>
      </c>
      <c r="B3" s="130" t="s">
        <v>12</v>
      </c>
      <c r="C3" s="8" t="s">
        <v>33</v>
      </c>
      <c r="D3" s="132" t="s">
        <v>89</v>
      </c>
      <c r="E3" s="132" t="s">
        <v>22</v>
      </c>
      <c r="F3" s="179" t="s">
        <v>16</v>
      </c>
      <c r="G3" s="155" t="s">
        <v>558</v>
      </c>
      <c r="H3" s="26" t="s">
        <v>97</v>
      </c>
      <c r="I3" s="191" t="s">
        <v>463</v>
      </c>
      <c r="J3" s="56"/>
      <c r="K3" s="150"/>
      <c r="L3" s="27" t="s">
        <v>71</v>
      </c>
      <c r="M3" s="181"/>
    </row>
    <row r="4">
      <c r="A4" s="20">
        <v>44729.0</v>
      </c>
      <c r="B4" s="130" t="s">
        <v>19</v>
      </c>
      <c r="C4" s="8" t="s">
        <v>36</v>
      </c>
      <c r="D4" s="132" t="s">
        <v>14</v>
      </c>
      <c r="E4" s="132" t="s">
        <v>22</v>
      </c>
      <c r="F4" s="179" t="s">
        <v>16</v>
      </c>
      <c r="G4" s="192" t="s">
        <v>559</v>
      </c>
      <c r="H4" s="180" t="s">
        <v>61</v>
      </c>
      <c r="I4" s="191" t="s">
        <v>66</v>
      </c>
      <c r="J4" s="56"/>
      <c r="K4" s="178" t="s">
        <v>560</v>
      </c>
      <c r="L4" s="27" t="s">
        <v>71</v>
      </c>
      <c r="M4" s="181"/>
    </row>
    <row r="5" ht="186.0" customHeight="1">
      <c r="A5" s="20">
        <v>44767.0</v>
      </c>
      <c r="B5" s="130" t="s">
        <v>12</v>
      </c>
      <c r="C5" s="8" t="s">
        <v>33</v>
      </c>
      <c r="D5" s="132" t="s">
        <v>89</v>
      </c>
      <c r="E5" s="132" t="s">
        <v>64</v>
      </c>
      <c r="F5" s="179" t="s">
        <v>16</v>
      </c>
      <c r="G5" s="155" t="s">
        <v>561</v>
      </c>
      <c r="H5" s="180"/>
      <c r="I5" s="191"/>
      <c r="J5" s="56"/>
      <c r="K5" s="154"/>
      <c r="L5" s="27" t="s">
        <v>162</v>
      </c>
      <c r="M5" s="181"/>
    </row>
    <row r="6">
      <c r="A6" s="20">
        <v>44729.0</v>
      </c>
      <c r="B6" s="130" t="s">
        <v>19</v>
      </c>
      <c r="C6" s="8" t="s">
        <v>36</v>
      </c>
      <c r="D6" s="132" t="s">
        <v>14</v>
      </c>
      <c r="E6" s="132" t="s">
        <v>64</v>
      </c>
      <c r="F6" s="179" t="s">
        <v>64</v>
      </c>
      <c r="G6" s="155" t="s">
        <v>562</v>
      </c>
      <c r="H6" s="180"/>
      <c r="I6" s="191" t="s">
        <v>66</v>
      </c>
      <c r="J6" s="56"/>
      <c r="K6" s="171" t="s">
        <v>563</v>
      </c>
      <c r="L6" s="27" t="s">
        <v>68</v>
      </c>
      <c r="M6" s="181"/>
    </row>
    <row r="7" ht="332.25" customHeight="1">
      <c r="A7" s="20">
        <v>44729.0</v>
      </c>
      <c r="B7" s="130" t="s">
        <v>12</v>
      </c>
      <c r="C7" s="8" t="s">
        <v>72</v>
      </c>
      <c r="D7" s="132" t="s">
        <v>27</v>
      </c>
      <c r="E7" s="132" t="s">
        <v>22</v>
      </c>
      <c r="F7" s="179" t="s">
        <v>16</v>
      </c>
      <c r="G7" s="155" t="s">
        <v>564</v>
      </c>
      <c r="H7" s="180"/>
      <c r="I7" s="191" t="s">
        <v>74</v>
      </c>
      <c r="J7" s="56" t="s">
        <v>66</v>
      </c>
      <c r="K7" s="180"/>
      <c r="L7" s="27" t="s">
        <v>71</v>
      </c>
      <c r="M7" s="181"/>
    </row>
    <row r="8" ht="404.25" customHeight="1">
      <c r="A8" s="20">
        <v>44719.0</v>
      </c>
      <c r="B8" s="130" t="s">
        <v>12</v>
      </c>
      <c r="C8" s="8" t="s">
        <v>72</v>
      </c>
      <c r="D8" s="132" t="s">
        <v>27</v>
      </c>
      <c r="E8" s="132" t="s">
        <v>22</v>
      </c>
      <c r="F8" s="179" t="s">
        <v>16</v>
      </c>
      <c r="G8" s="155" t="s">
        <v>565</v>
      </c>
      <c r="H8" s="180"/>
      <c r="I8" s="191" t="s">
        <v>74</v>
      </c>
      <c r="J8" s="56" t="s">
        <v>66</v>
      </c>
      <c r="K8" s="180"/>
      <c r="L8" s="27" t="s">
        <v>71</v>
      </c>
      <c r="M8" s="181"/>
    </row>
    <row r="9" ht="243.0" customHeight="1">
      <c r="A9" s="20">
        <v>44698.0</v>
      </c>
      <c r="B9" s="130" t="s">
        <v>25</v>
      </c>
      <c r="C9" s="8" t="s">
        <v>57</v>
      </c>
      <c r="D9" s="132" t="s">
        <v>58</v>
      </c>
      <c r="E9" s="132" t="s">
        <v>22</v>
      </c>
      <c r="F9" s="179" t="s">
        <v>16</v>
      </c>
      <c r="G9" s="155" t="s">
        <v>566</v>
      </c>
      <c r="H9" s="180" t="s">
        <v>112</v>
      </c>
      <c r="I9" s="191" t="s">
        <v>334</v>
      </c>
      <c r="J9" s="56"/>
      <c r="K9" s="180"/>
      <c r="L9" s="27" t="s">
        <v>71</v>
      </c>
      <c r="M9" s="181"/>
    </row>
    <row r="10">
      <c r="A10" s="20">
        <v>44698.0</v>
      </c>
      <c r="B10" s="130" t="s">
        <v>25</v>
      </c>
      <c r="C10" s="8" t="s">
        <v>57</v>
      </c>
      <c r="D10" s="132" t="s">
        <v>58</v>
      </c>
      <c r="E10" s="132" t="s">
        <v>22</v>
      </c>
      <c r="F10" s="179" t="s">
        <v>16</v>
      </c>
      <c r="G10" s="155" t="s">
        <v>567</v>
      </c>
      <c r="H10" s="180"/>
      <c r="I10" s="191" t="s">
        <v>334</v>
      </c>
      <c r="J10" s="56" t="s">
        <v>70</v>
      </c>
      <c r="K10" s="180"/>
      <c r="L10" s="27" t="s">
        <v>71</v>
      </c>
      <c r="M10" s="181"/>
    </row>
    <row r="11">
      <c r="A11" s="20">
        <v>44698.0</v>
      </c>
      <c r="B11" s="130" t="s">
        <v>19</v>
      </c>
      <c r="C11" s="8" t="s">
        <v>57</v>
      </c>
      <c r="D11" s="132" t="s">
        <v>58</v>
      </c>
      <c r="E11" s="132" t="s">
        <v>22</v>
      </c>
      <c r="F11" s="179" t="s">
        <v>16</v>
      </c>
      <c r="G11" s="155" t="s">
        <v>568</v>
      </c>
      <c r="H11" s="180"/>
      <c r="I11" s="191" t="s">
        <v>334</v>
      </c>
      <c r="J11" s="56"/>
      <c r="K11" s="180"/>
      <c r="L11" s="27" t="s">
        <v>144</v>
      </c>
      <c r="M11" s="181"/>
    </row>
    <row r="12">
      <c r="A12" s="20">
        <v>44680.0</v>
      </c>
      <c r="B12" s="130" t="s">
        <v>19</v>
      </c>
      <c r="C12" s="8" t="s">
        <v>49</v>
      </c>
      <c r="D12" s="132" t="s">
        <v>21</v>
      </c>
      <c r="E12" s="132" t="s">
        <v>22</v>
      </c>
      <c r="F12" s="179" t="s">
        <v>16</v>
      </c>
      <c r="G12" s="155" t="s">
        <v>569</v>
      </c>
      <c r="H12" s="180"/>
      <c r="I12" s="56" t="s">
        <v>115</v>
      </c>
      <c r="J12" s="56" t="s">
        <v>334</v>
      </c>
      <c r="K12" s="180"/>
      <c r="L12" s="27" t="s">
        <v>68</v>
      </c>
      <c r="M12" s="181"/>
    </row>
    <row r="13">
      <c r="A13" s="20">
        <v>44680.0</v>
      </c>
      <c r="B13" s="130" t="s">
        <v>19</v>
      </c>
      <c r="C13" s="8" t="s">
        <v>30</v>
      </c>
      <c r="D13" s="132" t="s">
        <v>21</v>
      </c>
      <c r="E13" s="132" t="s">
        <v>22</v>
      </c>
      <c r="F13" s="179" t="s">
        <v>16</v>
      </c>
      <c r="G13" s="155" t="s">
        <v>570</v>
      </c>
      <c r="H13" s="180"/>
      <c r="I13" s="56" t="s">
        <v>127</v>
      </c>
      <c r="J13" s="56" t="s">
        <v>334</v>
      </c>
      <c r="K13" s="180"/>
      <c r="L13" s="27" t="s">
        <v>68</v>
      </c>
      <c r="M13" s="181"/>
    </row>
    <row r="14">
      <c r="A14" s="20">
        <v>44677.0</v>
      </c>
      <c r="B14" s="130" t="s">
        <v>19</v>
      </c>
      <c r="C14" s="8" t="s">
        <v>36</v>
      </c>
      <c r="D14" s="132" t="s">
        <v>21</v>
      </c>
      <c r="E14" s="132" t="s">
        <v>22</v>
      </c>
      <c r="F14" s="179" t="s">
        <v>16</v>
      </c>
      <c r="G14" s="155" t="s">
        <v>571</v>
      </c>
      <c r="H14" s="180" t="s">
        <v>61</v>
      </c>
      <c r="I14" s="56" t="s">
        <v>66</v>
      </c>
      <c r="J14" s="56"/>
      <c r="K14" s="180"/>
      <c r="L14" s="27" t="s">
        <v>63</v>
      </c>
      <c r="M14" s="181"/>
    </row>
    <row r="15">
      <c r="A15" s="20">
        <v>44679.0</v>
      </c>
      <c r="B15" s="130" t="s">
        <v>19</v>
      </c>
      <c r="C15" s="8" t="s">
        <v>36</v>
      </c>
      <c r="D15" s="132" t="s">
        <v>89</v>
      </c>
      <c r="E15" s="132" t="s">
        <v>64</v>
      </c>
      <c r="F15" s="179" t="s">
        <v>16</v>
      </c>
      <c r="G15" s="155" t="s">
        <v>572</v>
      </c>
      <c r="H15" s="180"/>
      <c r="I15" s="56" t="s">
        <v>66</v>
      </c>
      <c r="J15" s="56"/>
      <c r="K15" s="180"/>
      <c r="L15" s="27" t="s">
        <v>71</v>
      </c>
      <c r="M15" s="181"/>
    </row>
    <row r="16">
      <c r="A16" s="20">
        <v>44664.0</v>
      </c>
      <c r="B16" s="130" t="s">
        <v>19</v>
      </c>
      <c r="C16" s="8" t="s">
        <v>26</v>
      </c>
      <c r="D16" s="132" t="s">
        <v>27</v>
      </c>
      <c r="E16" s="132" t="s">
        <v>64</v>
      </c>
      <c r="F16" s="179" t="s">
        <v>64</v>
      </c>
      <c r="G16" s="155" t="s">
        <v>573</v>
      </c>
      <c r="H16" s="180" t="s">
        <v>97</v>
      </c>
      <c r="I16" s="193" t="s">
        <v>463</v>
      </c>
      <c r="J16" s="56" t="s">
        <v>463</v>
      </c>
      <c r="K16" s="180"/>
      <c r="L16" s="27" t="s">
        <v>68</v>
      </c>
      <c r="M16" s="181"/>
    </row>
    <row r="17">
      <c r="A17" s="20">
        <v>44664.0</v>
      </c>
      <c r="B17" s="130" t="s">
        <v>19</v>
      </c>
      <c r="C17" s="8" t="s">
        <v>26</v>
      </c>
      <c r="D17" s="132" t="s">
        <v>27</v>
      </c>
      <c r="E17" s="132" t="s">
        <v>64</v>
      </c>
      <c r="F17" s="179" t="s">
        <v>16</v>
      </c>
      <c r="G17" s="155" t="s">
        <v>574</v>
      </c>
      <c r="H17" s="180"/>
      <c r="I17" s="194" t="s">
        <v>66</v>
      </c>
      <c r="J17" s="56"/>
      <c r="K17" s="180" t="s">
        <v>575</v>
      </c>
      <c r="L17" s="27" t="s">
        <v>68</v>
      </c>
      <c r="M17" s="181"/>
    </row>
    <row r="18">
      <c r="A18" s="20">
        <v>44664.0</v>
      </c>
      <c r="B18" s="130" t="s">
        <v>19</v>
      </c>
      <c r="C18" s="8" t="s">
        <v>26</v>
      </c>
      <c r="D18" s="132" t="s">
        <v>27</v>
      </c>
      <c r="E18" s="132" t="s">
        <v>64</v>
      </c>
      <c r="F18" s="179" t="s">
        <v>16</v>
      </c>
      <c r="G18" s="155" t="s">
        <v>576</v>
      </c>
      <c r="H18" s="180" t="s">
        <v>61</v>
      </c>
      <c r="I18" s="194" t="s">
        <v>66</v>
      </c>
      <c r="J18" s="56" t="s">
        <v>463</v>
      </c>
      <c r="K18" s="180" t="s">
        <v>577</v>
      </c>
      <c r="L18" s="27" t="s">
        <v>71</v>
      </c>
      <c r="M18" s="181"/>
    </row>
    <row r="19">
      <c r="A19" s="20">
        <v>44650.0</v>
      </c>
      <c r="B19" s="130" t="s">
        <v>43</v>
      </c>
      <c r="C19" s="8" t="s">
        <v>20</v>
      </c>
      <c r="D19" s="132" t="s">
        <v>95</v>
      </c>
      <c r="E19" s="132" t="s">
        <v>22</v>
      </c>
      <c r="F19" s="179" t="s">
        <v>16</v>
      </c>
      <c r="G19" s="155" t="s">
        <v>578</v>
      </c>
      <c r="H19" s="180" t="s">
        <v>97</v>
      </c>
      <c r="I19" s="56" t="s">
        <v>67</v>
      </c>
      <c r="J19" s="56" t="s">
        <v>70</v>
      </c>
      <c r="K19" s="180"/>
      <c r="L19" s="27" t="s">
        <v>71</v>
      </c>
      <c r="M19" s="181"/>
    </row>
    <row r="20">
      <c r="A20" s="20">
        <v>44650.0</v>
      </c>
      <c r="B20" s="130" t="s">
        <v>43</v>
      </c>
      <c r="C20" s="8" t="s">
        <v>20</v>
      </c>
      <c r="D20" s="132" t="s">
        <v>95</v>
      </c>
      <c r="E20" s="132" t="s">
        <v>22</v>
      </c>
      <c r="F20" s="179" t="s">
        <v>86</v>
      </c>
      <c r="G20" s="155" t="s">
        <v>579</v>
      </c>
      <c r="H20" s="180" t="s">
        <v>97</v>
      </c>
      <c r="I20" s="56" t="s">
        <v>67</v>
      </c>
      <c r="J20" s="56" t="s">
        <v>70</v>
      </c>
      <c r="K20" s="180"/>
      <c r="L20" s="27" t="s">
        <v>71</v>
      </c>
      <c r="M20" s="181"/>
    </row>
    <row r="21">
      <c r="A21" s="20">
        <v>44650.0</v>
      </c>
      <c r="B21" s="130" t="s">
        <v>43</v>
      </c>
      <c r="C21" s="8" t="s">
        <v>20</v>
      </c>
      <c r="D21" s="132" t="s">
        <v>95</v>
      </c>
      <c r="E21" s="132" t="s">
        <v>22</v>
      </c>
      <c r="F21" s="179" t="s">
        <v>86</v>
      </c>
      <c r="G21" s="155" t="s">
        <v>580</v>
      </c>
      <c r="H21" s="180" t="s">
        <v>97</v>
      </c>
      <c r="I21" s="56" t="s">
        <v>67</v>
      </c>
      <c r="J21" s="56" t="s">
        <v>70</v>
      </c>
      <c r="K21" s="180"/>
      <c r="L21" s="27" t="s">
        <v>71</v>
      </c>
      <c r="M21" s="181"/>
    </row>
    <row r="22">
      <c r="A22" s="20">
        <v>44650.0</v>
      </c>
      <c r="B22" s="130" t="s">
        <v>43</v>
      </c>
      <c r="C22" s="8" t="s">
        <v>49</v>
      </c>
      <c r="D22" s="132" t="s">
        <v>58</v>
      </c>
      <c r="E22" s="132" t="s">
        <v>15</v>
      </c>
      <c r="F22" s="179" t="s">
        <v>16</v>
      </c>
      <c r="G22" s="155" t="s">
        <v>581</v>
      </c>
      <c r="H22" s="180" t="s">
        <v>61</v>
      </c>
      <c r="I22" s="56" t="s">
        <v>115</v>
      </c>
      <c r="J22" s="56" t="s">
        <v>70</v>
      </c>
      <c r="K22" s="180"/>
      <c r="L22" s="27" t="s">
        <v>167</v>
      </c>
      <c r="M22" s="181"/>
    </row>
    <row r="23">
      <c r="A23" s="20">
        <v>44650.0</v>
      </c>
      <c r="B23" s="130" t="s">
        <v>43</v>
      </c>
      <c r="C23" s="8" t="s">
        <v>30</v>
      </c>
      <c r="D23" s="132" t="s">
        <v>58</v>
      </c>
      <c r="E23" s="132" t="s">
        <v>22</v>
      </c>
      <c r="F23" s="179" t="s">
        <v>16</v>
      </c>
      <c r="G23" s="155" t="s">
        <v>582</v>
      </c>
      <c r="H23" s="180"/>
      <c r="I23" s="56" t="s">
        <v>127</v>
      </c>
      <c r="J23" s="56" t="s">
        <v>70</v>
      </c>
      <c r="K23" s="180"/>
      <c r="L23" s="27" t="s">
        <v>167</v>
      </c>
      <c r="M23" s="181"/>
    </row>
    <row r="24" ht="81.75" customHeight="1">
      <c r="A24" s="20">
        <v>44622.0</v>
      </c>
      <c r="B24" s="130" t="s">
        <v>43</v>
      </c>
      <c r="C24" s="8" t="s">
        <v>57</v>
      </c>
      <c r="D24" s="132" t="s">
        <v>21</v>
      </c>
      <c r="E24" s="132" t="s">
        <v>22</v>
      </c>
      <c r="F24" s="179" t="s">
        <v>16</v>
      </c>
      <c r="G24" s="155" t="s">
        <v>583</v>
      </c>
      <c r="H24" s="180" t="s">
        <v>61</v>
      </c>
      <c r="I24" s="56" t="s">
        <v>334</v>
      </c>
      <c r="J24" s="56" t="s">
        <v>115</v>
      </c>
      <c r="K24" s="180"/>
      <c r="L24" s="27"/>
      <c r="M24" s="181"/>
    </row>
    <row r="25">
      <c r="A25" s="20">
        <v>44657.0</v>
      </c>
      <c r="B25" s="130" t="s">
        <v>43</v>
      </c>
      <c r="C25" s="8" t="s">
        <v>83</v>
      </c>
      <c r="D25" s="132" t="s">
        <v>27</v>
      </c>
      <c r="E25" s="132" t="s">
        <v>64</v>
      </c>
      <c r="F25" s="179" t="s">
        <v>16</v>
      </c>
      <c r="G25" s="155" t="s">
        <v>584</v>
      </c>
      <c r="H25" s="180" t="s">
        <v>61</v>
      </c>
      <c r="I25" s="56" t="s">
        <v>66</v>
      </c>
      <c r="J25" s="56" t="s">
        <v>127</v>
      </c>
      <c r="K25" s="180"/>
      <c r="L25" s="27" t="s">
        <v>71</v>
      </c>
      <c r="M25" s="181"/>
    </row>
    <row r="26">
      <c r="A26" s="20">
        <v>44664.0</v>
      </c>
      <c r="B26" s="130" t="s">
        <v>25</v>
      </c>
      <c r="C26" s="8" t="s">
        <v>26</v>
      </c>
      <c r="D26" s="132" t="s">
        <v>27</v>
      </c>
      <c r="E26" s="132" t="s">
        <v>64</v>
      </c>
      <c r="F26" s="179" t="s">
        <v>16</v>
      </c>
      <c r="G26" s="155" t="s">
        <v>585</v>
      </c>
      <c r="H26" s="180" t="s">
        <v>61</v>
      </c>
      <c r="I26" s="194" t="s">
        <v>66</v>
      </c>
      <c r="J26" s="56"/>
      <c r="K26" s="180" t="s">
        <v>586</v>
      </c>
      <c r="L26" s="27" t="s">
        <v>71</v>
      </c>
      <c r="M26" s="181"/>
    </row>
    <row r="27" ht="81.75" customHeight="1">
      <c r="A27" s="20">
        <v>44610.0</v>
      </c>
      <c r="B27" s="130" t="s">
        <v>43</v>
      </c>
      <c r="C27" s="8" t="s">
        <v>76</v>
      </c>
      <c r="D27" s="132" t="s">
        <v>44</v>
      </c>
      <c r="E27" s="132" t="s">
        <v>22</v>
      </c>
      <c r="F27" s="179" t="s">
        <v>16</v>
      </c>
      <c r="G27" s="155" t="s">
        <v>587</v>
      </c>
      <c r="H27" s="180" t="s">
        <v>97</v>
      </c>
      <c r="I27" s="56" t="s">
        <v>346</v>
      </c>
      <c r="J27" s="56"/>
      <c r="K27" s="180"/>
      <c r="L27" s="27" t="s">
        <v>144</v>
      </c>
      <c r="M27" s="181"/>
    </row>
    <row r="28">
      <c r="A28" s="20">
        <v>44603.0</v>
      </c>
      <c r="B28" s="130" t="s">
        <v>56</v>
      </c>
      <c r="C28" s="8" t="s">
        <v>33</v>
      </c>
      <c r="D28" s="132" t="s">
        <v>44</v>
      </c>
      <c r="E28" s="132" t="s">
        <v>22</v>
      </c>
      <c r="F28" s="179" t="s">
        <v>16</v>
      </c>
      <c r="G28" s="155" t="s">
        <v>588</v>
      </c>
      <c r="H28" s="180" t="s">
        <v>61</v>
      </c>
      <c r="I28" s="56" t="s">
        <v>463</v>
      </c>
      <c r="J28" s="56"/>
      <c r="K28" s="180"/>
      <c r="L28" s="27" t="s">
        <v>63</v>
      </c>
      <c r="M28" s="181"/>
    </row>
    <row r="29" ht="54.75" customHeight="1">
      <c r="A29" s="20">
        <v>44571.0</v>
      </c>
      <c r="B29" s="130" t="s">
        <v>56</v>
      </c>
      <c r="C29" s="8" t="s">
        <v>20</v>
      </c>
      <c r="D29" s="132" t="s">
        <v>44</v>
      </c>
      <c r="E29" s="132" t="s">
        <v>22</v>
      </c>
      <c r="F29" s="179" t="s">
        <v>16</v>
      </c>
      <c r="G29" s="155" t="s">
        <v>589</v>
      </c>
      <c r="H29" s="180" t="s">
        <v>97</v>
      </c>
      <c r="I29" s="56" t="s">
        <v>67</v>
      </c>
      <c r="J29" s="56"/>
      <c r="K29" s="180"/>
      <c r="L29" s="27" t="s">
        <v>144</v>
      </c>
    </row>
    <row r="30">
      <c r="A30" s="20">
        <v>44581.0</v>
      </c>
      <c r="B30" s="130" t="s">
        <v>56</v>
      </c>
      <c r="C30" s="8" t="s">
        <v>36</v>
      </c>
      <c r="D30" s="132" t="s">
        <v>21</v>
      </c>
      <c r="E30" s="132" t="s">
        <v>22</v>
      </c>
      <c r="F30" s="179" t="s">
        <v>16</v>
      </c>
      <c r="G30" s="155" t="s">
        <v>590</v>
      </c>
      <c r="H30" s="180" t="s">
        <v>61</v>
      </c>
      <c r="I30" s="56" t="s">
        <v>66</v>
      </c>
      <c r="J30" s="56"/>
      <c r="K30" s="180"/>
      <c r="L30" s="27" t="s">
        <v>63</v>
      </c>
      <c r="M30" s="181" t="s">
        <v>591</v>
      </c>
    </row>
    <row r="31" ht="94.5" customHeight="1">
      <c r="A31" s="20">
        <v>44575.0</v>
      </c>
      <c r="B31" s="130" t="s">
        <v>56</v>
      </c>
      <c r="C31" s="8" t="s">
        <v>72</v>
      </c>
      <c r="D31" s="132" t="s">
        <v>27</v>
      </c>
      <c r="E31" s="132" t="s">
        <v>22</v>
      </c>
      <c r="F31" s="179" t="s">
        <v>16</v>
      </c>
      <c r="G31" s="155" t="s">
        <v>592</v>
      </c>
      <c r="H31" s="180"/>
      <c r="I31" s="56" t="s">
        <v>127</v>
      </c>
      <c r="J31" s="56"/>
      <c r="K31" s="180"/>
      <c r="L31" s="27" t="s">
        <v>68</v>
      </c>
    </row>
    <row r="32" ht="99.0" customHeight="1">
      <c r="A32" s="20">
        <v>44569.0</v>
      </c>
      <c r="B32" s="130" t="s">
        <v>56</v>
      </c>
      <c r="C32" s="8" t="s">
        <v>20</v>
      </c>
      <c r="D32" s="132" t="s">
        <v>27</v>
      </c>
      <c r="E32" s="132" t="s">
        <v>22</v>
      </c>
      <c r="F32" s="179" t="s">
        <v>16</v>
      </c>
      <c r="G32" s="155" t="s">
        <v>593</v>
      </c>
      <c r="H32" s="180" t="s">
        <v>61</v>
      </c>
      <c r="I32" s="56" t="s">
        <v>463</v>
      </c>
      <c r="J32" s="56" t="s">
        <v>66</v>
      </c>
      <c r="K32" s="180"/>
      <c r="L32" s="27" t="s">
        <v>63</v>
      </c>
    </row>
    <row r="33" ht="41.25" customHeight="1">
      <c r="A33" s="20">
        <v>44547.0</v>
      </c>
      <c r="B33" s="130" t="s">
        <v>75</v>
      </c>
      <c r="C33" s="8" t="s">
        <v>13</v>
      </c>
      <c r="D33" s="132" t="s">
        <v>27</v>
      </c>
      <c r="E33" s="132" t="s">
        <v>22</v>
      </c>
      <c r="F33" s="179" t="s">
        <v>16</v>
      </c>
      <c r="G33" s="155" t="s">
        <v>594</v>
      </c>
      <c r="H33" s="180"/>
      <c r="I33" s="56" t="s">
        <v>79</v>
      </c>
      <c r="J33" s="56" t="s">
        <v>66</v>
      </c>
      <c r="K33" s="180"/>
      <c r="L33" s="27"/>
    </row>
    <row r="34">
      <c r="A34" s="20">
        <v>44543.0</v>
      </c>
      <c r="B34" s="130" t="s">
        <v>75</v>
      </c>
      <c r="C34" s="8" t="s">
        <v>36</v>
      </c>
      <c r="D34" s="132" t="s">
        <v>77</v>
      </c>
      <c r="E34" s="132" t="s">
        <v>22</v>
      </c>
      <c r="F34" s="179" t="s">
        <v>16</v>
      </c>
      <c r="G34" s="155" t="s">
        <v>595</v>
      </c>
      <c r="H34" s="180" t="s">
        <v>61</v>
      </c>
      <c r="I34" s="56"/>
      <c r="J34" s="56"/>
      <c r="K34" s="180" t="s">
        <v>596</v>
      </c>
      <c r="L34" s="27" t="s">
        <v>63</v>
      </c>
    </row>
    <row r="35" ht="101.25" customHeight="1">
      <c r="A35" s="20">
        <v>44462.0</v>
      </c>
      <c r="B35" s="130" t="s">
        <v>75</v>
      </c>
      <c r="C35" s="8" t="s">
        <v>30</v>
      </c>
      <c r="D35" s="132" t="s">
        <v>81</v>
      </c>
      <c r="E35" s="132" t="s">
        <v>22</v>
      </c>
      <c r="F35" s="179" t="s">
        <v>16</v>
      </c>
      <c r="G35" s="155" t="s">
        <v>597</v>
      </c>
      <c r="H35" s="180" t="s">
        <v>97</v>
      </c>
      <c r="I35" s="56" t="s">
        <v>127</v>
      </c>
      <c r="J35" s="56" t="s">
        <v>346</v>
      </c>
      <c r="K35" s="180"/>
      <c r="L35" s="27"/>
    </row>
    <row r="36">
      <c r="A36" s="20">
        <v>44462.0</v>
      </c>
      <c r="B36" s="130" t="s">
        <v>75</v>
      </c>
      <c r="C36" s="8" t="s">
        <v>49</v>
      </c>
      <c r="D36" s="132" t="s">
        <v>386</v>
      </c>
      <c r="E36" s="132" t="s">
        <v>64</v>
      </c>
      <c r="F36" s="195" t="s">
        <v>16</v>
      </c>
      <c r="G36" s="155" t="s">
        <v>598</v>
      </c>
      <c r="H36" s="180"/>
      <c r="I36" s="56" t="s">
        <v>66</v>
      </c>
      <c r="J36" s="56" t="s">
        <v>115</v>
      </c>
      <c r="K36" s="180"/>
      <c r="L36" s="27" t="s">
        <v>68</v>
      </c>
    </row>
  </sheetData>
  <autoFilter ref="$A$1:$L$36"/>
  <customSheetViews>
    <customSheetView guid="{7E71B5F7-61AF-4C93-AAAA-D905E381EEB1}" filter="1" showAutoFilter="1">
      <autoFilter ref="$A$1:$Z$32"/>
    </customSheetView>
  </customSheetViews>
  <conditionalFormatting sqref="F3:F36">
    <cfRule type="containsText" dxfId="0" priority="1" operator="containsText" text="Closed">
      <formula>NOT(ISERROR(SEARCH(("Closed"),(F3))))</formula>
    </cfRule>
  </conditionalFormatting>
  <conditionalFormatting sqref="F3:F36">
    <cfRule type="containsText" dxfId="3" priority="2" operator="containsText" text="Monitor">
      <formula>NOT(ISERROR(SEARCH(("Monitor"),(F3))))</formula>
    </cfRule>
  </conditionalFormatting>
  <conditionalFormatting sqref="F3:F36">
    <cfRule type="containsText" dxfId="4" priority="3" operator="containsText" text="Open">
      <formula>NOT(ISERROR(SEARCH(("Open"),(F3))))</formula>
    </cfRule>
  </conditionalFormatting>
  <conditionalFormatting sqref="F3:F36">
    <cfRule type="containsText" dxfId="5" priority="4" operator="containsText" text="NA">
      <formula>NOT(ISERROR(SEARCH(("NA"),(F3))))</formula>
    </cfRule>
  </conditionalFormatting>
  <dataValidations>
    <dataValidation type="list" allowBlank="1" sqref="B2:B36">
      <formula1>Option!$C$2:$C$16</formula1>
    </dataValidation>
    <dataValidation type="list" allowBlank="1" sqref="I2:J36">
      <formula1>Option!$K$2:$K$17</formula1>
    </dataValidation>
    <dataValidation type="list" allowBlank="1" sqref="C2:C36">
      <formula1>Option!$E$2:$E$13</formula1>
    </dataValidation>
    <dataValidation type="list" allowBlank="1" sqref="D2:D36">
      <formula1>Option!$D$2:$D$15</formula1>
    </dataValidation>
    <dataValidation type="list" allowBlank="1" sqref="F3:F36">
      <formula1>Option!$F$2:$F$5</formula1>
    </dataValidation>
    <dataValidation type="list" allowBlank="1" sqref="L2:L36">
      <formula1>"1.SCH,2.PCB,3.BOM,4.Parameter,5.SW/ME/RF/ANT/Component/MFG/Vendor,6.No Change"</formula1>
    </dataValidation>
    <dataValidation type="list" allowBlank="1" sqref="E2:F2 E3:E36">
      <formula1>Option!$G$2:$G$5</formula1>
    </dataValidation>
  </dataValidations>
  <hyperlinks>
    <hyperlink r:id="rId4" location="slide=id.p" ref="H3"/>
    <hyperlink r:id="rId5" ref="G4"/>
    <hyperlink r:id="rId6" ref="H4"/>
    <hyperlink r:id="rId7" ref="K4"/>
    <hyperlink r:id="rId8" ref="K6"/>
    <hyperlink r:id="rId9" location="slide=id.g12e48129073_0_5" ref="H9"/>
    <hyperlink r:id="rId10" location="slide=id.g10033b26bf6_0_0" ref="H14"/>
    <hyperlink r:id="rId11" location="slide=id.p" ref="H16"/>
    <hyperlink r:id="rId12" ref="K17"/>
    <hyperlink r:id="rId13" ref="H18"/>
    <hyperlink r:id="rId14" ref="K18"/>
    <hyperlink r:id="rId15" location="slide=id.g123708f193b_0_44" ref="H19"/>
    <hyperlink r:id="rId16" location="slide=id.g123708f193b_0_14" ref="H20"/>
    <hyperlink r:id="rId17" location="slide=id.gd1fe82bbdf_0_1" ref="H21"/>
    <hyperlink r:id="rId18" location="slide=id.g11ada51ee73_0_0" ref="H22"/>
    <hyperlink r:id="rId19" location="slide=id.gd1fe82bbdf_0_126" ref="H24"/>
    <hyperlink r:id="rId20" location="slide=id.g10033b26bf6_0_0" ref="H25"/>
    <hyperlink r:id="rId21" location="slide=id.p" ref="H26"/>
    <hyperlink r:id="rId22" ref="K26"/>
    <hyperlink r:id="rId23" location="slide=id.g115836a7e8a_0_2" ref="H27"/>
    <hyperlink r:id="rId24" location="slide=id.g10641eb52fe_0_97" ref="H28"/>
    <hyperlink r:id="rId25" location="gid=0" ref="H29"/>
    <hyperlink r:id="rId26" location="slide=id.g10033b26bf6_0_0" ref="H30"/>
    <hyperlink r:id="rId27" location="slide=id.g10e81d831d0_0_6" ref="M30"/>
    <hyperlink r:id="rId28" location="slide=id.g4057557fca_0_46" ref="H32"/>
    <hyperlink r:id="rId29" location="gid=589751279" ref="H34"/>
    <hyperlink r:id="rId30" location="slide=id.g1073f95fd88_0_0" ref="K34"/>
    <hyperlink r:id="rId31" location="slide=id.ge5427abbc9_1_160" ref="H35"/>
  </hyperlinks>
  <drawing r:id="rId32"/>
  <legacyDrawing r:id="rId3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5.13" defaultRowHeight="15.0"/>
  <cols>
    <col customWidth="1" min="2" max="2" width="11.38"/>
    <col customWidth="1" min="5" max="5" width="12.38"/>
    <col customWidth="1" min="7" max="7" width="116.25"/>
    <col customWidth="1" min="9" max="9" width="10.88"/>
    <col customWidth="1" min="10" max="10" width="10.38"/>
  </cols>
  <sheetData>
    <row r="1">
      <c r="A1" s="4" t="s">
        <v>54</v>
      </c>
      <c r="B1" s="4" t="s">
        <v>1</v>
      </c>
      <c r="C1" s="4" t="s">
        <v>2</v>
      </c>
      <c r="D1" s="4" t="s">
        <v>3</v>
      </c>
      <c r="E1" s="4" t="s">
        <v>4</v>
      </c>
      <c r="F1" s="4" t="s">
        <v>5</v>
      </c>
      <c r="G1" s="4" t="s">
        <v>6</v>
      </c>
      <c r="H1" s="4" t="s">
        <v>7</v>
      </c>
      <c r="I1" s="3" t="s">
        <v>8</v>
      </c>
      <c r="J1" s="3" t="s">
        <v>9</v>
      </c>
      <c r="K1" s="4" t="s">
        <v>10</v>
      </c>
      <c r="L1" s="4" t="s">
        <v>11</v>
      </c>
    </row>
    <row r="2">
      <c r="A2" s="20">
        <v>44756.0</v>
      </c>
      <c r="B2" s="130" t="s">
        <v>172</v>
      </c>
      <c r="C2" s="8" t="s">
        <v>26</v>
      </c>
      <c r="D2" s="132" t="s">
        <v>95</v>
      </c>
      <c r="E2" s="132" t="s">
        <v>64</v>
      </c>
      <c r="F2" s="134" t="s">
        <v>16</v>
      </c>
      <c r="G2" s="130" t="s">
        <v>599</v>
      </c>
      <c r="H2" s="149"/>
      <c r="I2" s="175" t="s">
        <v>66</v>
      </c>
      <c r="J2" s="143"/>
      <c r="K2" s="146" t="s">
        <v>600</v>
      </c>
      <c r="L2" s="143" t="s">
        <v>68</v>
      </c>
      <c r="M2" s="29"/>
      <c r="N2" s="29"/>
      <c r="O2" s="29"/>
      <c r="P2" s="29"/>
      <c r="Q2" s="29"/>
      <c r="R2" s="29"/>
      <c r="S2" s="29"/>
      <c r="T2" s="29"/>
      <c r="U2" s="29"/>
      <c r="V2" s="29"/>
      <c r="W2" s="29"/>
      <c r="X2" s="29"/>
      <c r="Y2" s="29"/>
      <c r="Z2" s="29"/>
    </row>
    <row r="3" ht="108.75" customHeight="1">
      <c r="A3" s="20">
        <v>44657.0</v>
      </c>
      <c r="B3" s="130" t="s">
        <v>25</v>
      </c>
      <c r="C3" s="8" t="s">
        <v>20</v>
      </c>
      <c r="D3" s="132" t="s">
        <v>89</v>
      </c>
      <c r="E3" s="132" t="s">
        <v>64</v>
      </c>
      <c r="F3" s="134" t="s">
        <v>16</v>
      </c>
      <c r="G3" s="130" t="s">
        <v>601</v>
      </c>
      <c r="H3" s="184" t="s">
        <v>61</v>
      </c>
      <c r="I3" s="175" t="s">
        <v>70</v>
      </c>
      <c r="J3" s="143"/>
      <c r="K3" s="138"/>
      <c r="L3" s="138"/>
      <c r="M3" s="29"/>
      <c r="N3" s="29"/>
      <c r="O3" s="29"/>
      <c r="P3" s="29"/>
      <c r="Q3" s="29"/>
      <c r="R3" s="29"/>
      <c r="S3" s="29"/>
      <c r="T3" s="29"/>
      <c r="U3" s="29"/>
      <c r="V3" s="29"/>
      <c r="W3" s="29"/>
      <c r="X3" s="29"/>
      <c r="Y3" s="29"/>
      <c r="Z3" s="29"/>
    </row>
    <row r="4">
      <c r="A4" s="20">
        <v>44629.0</v>
      </c>
      <c r="B4" s="130" t="s">
        <v>19</v>
      </c>
      <c r="C4" s="8" t="s">
        <v>30</v>
      </c>
      <c r="D4" s="132" t="s">
        <v>14</v>
      </c>
      <c r="E4" s="132" t="s">
        <v>22</v>
      </c>
      <c r="F4" s="134" t="s">
        <v>16</v>
      </c>
      <c r="G4" s="130" t="s">
        <v>602</v>
      </c>
      <c r="H4" s="149"/>
      <c r="I4" s="175" t="s">
        <v>127</v>
      </c>
      <c r="J4" s="143"/>
      <c r="K4" s="138"/>
      <c r="L4" s="138"/>
      <c r="M4" s="29"/>
      <c r="N4" s="29"/>
      <c r="O4" s="29"/>
      <c r="P4" s="29"/>
      <c r="Q4" s="29"/>
      <c r="R4" s="29"/>
      <c r="S4" s="29"/>
      <c r="T4" s="29"/>
      <c r="U4" s="29"/>
      <c r="V4" s="29"/>
      <c r="W4" s="29"/>
      <c r="X4" s="29"/>
      <c r="Y4" s="29"/>
      <c r="Z4" s="29"/>
    </row>
    <row r="5">
      <c r="A5" s="20">
        <v>44560.0</v>
      </c>
      <c r="B5" s="130" t="s">
        <v>19</v>
      </c>
      <c r="C5" s="131" t="s">
        <v>57</v>
      </c>
      <c r="D5" s="140" t="s">
        <v>21</v>
      </c>
      <c r="E5" s="132" t="s">
        <v>22</v>
      </c>
      <c r="F5" s="134" t="s">
        <v>16</v>
      </c>
      <c r="G5" s="130" t="s">
        <v>603</v>
      </c>
      <c r="H5" s="149"/>
      <c r="I5" s="148" t="s">
        <v>334</v>
      </c>
      <c r="J5" s="143" t="s">
        <v>115</v>
      </c>
      <c r="K5" s="138"/>
      <c r="L5" s="138"/>
      <c r="M5" s="29"/>
      <c r="N5" s="29"/>
      <c r="O5" s="29"/>
      <c r="P5" s="29"/>
      <c r="Q5" s="29"/>
      <c r="R5" s="29"/>
      <c r="S5" s="29"/>
      <c r="T5" s="29"/>
      <c r="U5" s="29"/>
      <c r="V5" s="29"/>
      <c r="W5" s="29"/>
      <c r="X5" s="29"/>
      <c r="Y5" s="29"/>
      <c r="Z5" s="29"/>
    </row>
    <row r="6">
      <c r="A6" s="20">
        <v>44540.0</v>
      </c>
      <c r="B6" s="130" t="s">
        <v>19</v>
      </c>
      <c r="C6" s="131" t="s">
        <v>57</v>
      </c>
      <c r="D6" s="140" t="s">
        <v>21</v>
      </c>
      <c r="E6" s="140" t="s">
        <v>22</v>
      </c>
      <c r="F6" s="134" t="s">
        <v>16</v>
      </c>
      <c r="G6" s="130" t="s">
        <v>604</v>
      </c>
      <c r="H6" s="149"/>
      <c r="I6" s="148" t="s">
        <v>334</v>
      </c>
      <c r="J6" s="143" t="s">
        <v>115</v>
      </c>
      <c r="K6" s="138"/>
      <c r="L6" s="138"/>
      <c r="M6" s="29"/>
      <c r="N6" s="29"/>
      <c r="O6" s="29"/>
      <c r="P6" s="29"/>
      <c r="Q6" s="29"/>
      <c r="R6" s="29"/>
      <c r="S6" s="29"/>
      <c r="T6" s="29"/>
      <c r="U6" s="29"/>
      <c r="V6" s="29"/>
      <c r="W6" s="29"/>
      <c r="X6" s="29"/>
      <c r="Y6" s="29"/>
      <c r="Z6" s="29"/>
    </row>
    <row r="7">
      <c r="A7" s="20">
        <v>44550.0</v>
      </c>
      <c r="B7" s="169" t="s">
        <v>43</v>
      </c>
      <c r="C7" s="8" t="s">
        <v>36</v>
      </c>
      <c r="D7" s="132" t="s">
        <v>14</v>
      </c>
      <c r="E7" s="140" t="s">
        <v>22</v>
      </c>
      <c r="F7" s="134" t="s">
        <v>16</v>
      </c>
      <c r="G7" s="130" t="s">
        <v>605</v>
      </c>
      <c r="H7" s="196" t="s">
        <v>606</v>
      </c>
      <c r="I7" s="143" t="s">
        <v>70</v>
      </c>
      <c r="J7" s="175" t="s">
        <v>66</v>
      </c>
      <c r="K7" s="138"/>
      <c r="L7" s="138"/>
      <c r="M7" s="29"/>
      <c r="N7" s="29"/>
      <c r="O7" s="29"/>
      <c r="P7" s="29"/>
      <c r="Q7" s="29"/>
      <c r="R7" s="29"/>
      <c r="S7" s="29"/>
      <c r="T7" s="29"/>
      <c r="U7" s="29"/>
      <c r="V7" s="29"/>
      <c r="W7" s="29"/>
      <c r="X7" s="29"/>
      <c r="Y7" s="29"/>
      <c r="Z7" s="29"/>
    </row>
    <row r="8">
      <c r="A8" s="20">
        <v>44547.0</v>
      </c>
      <c r="B8" s="169" t="s">
        <v>43</v>
      </c>
      <c r="C8" s="8" t="s">
        <v>36</v>
      </c>
      <c r="D8" s="132" t="s">
        <v>14</v>
      </c>
      <c r="E8" s="140" t="s">
        <v>22</v>
      </c>
      <c r="F8" s="134" t="s">
        <v>16</v>
      </c>
      <c r="G8" s="130" t="s">
        <v>607</v>
      </c>
      <c r="H8" s="184" t="s">
        <v>61</v>
      </c>
      <c r="I8" s="175" t="s">
        <v>66</v>
      </c>
      <c r="J8" s="143"/>
      <c r="K8" s="138"/>
      <c r="L8" s="138"/>
      <c r="M8" s="29"/>
      <c r="N8" s="29"/>
      <c r="O8" s="29"/>
      <c r="P8" s="29"/>
      <c r="Q8" s="29"/>
      <c r="R8" s="29"/>
      <c r="S8" s="29"/>
      <c r="T8" s="29"/>
      <c r="U8" s="29"/>
      <c r="V8" s="29"/>
      <c r="W8" s="29"/>
      <c r="X8" s="29"/>
      <c r="Y8" s="29"/>
      <c r="Z8" s="29"/>
    </row>
    <row r="9" ht="122.25" customHeight="1">
      <c r="A9" s="20">
        <v>44540.0</v>
      </c>
      <c r="B9" s="169" t="s">
        <v>43</v>
      </c>
      <c r="C9" s="131" t="s">
        <v>57</v>
      </c>
      <c r="D9" s="140" t="s">
        <v>21</v>
      </c>
      <c r="E9" s="140" t="s">
        <v>22</v>
      </c>
      <c r="F9" s="134" t="s">
        <v>16</v>
      </c>
      <c r="G9" s="130" t="s">
        <v>608</v>
      </c>
      <c r="H9" s="149"/>
      <c r="I9" s="148" t="s">
        <v>334</v>
      </c>
      <c r="J9" s="143" t="s">
        <v>115</v>
      </c>
      <c r="K9" s="138"/>
      <c r="L9" s="138"/>
      <c r="M9" s="29"/>
      <c r="N9" s="29"/>
      <c r="O9" s="29"/>
      <c r="P9" s="29"/>
      <c r="Q9" s="29"/>
      <c r="R9" s="29"/>
      <c r="S9" s="29"/>
      <c r="T9" s="29"/>
      <c r="U9" s="29"/>
      <c r="V9" s="29"/>
      <c r="W9" s="29"/>
      <c r="X9" s="29"/>
      <c r="Y9" s="29"/>
      <c r="Z9" s="29"/>
    </row>
    <row r="10" ht="119.25" customHeight="1">
      <c r="A10" s="20">
        <v>44536.0</v>
      </c>
      <c r="B10" s="169" t="s">
        <v>43</v>
      </c>
      <c r="C10" s="8" t="s">
        <v>20</v>
      </c>
      <c r="D10" s="132" t="s">
        <v>21</v>
      </c>
      <c r="E10" s="132" t="s">
        <v>22</v>
      </c>
      <c r="F10" s="197" t="s">
        <v>16</v>
      </c>
      <c r="G10" s="198" t="s">
        <v>609</v>
      </c>
      <c r="H10" s="184" t="s">
        <v>97</v>
      </c>
      <c r="I10" s="175" t="s">
        <v>67</v>
      </c>
      <c r="J10" s="143" t="s">
        <v>70</v>
      </c>
      <c r="K10" s="138"/>
      <c r="L10" s="138"/>
      <c r="M10" s="29"/>
      <c r="N10" s="29"/>
      <c r="O10" s="29"/>
      <c r="P10" s="29"/>
      <c r="Q10" s="29"/>
      <c r="R10" s="29"/>
      <c r="S10" s="29"/>
      <c r="T10" s="29"/>
      <c r="U10" s="29"/>
      <c r="V10" s="29"/>
      <c r="W10" s="29"/>
      <c r="X10" s="29"/>
      <c r="Y10" s="29"/>
      <c r="Z10" s="29"/>
    </row>
    <row r="11">
      <c r="A11" s="20">
        <v>44523.0</v>
      </c>
      <c r="B11" s="169" t="s">
        <v>43</v>
      </c>
      <c r="C11" s="8" t="s">
        <v>57</v>
      </c>
      <c r="D11" s="132" t="s">
        <v>21</v>
      </c>
      <c r="E11" s="132" t="s">
        <v>22</v>
      </c>
      <c r="F11" s="197" t="s">
        <v>16</v>
      </c>
      <c r="G11" s="130" t="s">
        <v>610</v>
      </c>
      <c r="H11" s="184" t="s">
        <v>61</v>
      </c>
      <c r="I11" s="175" t="s">
        <v>334</v>
      </c>
      <c r="J11" s="175" t="s">
        <v>115</v>
      </c>
      <c r="K11" s="138"/>
      <c r="L11" s="138"/>
      <c r="M11" s="29"/>
      <c r="N11" s="29"/>
      <c r="O11" s="29"/>
      <c r="P11" s="29"/>
      <c r="Q11" s="29"/>
      <c r="R11" s="29"/>
      <c r="S11" s="29"/>
      <c r="T11" s="29"/>
      <c r="U11" s="29"/>
      <c r="V11" s="29"/>
      <c r="W11" s="29"/>
      <c r="X11" s="29"/>
      <c r="Y11" s="29"/>
      <c r="Z11" s="29"/>
    </row>
    <row r="12">
      <c r="A12" s="20">
        <v>44504.0</v>
      </c>
      <c r="B12" s="130" t="s">
        <v>43</v>
      </c>
      <c r="C12" s="8" t="s">
        <v>49</v>
      </c>
      <c r="D12" s="140" t="s">
        <v>95</v>
      </c>
      <c r="E12" s="132" t="s">
        <v>22</v>
      </c>
      <c r="F12" s="197" t="s">
        <v>16</v>
      </c>
      <c r="G12" s="155" t="s">
        <v>611</v>
      </c>
      <c r="H12" s="184" t="s">
        <v>112</v>
      </c>
      <c r="I12" s="175" t="s">
        <v>115</v>
      </c>
      <c r="J12" s="175" t="s">
        <v>70</v>
      </c>
      <c r="K12" s="149"/>
      <c r="L12" s="27"/>
      <c r="M12" s="29"/>
      <c r="N12" s="29"/>
      <c r="O12" s="29"/>
      <c r="P12" s="29"/>
      <c r="Q12" s="29"/>
      <c r="R12" s="29"/>
      <c r="S12" s="29"/>
      <c r="T12" s="29"/>
      <c r="U12" s="29"/>
      <c r="V12" s="29"/>
      <c r="W12" s="29"/>
      <c r="X12" s="29"/>
      <c r="Y12" s="29"/>
      <c r="Z12" s="29"/>
    </row>
    <row r="13">
      <c r="A13" s="20">
        <v>44504.0</v>
      </c>
      <c r="B13" s="130" t="s">
        <v>43</v>
      </c>
      <c r="C13" s="8" t="s">
        <v>72</v>
      </c>
      <c r="D13" s="140" t="s">
        <v>95</v>
      </c>
      <c r="E13" s="132" t="s">
        <v>15</v>
      </c>
      <c r="F13" s="197" t="s">
        <v>16</v>
      </c>
      <c r="G13" s="155" t="s">
        <v>612</v>
      </c>
      <c r="H13" s="184" t="s">
        <v>97</v>
      </c>
      <c r="I13" s="175" t="s">
        <v>74</v>
      </c>
      <c r="J13" s="175" t="s">
        <v>70</v>
      </c>
      <c r="K13" s="149"/>
      <c r="L13" s="27"/>
      <c r="M13" s="29"/>
      <c r="N13" s="29"/>
      <c r="O13" s="29"/>
      <c r="P13" s="29"/>
      <c r="Q13" s="29"/>
      <c r="R13" s="29"/>
      <c r="S13" s="29"/>
      <c r="T13" s="29"/>
      <c r="U13" s="29"/>
      <c r="V13" s="29"/>
      <c r="W13" s="29"/>
      <c r="X13" s="29"/>
      <c r="Y13" s="29"/>
      <c r="Z13" s="29"/>
    </row>
    <row r="14" ht="258.75" customHeight="1">
      <c r="A14" s="20">
        <v>44483.0</v>
      </c>
      <c r="B14" s="130" t="s">
        <v>56</v>
      </c>
      <c r="C14" s="8" t="s">
        <v>20</v>
      </c>
      <c r="D14" s="132" t="s">
        <v>95</v>
      </c>
      <c r="E14" s="132" t="s">
        <v>22</v>
      </c>
      <c r="F14" s="199" t="s">
        <v>16</v>
      </c>
      <c r="G14" s="155" t="s">
        <v>613</v>
      </c>
      <c r="H14" s="180" t="s">
        <v>97</v>
      </c>
      <c r="I14" s="56" t="s">
        <v>67</v>
      </c>
      <c r="J14" s="56" t="s">
        <v>70</v>
      </c>
      <c r="K14" s="180"/>
      <c r="L14" s="27"/>
    </row>
    <row r="15">
      <c r="A15" s="20">
        <v>44516.0</v>
      </c>
      <c r="B15" s="169" t="s">
        <v>43</v>
      </c>
      <c r="C15" s="131" t="s">
        <v>36</v>
      </c>
      <c r="D15" s="132" t="s">
        <v>21</v>
      </c>
      <c r="E15" s="132" t="s">
        <v>22</v>
      </c>
      <c r="F15" s="197" t="s">
        <v>16</v>
      </c>
      <c r="G15" s="130" t="s">
        <v>614</v>
      </c>
      <c r="H15" s="184" t="s">
        <v>61</v>
      </c>
      <c r="I15" s="175" t="s">
        <v>66</v>
      </c>
      <c r="J15" s="148"/>
      <c r="K15" s="138"/>
      <c r="L15" s="138"/>
      <c r="M15" s="29"/>
      <c r="N15" s="29"/>
      <c r="O15" s="29"/>
      <c r="P15" s="29"/>
      <c r="Q15" s="29"/>
      <c r="R15" s="29"/>
      <c r="S15" s="29"/>
      <c r="T15" s="29"/>
      <c r="U15" s="29"/>
      <c r="V15" s="29"/>
      <c r="W15" s="29"/>
      <c r="X15" s="29"/>
      <c r="Y15" s="29"/>
      <c r="Z15" s="29"/>
    </row>
    <row r="16">
      <c r="A16" s="20">
        <v>44515.0</v>
      </c>
      <c r="B16" s="169" t="s">
        <v>43</v>
      </c>
      <c r="C16" s="131" t="s">
        <v>36</v>
      </c>
      <c r="D16" s="140" t="s">
        <v>44</v>
      </c>
      <c r="E16" s="132" t="s">
        <v>64</v>
      </c>
      <c r="F16" s="134" t="s">
        <v>16</v>
      </c>
      <c r="G16" s="130" t="s">
        <v>615</v>
      </c>
      <c r="H16" s="184" t="s">
        <v>61</v>
      </c>
      <c r="I16" s="148" t="s">
        <v>66</v>
      </c>
      <c r="J16" s="148"/>
      <c r="K16" s="138"/>
      <c r="L16" s="138"/>
      <c r="M16" s="29"/>
      <c r="N16" s="29"/>
      <c r="O16" s="29"/>
      <c r="P16" s="29"/>
      <c r="Q16" s="29"/>
      <c r="R16" s="29"/>
      <c r="S16" s="29"/>
      <c r="T16" s="29"/>
      <c r="U16" s="29"/>
      <c r="V16" s="29"/>
      <c r="W16" s="29"/>
      <c r="X16" s="29"/>
      <c r="Y16" s="29"/>
      <c r="Z16" s="29"/>
    </row>
    <row r="17">
      <c r="A17" s="20">
        <v>44509.0</v>
      </c>
      <c r="B17" s="130" t="s">
        <v>43</v>
      </c>
      <c r="C17" s="8" t="s">
        <v>49</v>
      </c>
      <c r="D17" s="140" t="s">
        <v>95</v>
      </c>
      <c r="E17" s="132" t="s">
        <v>22</v>
      </c>
      <c r="F17" s="197" t="s">
        <v>16</v>
      </c>
      <c r="G17" s="155" t="s">
        <v>616</v>
      </c>
      <c r="H17" s="184"/>
      <c r="I17" s="175" t="s">
        <v>115</v>
      </c>
      <c r="J17" s="175" t="s">
        <v>70</v>
      </c>
      <c r="K17" s="149"/>
      <c r="L17" s="27"/>
      <c r="M17" s="29"/>
      <c r="N17" s="29"/>
      <c r="O17" s="29"/>
      <c r="P17" s="29"/>
      <c r="Q17" s="29"/>
      <c r="R17" s="29"/>
      <c r="S17" s="29"/>
      <c r="T17" s="29"/>
      <c r="U17" s="29"/>
      <c r="V17" s="29"/>
      <c r="W17" s="29"/>
      <c r="X17" s="29"/>
      <c r="Y17" s="29"/>
      <c r="Z17" s="29"/>
    </row>
    <row r="18">
      <c r="A18" s="20">
        <v>44509.0</v>
      </c>
      <c r="B18" s="130" t="s">
        <v>43</v>
      </c>
      <c r="C18" s="8" t="s">
        <v>36</v>
      </c>
      <c r="D18" s="132" t="s">
        <v>44</v>
      </c>
      <c r="E18" s="132" t="s">
        <v>22</v>
      </c>
      <c r="F18" s="197" t="s">
        <v>16</v>
      </c>
      <c r="G18" s="155" t="s">
        <v>617</v>
      </c>
      <c r="H18" s="184" t="s">
        <v>61</v>
      </c>
      <c r="I18" s="175" t="s">
        <v>66</v>
      </c>
      <c r="J18" s="175"/>
      <c r="K18" s="149"/>
      <c r="L18" s="27"/>
      <c r="M18" s="29"/>
      <c r="N18" s="29"/>
      <c r="O18" s="29"/>
      <c r="P18" s="29"/>
      <c r="Q18" s="29"/>
      <c r="R18" s="29"/>
      <c r="S18" s="29"/>
      <c r="T18" s="29"/>
      <c r="U18" s="29"/>
      <c r="V18" s="29"/>
      <c r="W18" s="29"/>
      <c r="X18" s="29"/>
      <c r="Y18" s="29"/>
      <c r="Z18" s="29"/>
    </row>
    <row r="19">
      <c r="A19" s="20">
        <v>44491.0</v>
      </c>
      <c r="B19" s="169" t="s">
        <v>56</v>
      </c>
      <c r="C19" s="8" t="s">
        <v>36</v>
      </c>
      <c r="D19" s="140" t="s">
        <v>95</v>
      </c>
      <c r="E19" s="132" t="s">
        <v>22</v>
      </c>
      <c r="F19" s="197" t="s">
        <v>16</v>
      </c>
      <c r="G19" s="155" t="s">
        <v>618</v>
      </c>
      <c r="H19" s="184" t="s">
        <v>61</v>
      </c>
      <c r="I19" s="175" t="s">
        <v>66</v>
      </c>
      <c r="J19" s="148"/>
      <c r="K19" s="149"/>
      <c r="L19" s="27"/>
      <c r="M19" s="29"/>
      <c r="N19" s="29"/>
      <c r="O19" s="29"/>
      <c r="P19" s="29"/>
      <c r="Q19" s="29"/>
      <c r="R19" s="29"/>
      <c r="S19" s="29"/>
      <c r="T19" s="29"/>
      <c r="U19" s="29"/>
      <c r="V19" s="29"/>
      <c r="W19" s="29"/>
      <c r="X19" s="29"/>
      <c r="Y19" s="29"/>
      <c r="Z19" s="29"/>
    </row>
    <row r="20">
      <c r="A20" s="20">
        <v>44462.0</v>
      </c>
      <c r="B20" s="130" t="s">
        <v>56</v>
      </c>
      <c r="C20" s="8" t="s">
        <v>20</v>
      </c>
      <c r="D20" s="132" t="s">
        <v>44</v>
      </c>
      <c r="E20" s="132" t="s">
        <v>64</v>
      </c>
      <c r="F20" s="195" t="s">
        <v>16</v>
      </c>
      <c r="G20" s="155" t="s">
        <v>619</v>
      </c>
      <c r="H20" s="180"/>
      <c r="I20" s="56" t="s">
        <v>67</v>
      </c>
      <c r="J20" s="56" t="s">
        <v>66</v>
      </c>
      <c r="K20" s="180"/>
      <c r="L20" s="27"/>
    </row>
    <row r="21">
      <c r="A21" s="20">
        <v>44491.0</v>
      </c>
      <c r="B21" s="169" t="s">
        <v>56</v>
      </c>
      <c r="C21" s="8" t="s">
        <v>36</v>
      </c>
      <c r="D21" s="140" t="s">
        <v>95</v>
      </c>
      <c r="E21" s="132" t="s">
        <v>64</v>
      </c>
      <c r="F21" s="197" t="s">
        <v>16</v>
      </c>
      <c r="G21" s="155" t="s">
        <v>620</v>
      </c>
      <c r="H21" s="184"/>
      <c r="I21" s="175" t="s">
        <v>66</v>
      </c>
      <c r="J21" s="148"/>
      <c r="K21" s="149"/>
      <c r="L21" s="27" t="s">
        <v>68</v>
      </c>
      <c r="M21" s="29"/>
      <c r="N21" s="29"/>
      <c r="O21" s="29"/>
      <c r="P21" s="29"/>
      <c r="Q21" s="29"/>
      <c r="R21" s="29"/>
      <c r="S21" s="29"/>
      <c r="T21" s="29"/>
      <c r="U21" s="29"/>
      <c r="V21" s="29"/>
      <c r="W21" s="29"/>
      <c r="X21" s="29"/>
      <c r="Y21" s="29"/>
      <c r="Z21" s="29"/>
    </row>
    <row r="22" ht="114.75" customHeight="1">
      <c r="A22" s="20">
        <v>44478.0</v>
      </c>
      <c r="B22" s="130" t="s">
        <v>56</v>
      </c>
      <c r="C22" s="8" t="s">
        <v>30</v>
      </c>
      <c r="D22" s="132" t="s">
        <v>95</v>
      </c>
      <c r="E22" s="132" t="s">
        <v>22</v>
      </c>
      <c r="F22" s="195" t="s">
        <v>16</v>
      </c>
      <c r="G22" s="155" t="s">
        <v>621</v>
      </c>
      <c r="H22" s="180" t="s">
        <v>61</v>
      </c>
      <c r="I22" s="56" t="s">
        <v>127</v>
      </c>
      <c r="J22" s="56"/>
      <c r="K22" s="180"/>
      <c r="L22" s="27" t="s">
        <v>144</v>
      </c>
    </row>
    <row r="23" ht="61.5" customHeight="1">
      <c r="A23" s="20">
        <v>44478.0</v>
      </c>
      <c r="B23" s="130" t="s">
        <v>56</v>
      </c>
      <c r="C23" s="8" t="s">
        <v>76</v>
      </c>
      <c r="D23" s="132" t="s">
        <v>58</v>
      </c>
      <c r="E23" s="132" t="s">
        <v>22</v>
      </c>
      <c r="F23" s="195" t="s">
        <v>16</v>
      </c>
      <c r="G23" s="155" t="s">
        <v>622</v>
      </c>
      <c r="H23" s="180"/>
      <c r="I23" s="56" t="s">
        <v>79</v>
      </c>
      <c r="J23" s="56"/>
      <c r="K23" s="180"/>
      <c r="L23" s="27" t="s">
        <v>71</v>
      </c>
    </row>
    <row r="24">
      <c r="A24" s="20">
        <v>44483.0</v>
      </c>
      <c r="B24" s="130" t="s">
        <v>56</v>
      </c>
      <c r="C24" s="8" t="s">
        <v>83</v>
      </c>
      <c r="D24" s="132" t="s">
        <v>44</v>
      </c>
      <c r="E24" s="132" t="s">
        <v>64</v>
      </c>
      <c r="F24" s="195" t="s">
        <v>16</v>
      </c>
      <c r="G24" s="155" t="s">
        <v>623</v>
      </c>
      <c r="H24" s="180"/>
      <c r="I24" s="56" t="s">
        <v>66</v>
      </c>
      <c r="J24" s="56"/>
      <c r="K24" s="180"/>
      <c r="L24" s="27" t="s">
        <v>68</v>
      </c>
    </row>
    <row r="25">
      <c r="A25" s="20">
        <v>44478.0</v>
      </c>
      <c r="B25" s="130" t="s">
        <v>56</v>
      </c>
      <c r="C25" s="8" t="s">
        <v>36</v>
      </c>
      <c r="D25" s="132" t="s">
        <v>81</v>
      </c>
      <c r="E25" s="132" t="s">
        <v>64</v>
      </c>
      <c r="F25" s="195" t="s">
        <v>16</v>
      </c>
      <c r="G25" s="155" t="s">
        <v>624</v>
      </c>
      <c r="H25" s="180"/>
      <c r="I25" s="56" t="s">
        <v>66</v>
      </c>
      <c r="J25" s="56"/>
      <c r="K25" s="180"/>
      <c r="L25" s="27" t="s">
        <v>63</v>
      </c>
    </row>
    <row r="26">
      <c r="A26" s="20">
        <v>44480.0</v>
      </c>
      <c r="B26" s="130" t="s">
        <v>56</v>
      </c>
      <c r="C26" s="8" t="s">
        <v>26</v>
      </c>
      <c r="D26" s="132" t="s">
        <v>27</v>
      </c>
      <c r="E26" s="132" t="s">
        <v>22</v>
      </c>
      <c r="F26" s="195" t="s">
        <v>16</v>
      </c>
      <c r="G26" s="155" t="s">
        <v>625</v>
      </c>
      <c r="H26" s="180"/>
      <c r="I26" s="56" t="s">
        <v>66</v>
      </c>
      <c r="J26" s="56"/>
      <c r="K26" s="180"/>
      <c r="L26" s="27"/>
    </row>
    <row r="27">
      <c r="A27" s="20">
        <v>44453.0</v>
      </c>
      <c r="B27" s="130" t="s">
        <v>75</v>
      </c>
      <c r="C27" s="8" t="s">
        <v>20</v>
      </c>
      <c r="D27" s="132" t="s">
        <v>77</v>
      </c>
      <c r="E27" s="132" t="s">
        <v>64</v>
      </c>
      <c r="F27" s="195" t="s">
        <v>16</v>
      </c>
      <c r="G27" s="155" t="s">
        <v>626</v>
      </c>
      <c r="H27" s="180"/>
      <c r="I27" s="56" t="s">
        <v>70</v>
      </c>
      <c r="J27" s="56"/>
      <c r="K27" s="180"/>
      <c r="L27" s="27"/>
    </row>
    <row r="28">
      <c r="A28" s="20">
        <v>44453.0</v>
      </c>
      <c r="B28" s="130" t="s">
        <v>75</v>
      </c>
      <c r="C28" s="8" t="s">
        <v>83</v>
      </c>
      <c r="D28" s="132" t="s">
        <v>77</v>
      </c>
      <c r="E28" s="132" t="s">
        <v>22</v>
      </c>
      <c r="F28" s="195" t="s">
        <v>16</v>
      </c>
      <c r="G28" s="155" t="s">
        <v>627</v>
      </c>
      <c r="H28" s="180" t="s">
        <v>61</v>
      </c>
      <c r="I28" s="56" t="s">
        <v>334</v>
      </c>
      <c r="J28" s="56" t="s">
        <v>66</v>
      </c>
      <c r="K28" s="180"/>
      <c r="L28" s="27"/>
    </row>
    <row r="29">
      <c r="A29" s="20">
        <v>44452.0</v>
      </c>
      <c r="B29" s="130" t="s">
        <v>75</v>
      </c>
      <c r="C29" s="8" t="s">
        <v>36</v>
      </c>
      <c r="D29" s="132" t="s">
        <v>77</v>
      </c>
      <c r="E29" s="132" t="s">
        <v>22</v>
      </c>
      <c r="F29" s="195" t="s">
        <v>16</v>
      </c>
      <c r="G29" s="155" t="s">
        <v>628</v>
      </c>
      <c r="H29" s="180" t="s">
        <v>61</v>
      </c>
      <c r="I29" s="56" t="s">
        <v>67</v>
      </c>
      <c r="J29" s="56" t="s">
        <v>66</v>
      </c>
      <c r="K29" s="180"/>
      <c r="L29" s="27" t="s">
        <v>144</v>
      </c>
    </row>
    <row r="30">
      <c r="A30" s="20">
        <v>44442.0</v>
      </c>
      <c r="B30" s="130" t="s">
        <v>75</v>
      </c>
      <c r="C30" s="8" t="s">
        <v>26</v>
      </c>
      <c r="D30" s="132" t="s">
        <v>44</v>
      </c>
      <c r="E30" s="132" t="s">
        <v>22</v>
      </c>
      <c r="F30" s="195" t="s">
        <v>16</v>
      </c>
      <c r="G30" s="155" t="s">
        <v>629</v>
      </c>
      <c r="H30" s="180"/>
      <c r="I30" s="56" t="s">
        <v>66</v>
      </c>
      <c r="J30" s="56"/>
      <c r="K30" s="180"/>
      <c r="L30" s="27" t="s">
        <v>144</v>
      </c>
    </row>
    <row r="31">
      <c r="A31" s="200"/>
      <c r="B31" s="130"/>
      <c r="C31" s="8"/>
      <c r="D31" s="132"/>
      <c r="E31" s="132"/>
      <c r="F31" s="179"/>
      <c r="G31" s="201"/>
      <c r="H31" s="34"/>
      <c r="I31" s="56"/>
      <c r="J31" s="56"/>
      <c r="K31" s="202"/>
      <c r="L31" s="27"/>
    </row>
    <row r="32">
      <c r="G32" s="186"/>
    </row>
    <row r="33">
      <c r="G33" s="187"/>
    </row>
    <row r="34">
      <c r="G34" s="187"/>
    </row>
    <row r="35">
      <c r="G35" s="187"/>
    </row>
    <row r="36">
      <c r="G36" s="187"/>
    </row>
    <row r="37">
      <c r="G37" s="187"/>
    </row>
    <row r="38">
      <c r="G38" s="187"/>
    </row>
    <row r="39">
      <c r="G39" s="187"/>
    </row>
    <row r="40">
      <c r="G40" s="187"/>
    </row>
    <row r="41">
      <c r="G41" s="187"/>
    </row>
    <row r="42">
      <c r="G42" s="187"/>
    </row>
    <row r="43">
      <c r="G43" s="187"/>
    </row>
    <row r="44">
      <c r="G44" s="187"/>
    </row>
    <row r="45">
      <c r="G45" s="187"/>
    </row>
    <row r="46">
      <c r="G46" s="187"/>
    </row>
    <row r="47">
      <c r="G47" s="187"/>
    </row>
    <row r="48">
      <c r="G48" s="187"/>
    </row>
    <row r="49">
      <c r="G49" s="187"/>
    </row>
    <row r="50">
      <c r="G50" s="187"/>
    </row>
    <row r="51">
      <c r="G51" s="187"/>
    </row>
    <row r="52">
      <c r="G52" s="187"/>
    </row>
    <row r="53">
      <c r="G53" s="187"/>
    </row>
    <row r="54">
      <c r="G54" s="187"/>
    </row>
    <row r="55">
      <c r="G55" s="187"/>
    </row>
    <row r="56">
      <c r="G56" s="187"/>
    </row>
    <row r="57">
      <c r="G57" s="187"/>
    </row>
    <row r="58">
      <c r="G58" s="187"/>
    </row>
    <row r="59">
      <c r="G59" s="187"/>
    </row>
    <row r="60">
      <c r="G60" s="187"/>
    </row>
    <row r="61">
      <c r="G61" s="187"/>
    </row>
    <row r="62">
      <c r="G62" s="187"/>
    </row>
    <row r="63">
      <c r="G63" s="187"/>
    </row>
    <row r="64">
      <c r="G64" s="187"/>
    </row>
    <row r="65">
      <c r="G65" s="187"/>
    </row>
    <row r="66">
      <c r="G66" s="187"/>
    </row>
    <row r="67">
      <c r="G67" s="187"/>
    </row>
    <row r="68">
      <c r="G68" s="187"/>
    </row>
    <row r="69">
      <c r="G69" s="187"/>
    </row>
    <row r="70">
      <c r="G70" s="187"/>
    </row>
    <row r="71">
      <c r="G71" s="187"/>
    </row>
    <row r="72">
      <c r="G72" s="187"/>
    </row>
    <row r="73">
      <c r="G73" s="187"/>
    </row>
    <row r="74">
      <c r="G74" s="187"/>
    </row>
    <row r="75">
      <c r="G75" s="187"/>
    </row>
    <row r="76">
      <c r="G76" s="187"/>
    </row>
    <row r="77">
      <c r="G77" s="187"/>
    </row>
    <row r="78">
      <c r="G78" s="187"/>
    </row>
    <row r="79">
      <c r="G79" s="187"/>
    </row>
    <row r="80">
      <c r="G80" s="187"/>
    </row>
    <row r="81">
      <c r="G81" s="187"/>
    </row>
    <row r="82">
      <c r="G82" s="187"/>
    </row>
    <row r="83">
      <c r="G83" s="187"/>
    </row>
    <row r="84">
      <c r="G84" s="187"/>
    </row>
    <row r="85">
      <c r="G85" s="187"/>
    </row>
    <row r="86">
      <c r="G86" s="187"/>
    </row>
    <row r="87">
      <c r="G87" s="187"/>
    </row>
    <row r="88">
      <c r="G88" s="187"/>
    </row>
    <row r="89">
      <c r="G89" s="187"/>
    </row>
    <row r="90">
      <c r="G90" s="187"/>
    </row>
    <row r="91">
      <c r="G91" s="187"/>
    </row>
    <row r="92">
      <c r="G92" s="187"/>
    </row>
    <row r="93">
      <c r="G93" s="187"/>
    </row>
    <row r="94">
      <c r="G94" s="187"/>
    </row>
    <row r="95">
      <c r="G95" s="187"/>
    </row>
    <row r="96">
      <c r="G96" s="187"/>
    </row>
    <row r="97">
      <c r="G97" s="187"/>
    </row>
    <row r="98">
      <c r="G98" s="187"/>
    </row>
    <row r="99">
      <c r="G99" s="187"/>
    </row>
    <row r="100">
      <c r="G100" s="187"/>
    </row>
    <row r="101">
      <c r="G101" s="187"/>
    </row>
    <row r="102">
      <c r="G102" s="187"/>
    </row>
    <row r="103">
      <c r="G103" s="187"/>
    </row>
    <row r="104">
      <c r="G104" s="187"/>
    </row>
    <row r="105">
      <c r="G105" s="187"/>
    </row>
    <row r="106">
      <c r="G106" s="187"/>
    </row>
    <row r="107">
      <c r="G107" s="187"/>
    </row>
    <row r="108">
      <c r="G108" s="187"/>
    </row>
    <row r="109">
      <c r="G109" s="187"/>
    </row>
    <row r="110">
      <c r="G110" s="187"/>
    </row>
    <row r="111">
      <c r="G111" s="187"/>
    </row>
    <row r="112">
      <c r="G112" s="187"/>
    </row>
    <row r="113">
      <c r="G113" s="187"/>
    </row>
    <row r="114">
      <c r="G114" s="187"/>
    </row>
    <row r="115">
      <c r="G115" s="187"/>
    </row>
    <row r="116">
      <c r="G116" s="187"/>
    </row>
    <row r="117">
      <c r="G117" s="187"/>
    </row>
    <row r="118">
      <c r="G118" s="187"/>
    </row>
    <row r="119">
      <c r="G119" s="187"/>
    </row>
    <row r="120">
      <c r="G120" s="187"/>
    </row>
    <row r="121">
      <c r="G121" s="187"/>
    </row>
    <row r="122">
      <c r="G122" s="187"/>
    </row>
    <row r="123">
      <c r="G123" s="187"/>
    </row>
    <row r="124">
      <c r="G124" s="187"/>
    </row>
    <row r="125">
      <c r="G125" s="187"/>
    </row>
    <row r="126">
      <c r="G126" s="187"/>
    </row>
    <row r="127">
      <c r="G127" s="187"/>
    </row>
    <row r="128">
      <c r="G128" s="187"/>
    </row>
    <row r="129">
      <c r="G129" s="187"/>
    </row>
    <row r="130">
      <c r="G130" s="187"/>
    </row>
    <row r="131">
      <c r="G131" s="187"/>
    </row>
    <row r="132">
      <c r="G132" s="187"/>
    </row>
    <row r="133">
      <c r="G133" s="187"/>
    </row>
    <row r="134">
      <c r="G134" s="187"/>
    </row>
    <row r="135">
      <c r="G135" s="187"/>
    </row>
    <row r="136">
      <c r="G136" s="187"/>
    </row>
    <row r="137">
      <c r="G137" s="187"/>
    </row>
    <row r="138">
      <c r="G138" s="187"/>
    </row>
    <row r="139">
      <c r="G139" s="187"/>
    </row>
    <row r="140">
      <c r="G140" s="187"/>
    </row>
    <row r="141">
      <c r="G141" s="187"/>
    </row>
    <row r="142">
      <c r="G142" s="187"/>
    </row>
    <row r="143">
      <c r="G143" s="187"/>
    </row>
    <row r="144">
      <c r="G144" s="187"/>
    </row>
    <row r="145">
      <c r="G145" s="187"/>
    </row>
    <row r="146">
      <c r="G146" s="187"/>
    </row>
    <row r="147">
      <c r="G147" s="187"/>
    </row>
    <row r="148">
      <c r="G148" s="187"/>
    </row>
    <row r="149">
      <c r="G149" s="187"/>
    </row>
    <row r="150">
      <c r="G150" s="187"/>
    </row>
    <row r="151">
      <c r="G151" s="187"/>
    </row>
    <row r="152">
      <c r="G152" s="187"/>
    </row>
    <row r="153">
      <c r="G153" s="187"/>
    </row>
    <row r="154">
      <c r="G154" s="187"/>
    </row>
    <row r="155">
      <c r="G155" s="187"/>
    </row>
    <row r="156">
      <c r="G156" s="187"/>
    </row>
    <row r="157">
      <c r="G157" s="187"/>
    </row>
    <row r="158">
      <c r="G158" s="187"/>
    </row>
    <row r="159">
      <c r="G159" s="187"/>
    </row>
    <row r="160">
      <c r="G160" s="187"/>
    </row>
    <row r="161">
      <c r="G161" s="187"/>
    </row>
    <row r="162">
      <c r="G162" s="187"/>
    </row>
    <row r="163">
      <c r="G163" s="187"/>
    </row>
    <row r="164">
      <c r="G164" s="187"/>
    </row>
    <row r="165">
      <c r="G165" s="187"/>
    </row>
    <row r="166">
      <c r="G166" s="187"/>
    </row>
    <row r="167">
      <c r="G167" s="187"/>
    </row>
    <row r="168">
      <c r="G168" s="187"/>
    </row>
    <row r="169">
      <c r="G169" s="187"/>
    </row>
    <row r="170">
      <c r="G170" s="187"/>
    </row>
    <row r="171">
      <c r="G171" s="187"/>
    </row>
    <row r="172">
      <c r="G172" s="187"/>
    </row>
    <row r="173">
      <c r="G173" s="187"/>
    </row>
    <row r="174">
      <c r="G174" s="187"/>
    </row>
    <row r="175">
      <c r="G175" s="187"/>
    </row>
    <row r="176">
      <c r="G176" s="187"/>
    </row>
    <row r="177">
      <c r="G177" s="187"/>
    </row>
    <row r="178">
      <c r="G178" s="187"/>
    </row>
    <row r="179">
      <c r="G179" s="187"/>
    </row>
    <row r="180">
      <c r="G180" s="187"/>
    </row>
    <row r="181">
      <c r="G181" s="187"/>
    </row>
    <row r="182">
      <c r="G182" s="187"/>
    </row>
    <row r="183">
      <c r="G183" s="187"/>
    </row>
    <row r="184">
      <c r="G184" s="187"/>
    </row>
    <row r="185">
      <c r="G185" s="187"/>
    </row>
    <row r="186">
      <c r="G186" s="187"/>
    </row>
    <row r="187">
      <c r="G187" s="187"/>
    </row>
    <row r="188">
      <c r="G188" s="187"/>
    </row>
    <row r="189">
      <c r="G189" s="187"/>
    </row>
    <row r="190">
      <c r="G190" s="187"/>
    </row>
    <row r="191">
      <c r="G191" s="187"/>
    </row>
    <row r="192">
      <c r="G192" s="187"/>
    </row>
    <row r="193">
      <c r="G193" s="187"/>
    </row>
    <row r="194">
      <c r="G194" s="187"/>
    </row>
    <row r="195">
      <c r="G195" s="187"/>
    </row>
    <row r="196">
      <c r="G196" s="187"/>
    </row>
    <row r="197">
      <c r="G197" s="187"/>
    </row>
    <row r="198">
      <c r="G198" s="187"/>
    </row>
    <row r="199">
      <c r="G199" s="187"/>
    </row>
    <row r="200">
      <c r="G200" s="187"/>
    </row>
    <row r="201">
      <c r="G201" s="187"/>
    </row>
    <row r="202">
      <c r="G202" s="187"/>
    </row>
    <row r="203">
      <c r="G203" s="187"/>
    </row>
    <row r="204">
      <c r="G204" s="187"/>
    </row>
    <row r="205">
      <c r="G205" s="187"/>
    </row>
    <row r="206">
      <c r="G206" s="187"/>
    </row>
    <row r="207">
      <c r="G207" s="187"/>
    </row>
    <row r="208">
      <c r="G208" s="187"/>
    </row>
    <row r="209">
      <c r="G209" s="187"/>
    </row>
    <row r="210">
      <c r="G210" s="187"/>
    </row>
    <row r="211">
      <c r="G211" s="187"/>
    </row>
    <row r="212">
      <c r="G212" s="187"/>
    </row>
    <row r="213">
      <c r="G213" s="187"/>
    </row>
    <row r="214">
      <c r="G214" s="187"/>
    </row>
    <row r="215">
      <c r="G215" s="187"/>
    </row>
    <row r="216">
      <c r="G216" s="187"/>
    </row>
    <row r="217">
      <c r="G217" s="187"/>
    </row>
    <row r="218">
      <c r="G218" s="187"/>
    </row>
    <row r="219">
      <c r="G219" s="187"/>
    </row>
    <row r="220">
      <c r="G220" s="187"/>
    </row>
    <row r="221">
      <c r="G221" s="187"/>
    </row>
    <row r="222">
      <c r="G222" s="187"/>
    </row>
    <row r="223">
      <c r="G223" s="187"/>
    </row>
    <row r="224">
      <c r="G224" s="187"/>
    </row>
    <row r="225">
      <c r="G225" s="187"/>
    </row>
    <row r="226">
      <c r="G226" s="187"/>
    </row>
    <row r="227">
      <c r="G227" s="187"/>
    </row>
    <row r="228">
      <c r="G228" s="187"/>
    </row>
    <row r="229">
      <c r="G229" s="187"/>
    </row>
    <row r="230">
      <c r="G230" s="187"/>
    </row>
    <row r="231">
      <c r="G231" s="187"/>
    </row>
    <row r="232">
      <c r="G232" s="187"/>
    </row>
    <row r="233">
      <c r="G233" s="187"/>
    </row>
    <row r="234">
      <c r="G234" s="187"/>
    </row>
    <row r="235">
      <c r="G235" s="187"/>
    </row>
    <row r="236">
      <c r="G236" s="187"/>
    </row>
    <row r="237">
      <c r="G237" s="187"/>
    </row>
    <row r="238">
      <c r="G238" s="187"/>
    </row>
    <row r="239">
      <c r="G239" s="187"/>
    </row>
    <row r="240">
      <c r="G240" s="187"/>
    </row>
    <row r="241">
      <c r="G241" s="187"/>
    </row>
    <row r="242">
      <c r="G242" s="187"/>
    </row>
    <row r="243">
      <c r="G243" s="187"/>
    </row>
    <row r="244">
      <c r="G244" s="187"/>
    </row>
    <row r="245">
      <c r="G245" s="187"/>
    </row>
    <row r="246">
      <c r="G246" s="187"/>
    </row>
    <row r="247">
      <c r="G247" s="187"/>
    </row>
    <row r="248">
      <c r="G248" s="187"/>
    </row>
    <row r="249">
      <c r="G249" s="187"/>
    </row>
    <row r="250">
      <c r="G250" s="187"/>
    </row>
    <row r="251">
      <c r="G251" s="187"/>
    </row>
    <row r="252">
      <c r="G252" s="187"/>
    </row>
    <row r="253">
      <c r="G253" s="187"/>
    </row>
    <row r="254">
      <c r="G254" s="187"/>
    </row>
    <row r="255">
      <c r="G255" s="187"/>
    </row>
    <row r="256">
      <c r="G256" s="187"/>
    </row>
    <row r="257">
      <c r="G257" s="187"/>
    </row>
    <row r="258">
      <c r="G258" s="187"/>
    </row>
    <row r="259">
      <c r="G259" s="187"/>
    </row>
    <row r="260">
      <c r="G260" s="187"/>
    </row>
    <row r="261">
      <c r="G261" s="187"/>
    </row>
    <row r="262">
      <c r="G262" s="187"/>
    </row>
    <row r="263">
      <c r="G263" s="187"/>
    </row>
    <row r="264">
      <c r="G264" s="187"/>
    </row>
    <row r="265">
      <c r="G265" s="187"/>
    </row>
    <row r="266">
      <c r="G266" s="187"/>
    </row>
    <row r="267">
      <c r="G267" s="187"/>
    </row>
    <row r="268">
      <c r="G268" s="187"/>
    </row>
    <row r="269">
      <c r="G269" s="187"/>
    </row>
    <row r="270">
      <c r="G270" s="187"/>
    </row>
    <row r="271">
      <c r="G271" s="187"/>
    </row>
    <row r="272">
      <c r="G272" s="187"/>
    </row>
    <row r="273">
      <c r="G273" s="187"/>
    </row>
    <row r="274">
      <c r="G274" s="187"/>
    </row>
    <row r="275">
      <c r="G275" s="187"/>
    </row>
    <row r="276">
      <c r="G276" s="187"/>
    </row>
    <row r="277">
      <c r="G277" s="187"/>
    </row>
    <row r="278">
      <c r="G278" s="187"/>
    </row>
    <row r="279">
      <c r="G279" s="187"/>
    </row>
    <row r="280">
      <c r="G280" s="187"/>
    </row>
    <row r="281">
      <c r="G281" s="187"/>
    </row>
    <row r="282">
      <c r="G282" s="187"/>
    </row>
    <row r="283">
      <c r="G283" s="187"/>
    </row>
    <row r="284">
      <c r="G284" s="187"/>
    </row>
    <row r="285">
      <c r="G285" s="187"/>
    </row>
    <row r="286">
      <c r="G286" s="187"/>
    </row>
    <row r="287">
      <c r="G287" s="187"/>
    </row>
    <row r="288">
      <c r="G288" s="187"/>
    </row>
    <row r="289">
      <c r="G289" s="187"/>
    </row>
    <row r="290">
      <c r="G290" s="187"/>
    </row>
    <row r="291">
      <c r="G291" s="187"/>
    </row>
    <row r="292">
      <c r="G292" s="187"/>
    </row>
    <row r="293">
      <c r="G293" s="187"/>
    </row>
    <row r="294">
      <c r="G294" s="187"/>
    </row>
    <row r="295">
      <c r="G295" s="187"/>
    </row>
    <row r="296">
      <c r="G296" s="187"/>
    </row>
    <row r="297">
      <c r="G297" s="187"/>
    </row>
    <row r="298">
      <c r="G298" s="187"/>
    </row>
    <row r="299">
      <c r="G299" s="187"/>
    </row>
    <row r="300">
      <c r="G300" s="187"/>
    </row>
    <row r="301">
      <c r="G301" s="187"/>
    </row>
    <row r="302">
      <c r="G302" s="187"/>
    </row>
    <row r="303">
      <c r="G303" s="187"/>
    </row>
    <row r="304">
      <c r="G304" s="187"/>
    </row>
    <row r="305">
      <c r="G305" s="187"/>
    </row>
    <row r="306">
      <c r="G306" s="187"/>
    </row>
    <row r="307">
      <c r="G307" s="187"/>
    </row>
    <row r="308">
      <c r="G308" s="187"/>
    </row>
    <row r="309">
      <c r="G309" s="187"/>
    </row>
    <row r="310">
      <c r="G310" s="187"/>
    </row>
    <row r="311">
      <c r="G311" s="187"/>
    </row>
    <row r="312">
      <c r="G312" s="187"/>
    </row>
    <row r="313">
      <c r="G313" s="187"/>
    </row>
    <row r="314">
      <c r="G314" s="187"/>
    </row>
    <row r="315">
      <c r="G315" s="187"/>
    </row>
    <row r="316">
      <c r="G316" s="187"/>
    </row>
    <row r="317">
      <c r="G317" s="187"/>
    </row>
    <row r="318">
      <c r="G318" s="187"/>
    </row>
    <row r="319">
      <c r="G319" s="187"/>
    </row>
    <row r="320">
      <c r="G320" s="187"/>
    </row>
    <row r="321">
      <c r="G321" s="187"/>
    </row>
    <row r="322">
      <c r="G322" s="187"/>
    </row>
    <row r="323">
      <c r="G323" s="187"/>
    </row>
    <row r="324">
      <c r="G324" s="187"/>
    </row>
    <row r="325">
      <c r="G325" s="187"/>
    </row>
    <row r="326">
      <c r="G326" s="187"/>
    </row>
    <row r="327">
      <c r="G327" s="187"/>
    </row>
    <row r="328">
      <c r="G328" s="187"/>
    </row>
    <row r="329">
      <c r="G329" s="187"/>
    </row>
    <row r="330">
      <c r="G330" s="187"/>
    </row>
    <row r="331">
      <c r="G331" s="187"/>
    </row>
    <row r="332">
      <c r="G332" s="187"/>
    </row>
    <row r="333">
      <c r="G333" s="187"/>
    </row>
    <row r="334">
      <c r="G334" s="187"/>
    </row>
    <row r="335">
      <c r="G335" s="187"/>
    </row>
    <row r="336">
      <c r="G336" s="187"/>
    </row>
    <row r="337">
      <c r="G337" s="187"/>
    </row>
    <row r="338">
      <c r="G338" s="187"/>
    </row>
    <row r="339">
      <c r="G339" s="187"/>
    </row>
    <row r="340">
      <c r="G340" s="187"/>
    </row>
    <row r="341">
      <c r="G341" s="187"/>
    </row>
    <row r="342">
      <c r="G342" s="187"/>
    </row>
    <row r="343">
      <c r="G343" s="187"/>
    </row>
    <row r="344">
      <c r="G344" s="187"/>
    </row>
    <row r="345">
      <c r="G345" s="187"/>
    </row>
    <row r="346">
      <c r="G346" s="187"/>
    </row>
    <row r="347">
      <c r="G347" s="187"/>
    </row>
    <row r="348">
      <c r="G348" s="187"/>
    </row>
    <row r="349">
      <c r="G349" s="187"/>
    </row>
    <row r="350">
      <c r="G350" s="187"/>
    </row>
    <row r="351">
      <c r="G351" s="187"/>
    </row>
    <row r="352">
      <c r="G352" s="187"/>
    </row>
    <row r="353">
      <c r="G353" s="187"/>
    </row>
    <row r="354">
      <c r="G354" s="187"/>
    </row>
    <row r="355">
      <c r="G355" s="187"/>
    </row>
    <row r="356">
      <c r="G356" s="187"/>
    </row>
    <row r="357">
      <c r="G357" s="187"/>
    </row>
    <row r="358">
      <c r="G358" s="187"/>
    </row>
    <row r="359">
      <c r="G359" s="187"/>
    </row>
    <row r="360">
      <c r="G360" s="187"/>
    </row>
    <row r="361">
      <c r="G361" s="187"/>
    </row>
    <row r="362">
      <c r="G362" s="187"/>
    </row>
    <row r="363">
      <c r="G363" s="187"/>
    </row>
    <row r="364">
      <c r="G364" s="187"/>
    </row>
    <row r="365">
      <c r="G365" s="187"/>
    </row>
    <row r="366">
      <c r="G366" s="187"/>
    </row>
    <row r="367">
      <c r="G367" s="187"/>
    </row>
    <row r="368">
      <c r="G368" s="187"/>
    </row>
    <row r="369">
      <c r="G369" s="187"/>
    </row>
    <row r="370">
      <c r="G370" s="187"/>
    </row>
    <row r="371">
      <c r="G371" s="187"/>
    </row>
    <row r="372">
      <c r="G372" s="187"/>
    </row>
    <row r="373">
      <c r="G373" s="187"/>
    </row>
    <row r="374">
      <c r="G374" s="187"/>
    </row>
    <row r="375">
      <c r="G375" s="187"/>
    </row>
    <row r="376">
      <c r="G376" s="187"/>
    </row>
    <row r="377">
      <c r="G377" s="187"/>
    </row>
    <row r="378">
      <c r="G378" s="187"/>
    </row>
    <row r="379">
      <c r="G379" s="187"/>
    </row>
    <row r="380">
      <c r="G380" s="187"/>
    </row>
    <row r="381">
      <c r="G381" s="187"/>
    </row>
    <row r="382">
      <c r="G382" s="187"/>
    </row>
    <row r="383">
      <c r="G383" s="187"/>
    </row>
    <row r="384">
      <c r="G384" s="187"/>
    </row>
    <row r="385">
      <c r="G385" s="187"/>
    </row>
    <row r="386">
      <c r="G386" s="187"/>
    </row>
    <row r="387">
      <c r="G387" s="187"/>
    </row>
    <row r="388">
      <c r="G388" s="187"/>
    </row>
    <row r="389">
      <c r="G389" s="187"/>
    </row>
    <row r="390">
      <c r="G390" s="187"/>
    </row>
    <row r="391">
      <c r="G391" s="187"/>
    </row>
    <row r="392">
      <c r="G392" s="187"/>
    </row>
    <row r="393">
      <c r="G393" s="187"/>
    </row>
    <row r="394">
      <c r="G394" s="187"/>
    </row>
    <row r="395">
      <c r="G395" s="187"/>
    </row>
    <row r="396">
      <c r="G396" s="187"/>
    </row>
    <row r="397">
      <c r="G397" s="187"/>
    </row>
    <row r="398">
      <c r="G398" s="187"/>
    </row>
    <row r="399">
      <c r="G399" s="187"/>
    </row>
    <row r="400">
      <c r="G400" s="187"/>
    </row>
    <row r="401">
      <c r="G401" s="187"/>
    </row>
    <row r="402">
      <c r="G402" s="187"/>
    </row>
    <row r="403">
      <c r="G403" s="187"/>
    </row>
    <row r="404">
      <c r="G404" s="187"/>
    </row>
    <row r="405">
      <c r="G405" s="187"/>
    </row>
    <row r="406">
      <c r="G406" s="187"/>
    </row>
    <row r="407">
      <c r="G407" s="187"/>
    </row>
    <row r="408">
      <c r="G408" s="187"/>
    </row>
    <row r="409">
      <c r="G409" s="187"/>
    </row>
    <row r="410">
      <c r="G410" s="187"/>
    </row>
    <row r="411">
      <c r="G411" s="187"/>
    </row>
    <row r="412">
      <c r="G412" s="187"/>
    </row>
    <row r="413">
      <c r="G413" s="187"/>
    </row>
    <row r="414">
      <c r="G414" s="187"/>
    </row>
    <row r="415">
      <c r="G415" s="187"/>
    </row>
    <row r="416">
      <c r="G416" s="187"/>
    </row>
    <row r="417">
      <c r="G417" s="187"/>
    </row>
    <row r="418">
      <c r="G418" s="187"/>
    </row>
    <row r="419">
      <c r="G419" s="187"/>
    </row>
    <row r="420">
      <c r="G420" s="187"/>
    </row>
    <row r="421">
      <c r="G421" s="187"/>
    </row>
    <row r="422">
      <c r="G422" s="187"/>
    </row>
    <row r="423">
      <c r="G423" s="187"/>
    </row>
    <row r="424">
      <c r="G424" s="187"/>
    </row>
    <row r="425">
      <c r="G425" s="187"/>
    </row>
    <row r="426">
      <c r="G426" s="187"/>
    </row>
    <row r="427">
      <c r="G427" s="187"/>
    </row>
    <row r="428">
      <c r="G428" s="187"/>
    </row>
    <row r="429">
      <c r="G429" s="187"/>
    </row>
    <row r="430">
      <c r="G430" s="187"/>
    </row>
    <row r="431">
      <c r="G431" s="187"/>
    </row>
    <row r="432">
      <c r="G432" s="187"/>
    </row>
    <row r="433">
      <c r="G433" s="187"/>
    </row>
    <row r="434">
      <c r="G434" s="187"/>
    </row>
    <row r="435">
      <c r="G435" s="187"/>
    </row>
    <row r="436">
      <c r="G436" s="187"/>
    </row>
    <row r="437">
      <c r="G437" s="187"/>
    </row>
    <row r="438">
      <c r="G438" s="187"/>
    </row>
    <row r="439">
      <c r="G439" s="187"/>
    </row>
    <row r="440">
      <c r="G440" s="187"/>
    </row>
    <row r="441">
      <c r="G441" s="187"/>
    </row>
    <row r="442">
      <c r="G442" s="187"/>
    </row>
    <row r="443">
      <c r="G443" s="187"/>
    </row>
    <row r="444">
      <c r="G444" s="187"/>
    </row>
    <row r="445">
      <c r="G445" s="187"/>
    </row>
    <row r="446">
      <c r="G446" s="187"/>
    </row>
    <row r="447">
      <c r="G447" s="187"/>
    </row>
    <row r="448">
      <c r="G448" s="187"/>
    </row>
    <row r="449">
      <c r="G449" s="187"/>
    </row>
    <row r="450">
      <c r="G450" s="187"/>
    </row>
    <row r="451">
      <c r="G451" s="187"/>
    </row>
    <row r="452">
      <c r="G452" s="187"/>
    </row>
    <row r="453">
      <c r="G453" s="187"/>
    </row>
    <row r="454">
      <c r="G454" s="187"/>
    </row>
    <row r="455">
      <c r="G455" s="187"/>
    </row>
    <row r="456">
      <c r="G456" s="187"/>
    </row>
    <row r="457">
      <c r="G457" s="187"/>
    </row>
    <row r="458">
      <c r="G458" s="187"/>
    </row>
    <row r="459">
      <c r="G459" s="187"/>
    </row>
    <row r="460">
      <c r="G460" s="187"/>
    </row>
    <row r="461">
      <c r="G461" s="187"/>
    </row>
    <row r="462">
      <c r="G462" s="187"/>
    </row>
    <row r="463">
      <c r="G463" s="187"/>
    </row>
    <row r="464">
      <c r="G464" s="187"/>
    </row>
    <row r="465">
      <c r="G465" s="187"/>
    </row>
    <row r="466">
      <c r="G466" s="187"/>
    </row>
    <row r="467">
      <c r="G467" s="187"/>
    </row>
    <row r="468">
      <c r="G468" s="187"/>
    </row>
    <row r="469">
      <c r="G469" s="187"/>
    </row>
    <row r="470">
      <c r="G470" s="187"/>
    </row>
    <row r="471">
      <c r="G471" s="187"/>
    </row>
    <row r="472">
      <c r="G472" s="187"/>
    </row>
    <row r="473">
      <c r="G473" s="187"/>
    </row>
    <row r="474">
      <c r="G474" s="187"/>
    </row>
    <row r="475">
      <c r="G475" s="187"/>
    </row>
    <row r="476">
      <c r="G476" s="187"/>
    </row>
    <row r="477">
      <c r="G477" s="187"/>
    </row>
    <row r="478">
      <c r="G478" s="187"/>
    </row>
    <row r="479">
      <c r="G479" s="187"/>
    </row>
    <row r="480">
      <c r="G480" s="187"/>
    </row>
    <row r="481">
      <c r="G481" s="187"/>
    </row>
    <row r="482">
      <c r="G482" s="187"/>
    </row>
    <row r="483">
      <c r="G483" s="187"/>
    </row>
    <row r="484">
      <c r="G484" s="187"/>
    </row>
    <row r="485">
      <c r="G485" s="187"/>
    </row>
    <row r="486">
      <c r="G486" s="187"/>
    </row>
    <row r="487">
      <c r="G487" s="187"/>
    </row>
    <row r="488">
      <c r="G488" s="187"/>
    </row>
    <row r="489">
      <c r="G489" s="187"/>
    </row>
    <row r="490">
      <c r="G490" s="187"/>
    </row>
    <row r="491">
      <c r="G491" s="187"/>
    </row>
    <row r="492">
      <c r="G492" s="187"/>
    </row>
    <row r="493">
      <c r="G493" s="187"/>
    </row>
    <row r="494">
      <c r="G494" s="187"/>
    </row>
    <row r="495">
      <c r="G495" s="187"/>
    </row>
    <row r="496">
      <c r="G496" s="187"/>
    </row>
    <row r="497">
      <c r="G497" s="187"/>
    </row>
    <row r="498">
      <c r="G498" s="187"/>
    </row>
    <row r="499">
      <c r="G499" s="187"/>
    </row>
    <row r="500">
      <c r="G500" s="187"/>
    </row>
    <row r="501">
      <c r="G501" s="187"/>
    </row>
    <row r="502">
      <c r="G502" s="187"/>
    </row>
    <row r="503">
      <c r="G503" s="187"/>
    </row>
    <row r="504">
      <c r="G504" s="187"/>
    </row>
    <row r="505">
      <c r="G505" s="187"/>
    </row>
    <row r="506">
      <c r="G506" s="187"/>
    </row>
    <row r="507">
      <c r="G507" s="187"/>
    </row>
    <row r="508">
      <c r="G508" s="187"/>
    </row>
    <row r="509">
      <c r="G509" s="187"/>
    </row>
    <row r="510">
      <c r="G510" s="187"/>
    </row>
    <row r="511">
      <c r="G511" s="187"/>
    </row>
    <row r="512">
      <c r="G512" s="187"/>
    </row>
    <row r="513">
      <c r="G513" s="187"/>
    </row>
    <row r="514">
      <c r="G514" s="187"/>
    </row>
    <row r="515">
      <c r="G515" s="187"/>
    </row>
    <row r="516">
      <c r="G516" s="187"/>
    </row>
    <row r="517">
      <c r="G517" s="187"/>
    </row>
    <row r="518">
      <c r="G518" s="187"/>
    </row>
    <row r="519">
      <c r="G519" s="187"/>
    </row>
    <row r="520">
      <c r="G520" s="187"/>
    </row>
    <row r="521">
      <c r="G521" s="187"/>
    </row>
    <row r="522">
      <c r="G522" s="187"/>
    </row>
    <row r="523">
      <c r="G523" s="187"/>
    </row>
    <row r="524">
      <c r="G524" s="187"/>
    </row>
    <row r="525">
      <c r="G525" s="187"/>
    </row>
    <row r="526">
      <c r="G526" s="187"/>
    </row>
    <row r="527">
      <c r="G527" s="187"/>
    </row>
    <row r="528">
      <c r="G528" s="187"/>
    </row>
    <row r="529">
      <c r="G529" s="187"/>
    </row>
    <row r="530">
      <c r="G530" s="187"/>
    </row>
    <row r="531">
      <c r="G531" s="187"/>
    </row>
    <row r="532">
      <c r="G532" s="187"/>
    </row>
    <row r="533">
      <c r="G533" s="187"/>
    </row>
    <row r="534">
      <c r="G534" s="187"/>
    </row>
    <row r="535">
      <c r="G535" s="187"/>
    </row>
    <row r="536">
      <c r="G536" s="187"/>
    </row>
    <row r="537">
      <c r="G537" s="187"/>
    </row>
    <row r="538">
      <c r="G538" s="187"/>
    </row>
    <row r="539">
      <c r="G539" s="187"/>
    </row>
    <row r="540">
      <c r="G540" s="187"/>
    </row>
    <row r="541">
      <c r="G541" s="187"/>
    </row>
    <row r="542">
      <c r="G542" s="187"/>
    </row>
    <row r="543">
      <c r="G543" s="187"/>
    </row>
    <row r="544">
      <c r="G544" s="187"/>
    </row>
    <row r="545">
      <c r="G545" s="187"/>
    </row>
    <row r="546">
      <c r="G546" s="187"/>
    </row>
    <row r="547">
      <c r="G547" s="187"/>
    </row>
    <row r="548">
      <c r="G548" s="187"/>
    </row>
    <row r="549">
      <c r="G549" s="187"/>
    </row>
    <row r="550">
      <c r="G550" s="187"/>
    </row>
    <row r="551">
      <c r="G551" s="187"/>
    </row>
    <row r="552">
      <c r="G552" s="187"/>
    </row>
    <row r="553">
      <c r="G553" s="187"/>
    </row>
    <row r="554">
      <c r="G554" s="187"/>
    </row>
    <row r="555">
      <c r="G555" s="187"/>
    </row>
    <row r="556">
      <c r="G556" s="187"/>
    </row>
    <row r="557">
      <c r="G557" s="187"/>
    </row>
    <row r="558">
      <c r="G558" s="187"/>
    </row>
    <row r="559">
      <c r="G559" s="187"/>
    </row>
    <row r="560">
      <c r="G560" s="187"/>
    </row>
    <row r="561">
      <c r="G561" s="187"/>
    </row>
    <row r="562">
      <c r="G562" s="187"/>
    </row>
    <row r="563">
      <c r="G563" s="187"/>
    </row>
    <row r="564">
      <c r="G564" s="187"/>
    </row>
    <row r="565">
      <c r="G565" s="187"/>
    </row>
    <row r="566">
      <c r="G566" s="187"/>
    </row>
    <row r="567">
      <c r="G567" s="187"/>
    </row>
    <row r="568">
      <c r="G568" s="187"/>
    </row>
    <row r="569">
      <c r="G569" s="187"/>
    </row>
    <row r="570">
      <c r="G570" s="187"/>
    </row>
    <row r="571">
      <c r="G571" s="187"/>
    </row>
    <row r="572">
      <c r="G572" s="187"/>
    </row>
    <row r="573">
      <c r="G573" s="187"/>
    </row>
    <row r="574">
      <c r="G574" s="187"/>
    </row>
    <row r="575">
      <c r="G575" s="187"/>
    </row>
    <row r="576">
      <c r="G576" s="187"/>
    </row>
    <row r="577">
      <c r="G577" s="187"/>
    </row>
    <row r="578">
      <c r="G578" s="187"/>
    </row>
    <row r="579">
      <c r="G579" s="187"/>
    </row>
    <row r="580">
      <c r="G580" s="187"/>
    </row>
    <row r="581">
      <c r="G581" s="187"/>
    </row>
    <row r="582">
      <c r="G582" s="187"/>
    </row>
    <row r="583">
      <c r="G583" s="187"/>
    </row>
    <row r="584">
      <c r="G584" s="187"/>
    </row>
    <row r="585">
      <c r="G585" s="187"/>
    </row>
    <row r="586">
      <c r="G586" s="187"/>
    </row>
    <row r="587">
      <c r="G587" s="187"/>
    </row>
    <row r="588">
      <c r="G588" s="187"/>
    </row>
    <row r="589">
      <c r="G589" s="187"/>
    </row>
    <row r="590">
      <c r="G590" s="187"/>
    </row>
    <row r="591">
      <c r="G591" s="187"/>
    </row>
    <row r="592">
      <c r="G592" s="187"/>
    </row>
    <row r="593">
      <c r="G593" s="187"/>
    </row>
    <row r="594">
      <c r="G594" s="187"/>
    </row>
    <row r="595">
      <c r="G595" s="187"/>
    </row>
    <row r="596">
      <c r="G596" s="187"/>
    </row>
    <row r="597">
      <c r="G597" s="187"/>
    </row>
    <row r="598">
      <c r="G598" s="187"/>
    </row>
    <row r="599">
      <c r="G599" s="187"/>
    </row>
    <row r="600">
      <c r="G600" s="187"/>
    </row>
    <row r="601">
      <c r="G601" s="187"/>
    </row>
    <row r="602">
      <c r="G602" s="187"/>
    </row>
    <row r="603">
      <c r="G603" s="187"/>
    </row>
    <row r="604">
      <c r="G604" s="187"/>
    </row>
    <row r="605">
      <c r="G605" s="187"/>
    </row>
    <row r="606">
      <c r="G606" s="187"/>
    </row>
    <row r="607">
      <c r="G607" s="187"/>
    </row>
    <row r="608">
      <c r="G608" s="187"/>
    </row>
    <row r="609">
      <c r="G609" s="187"/>
    </row>
    <row r="610">
      <c r="G610" s="187"/>
    </row>
    <row r="611">
      <c r="G611" s="187"/>
    </row>
    <row r="612">
      <c r="G612" s="187"/>
    </row>
    <row r="613">
      <c r="G613" s="187"/>
    </row>
    <row r="614">
      <c r="G614" s="187"/>
    </row>
    <row r="615">
      <c r="G615" s="187"/>
    </row>
    <row r="616">
      <c r="G616" s="187"/>
    </row>
    <row r="617">
      <c r="G617" s="187"/>
    </row>
    <row r="618">
      <c r="G618" s="187"/>
    </row>
    <row r="619">
      <c r="G619" s="187"/>
    </row>
    <row r="620">
      <c r="G620" s="187"/>
    </row>
    <row r="621">
      <c r="G621" s="187"/>
    </row>
    <row r="622">
      <c r="G622" s="187"/>
    </row>
    <row r="623">
      <c r="G623" s="187"/>
    </row>
    <row r="624">
      <c r="G624" s="187"/>
    </row>
    <row r="625">
      <c r="G625" s="187"/>
    </row>
    <row r="626">
      <c r="G626" s="187"/>
    </row>
    <row r="627">
      <c r="G627" s="187"/>
    </row>
    <row r="628">
      <c r="G628" s="187"/>
    </row>
    <row r="629">
      <c r="G629" s="187"/>
    </row>
    <row r="630">
      <c r="G630" s="187"/>
    </row>
    <row r="631">
      <c r="G631" s="187"/>
    </row>
    <row r="632">
      <c r="G632" s="187"/>
    </row>
    <row r="633">
      <c r="G633" s="187"/>
    </row>
    <row r="634">
      <c r="G634" s="187"/>
    </row>
    <row r="635">
      <c r="G635" s="187"/>
    </row>
    <row r="636">
      <c r="G636" s="187"/>
    </row>
    <row r="637">
      <c r="G637" s="187"/>
    </row>
    <row r="638">
      <c r="G638" s="187"/>
    </row>
    <row r="639">
      <c r="G639" s="187"/>
    </row>
    <row r="640">
      <c r="G640" s="187"/>
    </row>
    <row r="641">
      <c r="G641" s="187"/>
    </row>
    <row r="642">
      <c r="G642" s="187"/>
    </row>
    <row r="643">
      <c r="G643" s="187"/>
    </row>
    <row r="644">
      <c r="G644" s="187"/>
    </row>
    <row r="645">
      <c r="G645" s="187"/>
    </row>
    <row r="646">
      <c r="G646" s="187"/>
    </row>
    <row r="647">
      <c r="G647" s="187"/>
    </row>
    <row r="648">
      <c r="G648" s="187"/>
    </row>
    <row r="649">
      <c r="G649" s="187"/>
    </row>
    <row r="650">
      <c r="G650" s="187"/>
    </row>
    <row r="651">
      <c r="G651" s="187"/>
    </row>
    <row r="652">
      <c r="G652" s="187"/>
    </row>
    <row r="653">
      <c r="G653" s="187"/>
    </row>
    <row r="654">
      <c r="G654" s="187"/>
    </row>
    <row r="655">
      <c r="G655" s="187"/>
    </row>
    <row r="656">
      <c r="G656" s="187"/>
    </row>
    <row r="657">
      <c r="G657" s="187"/>
    </row>
    <row r="658">
      <c r="G658" s="187"/>
    </row>
    <row r="659">
      <c r="G659" s="187"/>
    </row>
    <row r="660">
      <c r="G660" s="187"/>
    </row>
    <row r="661">
      <c r="G661" s="187"/>
    </row>
    <row r="662">
      <c r="G662" s="187"/>
    </row>
    <row r="663">
      <c r="G663" s="187"/>
    </row>
    <row r="664">
      <c r="G664" s="187"/>
    </row>
    <row r="665">
      <c r="G665" s="187"/>
    </row>
    <row r="666">
      <c r="G666" s="187"/>
    </row>
    <row r="667">
      <c r="G667" s="187"/>
    </row>
    <row r="668">
      <c r="G668" s="187"/>
    </row>
    <row r="669">
      <c r="G669" s="187"/>
    </row>
    <row r="670">
      <c r="G670" s="187"/>
    </row>
    <row r="671">
      <c r="G671" s="187"/>
    </row>
    <row r="672">
      <c r="G672" s="187"/>
    </row>
    <row r="673">
      <c r="G673" s="187"/>
    </row>
    <row r="674">
      <c r="G674" s="187"/>
    </row>
    <row r="675">
      <c r="G675" s="187"/>
    </row>
    <row r="676">
      <c r="G676" s="187"/>
    </row>
    <row r="677">
      <c r="G677" s="187"/>
    </row>
    <row r="678">
      <c r="G678" s="187"/>
    </row>
    <row r="679">
      <c r="G679" s="187"/>
    </row>
    <row r="680">
      <c r="G680" s="187"/>
    </row>
    <row r="681">
      <c r="G681" s="187"/>
    </row>
    <row r="682">
      <c r="G682" s="187"/>
    </row>
    <row r="683">
      <c r="G683" s="187"/>
    </row>
    <row r="684">
      <c r="G684" s="187"/>
    </row>
    <row r="685">
      <c r="G685" s="187"/>
    </row>
    <row r="686">
      <c r="G686" s="187"/>
    </row>
    <row r="687">
      <c r="G687" s="187"/>
    </row>
    <row r="688">
      <c r="G688" s="187"/>
    </row>
    <row r="689">
      <c r="G689" s="187"/>
    </row>
    <row r="690">
      <c r="G690" s="187"/>
    </row>
    <row r="691">
      <c r="G691" s="187"/>
    </row>
    <row r="692">
      <c r="G692" s="187"/>
    </row>
    <row r="693">
      <c r="G693" s="187"/>
    </row>
    <row r="694">
      <c r="G694" s="187"/>
    </row>
    <row r="695">
      <c r="G695" s="187"/>
    </row>
    <row r="696">
      <c r="G696" s="187"/>
    </row>
    <row r="697">
      <c r="G697" s="187"/>
    </row>
    <row r="698">
      <c r="G698" s="187"/>
    </row>
    <row r="699">
      <c r="G699" s="187"/>
    </row>
    <row r="700">
      <c r="G700" s="187"/>
    </row>
    <row r="701">
      <c r="G701" s="187"/>
    </row>
    <row r="702">
      <c r="G702" s="187"/>
    </row>
    <row r="703">
      <c r="G703" s="187"/>
    </row>
    <row r="704">
      <c r="G704" s="187"/>
    </row>
    <row r="705">
      <c r="G705" s="187"/>
    </row>
    <row r="706">
      <c r="G706" s="187"/>
    </row>
    <row r="707">
      <c r="G707" s="187"/>
    </row>
    <row r="708">
      <c r="G708" s="187"/>
    </row>
    <row r="709">
      <c r="G709" s="187"/>
    </row>
    <row r="710">
      <c r="G710" s="187"/>
    </row>
    <row r="711">
      <c r="G711" s="187"/>
    </row>
    <row r="712">
      <c r="G712" s="187"/>
    </row>
    <row r="713">
      <c r="G713" s="187"/>
    </row>
    <row r="714">
      <c r="G714" s="187"/>
    </row>
    <row r="715">
      <c r="G715" s="187"/>
    </row>
    <row r="716">
      <c r="G716" s="187"/>
    </row>
    <row r="717">
      <c r="G717" s="187"/>
    </row>
    <row r="718">
      <c r="G718" s="187"/>
    </row>
    <row r="719">
      <c r="G719" s="187"/>
    </row>
    <row r="720">
      <c r="G720" s="187"/>
    </row>
    <row r="721">
      <c r="G721" s="187"/>
    </row>
    <row r="722">
      <c r="G722" s="187"/>
    </row>
    <row r="723">
      <c r="G723" s="187"/>
    </row>
    <row r="724">
      <c r="G724" s="187"/>
    </row>
    <row r="725">
      <c r="G725" s="187"/>
    </row>
    <row r="726">
      <c r="G726" s="187"/>
    </row>
    <row r="727">
      <c r="G727" s="187"/>
    </row>
    <row r="728">
      <c r="G728" s="187"/>
    </row>
    <row r="729">
      <c r="G729" s="187"/>
    </row>
    <row r="730">
      <c r="G730" s="187"/>
    </row>
    <row r="731">
      <c r="G731" s="187"/>
    </row>
    <row r="732">
      <c r="G732" s="187"/>
    </row>
    <row r="733">
      <c r="G733" s="187"/>
    </row>
    <row r="734">
      <c r="G734" s="187"/>
    </row>
    <row r="735">
      <c r="G735" s="187"/>
    </row>
    <row r="736">
      <c r="G736" s="187"/>
    </row>
    <row r="737">
      <c r="G737" s="187"/>
    </row>
    <row r="738">
      <c r="G738" s="187"/>
    </row>
    <row r="739">
      <c r="G739" s="187"/>
    </row>
    <row r="740">
      <c r="G740" s="187"/>
    </row>
    <row r="741">
      <c r="G741" s="187"/>
    </row>
    <row r="742">
      <c r="G742" s="187"/>
    </row>
    <row r="743">
      <c r="G743" s="187"/>
    </row>
    <row r="744">
      <c r="G744" s="187"/>
    </row>
    <row r="745">
      <c r="G745" s="187"/>
    </row>
    <row r="746">
      <c r="G746" s="187"/>
    </row>
    <row r="747">
      <c r="G747" s="187"/>
    </row>
    <row r="748">
      <c r="G748" s="187"/>
    </row>
    <row r="749">
      <c r="G749" s="187"/>
    </row>
    <row r="750">
      <c r="G750" s="187"/>
    </row>
    <row r="751">
      <c r="G751" s="187"/>
    </row>
    <row r="752">
      <c r="G752" s="187"/>
    </row>
    <row r="753">
      <c r="G753" s="187"/>
    </row>
    <row r="754">
      <c r="G754" s="187"/>
    </row>
    <row r="755">
      <c r="G755" s="187"/>
    </row>
    <row r="756">
      <c r="G756" s="187"/>
    </row>
    <row r="757">
      <c r="G757" s="187"/>
    </row>
    <row r="758">
      <c r="G758" s="187"/>
    </row>
    <row r="759">
      <c r="G759" s="187"/>
    </row>
    <row r="760">
      <c r="G760" s="187"/>
    </row>
    <row r="761">
      <c r="G761" s="187"/>
    </row>
    <row r="762">
      <c r="G762" s="187"/>
    </row>
    <row r="763">
      <c r="G763" s="187"/>
    </row>
    <row r="764">
      <c r="G764" s="187"/>
    </row>
    <row r="765">
      <c r="G765" s="187"/>
    </row>
    <row r="766">
      <c r="G766" s="187"/>
    </row>
    <row r="767">
      <c r="G767" s="187"/>
    </row>
    <row r="768">
      <c r="G768" s="187"/>
    </row>
    <row r="769">
      <c r="G769" s="187"/>
    </row>
    <row r="770">
      <c r="G770" s="187"/>
    </row>
    <row r="771">
      <c r="G771" s="187"/>
    </row>
    <row r="772">
      <c r="G772" s="187"/>
    </row>
    <row r="773">
      <c r="G773" s="187"/>
    </row>
    <row r="774">
      <c r="G774" s="187"/>
    </row>
    <row r="775">
      <c r="G775" s="187"/>
    </row>
    <row r="776">
      <c r="G776" s="187"/>
    </row>
    <row r="777">
      <c r="G777" s="187"/>
    </row>
    <row r="778">
      <c r="G778" s="187"/>
    </row>
    <row r="779">
      <c r="G779" s="187"/>
    </row>
    <row r="780">
      <c r="G780" s="187"/>
    </row>
    <row r="781">
      <c r="G781" s="187"/>
    </row>
    <row r="782">
      <c r="G782" s="187"/>
    </row>
    <row r="783">
      <c r="G783" s="187"/>
    </row>
    <row r="784">
      <c r="G784" s="187"/>
    </row>
    <row r="785">
      <c r="G785" s="187"/>
    </row>
    <row r="786">
      <c r="G786" s="187"/>
    </row>
    <row r="787">
      <c r="G787" s="187"/>
    </row>
    <row r="788">
      <c r="G788" s="187"/>
    </row>
    <row r="789">
      <c r="G789" s="187"/>
    </row>
    <row r="790">
      <c r="G790" s="187"/>
    </row>
    <row r="791">
      <c r="G791" s="187"/>
    </row>
    <row r="792">
      <c r="G792" s="187"/>
    </row>
    <row r="793">
      <c r="G793" s="187"/>
    </row>
    <row r="794">
      <c r="G794" s="187"/>
    </row>
    <row r="795">
      <c r="G795" s="187"/>
    </row>
    <row r="796">
      <c r="G796" s="187"/>
    </row>
    <row r="797">
      <c r="G797" s="187"/>
    </row>
    <row r="798">
      <c r="G798" s="187"/>
    </row>
    <row r="799">
      <c r="G799" s="187"/>
    </row>
    <row r="800">
      <c r="G800" s="187"/>
    </row>
    <row r="801">
      <c r="G801" s="187"/>
    </row>
    <row r="802">
      <c r="G802" s="187"/>
    </row>
    <row r="803">
      <c r="G803" s="187"/>
    </row>
    <row r="804">
      <c r="G804" s="187"/>
    </row>
    <row r="805">
      <c r="G805" s="187"/>
    </row>
    <row r="806">
      <c r="G806" s="187"/>
    </row>
    <row r="807">
      <c r="G807" s="187"/>
    </row>
    <row r="808">
      <c r="G808" s="187"/>
    </row>
    <row r="809">
      <c r="G809" s="187"/>
    </row>
    <row r="810">
      <c r="G810" s="187"/>
    </row>
    <row r="811">
      <c r="G811" s="187"/>
    </row>
    <row r="812">
      <c r="G812" s="187"/>
    </row>
    <row r="813">
      <c r="G813" s="187"/>
    </row>
    <row r="814">
      <c r="G814" s="187"/>
    </row>
    <row r="815">
      <c r="G815" s="187"/>
    </row>
    <row r="816">
      <c r="G816" s="187"/>
    </row>
    <row r="817">
      <c r="G817" s="187"/>
    </row>
    <row r="818">
      <c r="G818" s="187"/>
    </row>
    <row r="819">
      <c r="G819" s="187"/>
    </row>
    <row r="820">
      <c r="G820" s="187"/>
    </row>
    <row r="821">
      <c r="G821" s="187"/>
    </row>
    <row r="822">
      <c r="G822" s="187"/>
    </row>
    <row r="823">
      <c r="G823" s="187"/>
    </row>
    <row r="824">
      <c r="G824" s="187"/>
    </row>
    <row r="825">
      <c r="G825" s="187"/>
    </row>
    <row r="826">
      <c r="G826" s="187"/>
    </row>
    <row r="827">
      <c r="G827" s="187"/>
    </row>
    <row r="828">
      <c r="G828" s="187"/>
    </row>
    <row r="829">
      <c r="G829" s="187"/>
    </row>
    <row r="830">
      <c r="G830" s="187"/>
    </row>
    <row r="831">
      <c r="G831" s="187"/>
    </row>
    <row r="832">
      <c r="G832" s="187"/>
    </row>
    <row r="833">
      <c r="G833" s="187"/>
    </row>
    <row r="834">
      <c r="G834" s="187"/>
    </row>
    <row r="835">
      <c r="G835" s="187"/>
    </row>
    <row r="836">
      <c r="G836" s="187"/>
    </row>
    <row r="837">
      <c r="G837" s="187"/>
    </row>
    <row r="838">
      <c r="G838" s="187"/>
    </row>
    <row r="839">
      <c r="G839" s="187"/>
    </row>
    <row r="840">
      <c r="G840" s="187"/>
    </row>
    <row r="841">
      <c r="G841" s="187"/>
    </row>
    <row r="842">
      <c r="G842" s="187"/>
    </row>
    <row r="843">
      <c r="G843" s="187"/>
    </row>
    <row r="844">
      <c r="G844" s="187"/>
    </row>
    <row r="845">
      <c r="G845" s="187"/>
    </row>
    <row r="846">
      <c r="G846" s="187"/>
    </row>
    <row r="847">
      <c r="G847" s="187"/>
    </row>
    <row r="848">
      <c r="G848" s="187"/>
    </row>
    <row r="849">
      <c r="G849" s="187"/>
    </row>
    <row r="850">
      <c r="G850" s="187"/>
    </row>
    <row r="851">
      <c r="G851" s="187"/>
    </row>
    <row r="852">
      <c r="G852" s="187"/>
    </row>
    <row r="853">
      <c r="G853" s="187"/>
    </row>
    <row r="854">
      <c r="G854" s="187"/>
    </row>
    <row r="855">
      <c r="G855" s="187"/>
    </row>
    <row r="856">
      <c r="G856" s="187"/>
    </row>
    <row r="857">
      <c r="G857" s="187"/>
    </row>
    <row r="858">
      <c r="G858" s="187"/>
    </row>
    <row r="859">
      <c r="G859" s="187"/>
    </row>
    <row r="860">
      <c r="G860" s="187"/>
    </row>
    <row r="861">
      <c r="G861" s="187"/>
    </row>
    <row r="862">
      <c r="G862" s="187"/>
    </row>
    <row r="863">
      <c r="G863" s="187"/>
    </row>
    <row r="864">
      <c r="G864" s="187"/>
    </row>
    <row r="865">
      <c r="G865" s="187"/>
    </row>
    <row r="866">
      <c r="G866" s="187"/>
    </row>
    <row r="867">
      <c r="G867" s="187"/>
    </row>
    <row r="868">
      <c r="G868" s="187"/>
    </row>
    <row r="869">
      <c r="G869" s="187"/>
    </row>
    <row r="870">
      <c r="G870" s="187"/>
    </row>
    <row r="871">
      <c r="G871" s="187"/>
    </row>
    <row r="872">
      <c r="G872" s="187"/>
    </row>
    <row r="873">
      <c r="G873" s="187"/>
    </row>
    <row r="874">
      <c r="G874" s="187"/>
    </row>
    <row r="875">
      <c r="G875" s="187"/>
    </row>
    <row r="876">
      <c r="G876" s="187"/>
    </row>
    <row r="877">
      <c r="G877" s="187"/>
    </row>
    <row r="878">
      <c r="G878" s="187"/>
    </row>
    <row r="879">
      <c r="G879" s="187"/>
    </row>
    <row r="880">
      <c r="G880" s="187"/>
    </row>
    <row r="881">
      <c r="G881" s="187"/>
    </row>
    <row r="882">
      <c r="G882" s="187"/>
    </row>
    <row r="883">
      <c r="G883" s="187"/>
    </row>
    <row r="884">
      <c r="G884" s="187"/>
    </row>
    <row r="885">
      <c r="G885" s="187"/>
    </row>
    <row r="886">
      <c r="G886" s="187"/>
    </row>
    <row r="887">
      <c r="G887" s="187"/>
    </row>
    <row r="888">
      <c r="G888" s="187"/>
    </row>
    <row r="889">
      <c r="G889" s="187"/>
    </row>
    <row r="890">
      <c r="G890" s="187"/>
    </row>
    <row r="891">
      <c r="G891" s="187"/>
    </row>
    <row r="892">
      <c r="G892" s="187"/>
    </row>
    <row r="893">
      <c r="G893" s="187"/>
    </row>
    <row r="894">
      <c r="G894" s="187"/>
    </row>
    <row r="895">
      <c r="G895" s="187"/>
    </row>
    <row r="896">
      <c r="G896" s="187"/>
    </row>
    <row r="897">
      <c r="G897" s="187"/>
    </row>
    <row r="898">
      <c r="G898" s="187"/>
    </row>
    <row r="899">
      <c r="G899" s="187"/>
    </row>
    <row r="900">
      <c r="G900" s="187"/>
    </row>
    <row r="901">
      <c r="G901" s="187"/>
    </row>
    <row r="902">
      <c r="G902" s="187"/>
    </row>
    <row r="903">
      <c r="G903" s="187"/>
    </row>
    <row r="904">
      <c r="G904" s="187"/>
    </row>
    <row r="905">
      <c r="G905" s="187"/>
    </row>
    <row r="906">
      <c r="G906" s="187"/>
    </row>
    <row r="907">
      <c r="G907" s="187"/>
    </row>
    <row r="908">
      <c r="G908" s="187"/>
    </row>
    <row r="909">
      <c r="G909" s="187"/>
    </row>
    <row r="910">
      <c r="G910" s="187"/>
    </row>
    <row r="911">
      <c r="G911" s="187"/>
    </row>
    <row r="912">
      <c r="G912" s="187"/>
    </row>
    <row r="913">
      <c r="G913" s="187"/>
    </row>
    <row r="914">
      <c r="G914" s="187"/>
    </row>
    <row r="915">
      <c r="G915" s="187"/>
    </row>
    <row r="916">
      <c r="G916" s="187"/>
    </row>
    <row r="917">
      <c r="G917" s="187"/>
    </row>
    <row r="918">
      <c r="G918" s="187"/>
    </row>
    <row r="919">
      <c r="G919" s="187"/>
    </row>
    <row r="920">
      <c r="G920" s="187"/>
    </row>
    <row r="921">
      <c r="G921" s="187"/>
    </row>
    <row r="922">
      <c r="G922" s="187"/>
    </row>
    <row r="923">
      <c r="G923" s="187"/>
    </row>
    <row r="924">
      <c r="G924" s="187"/>
    </row>
    <row r="925">
      <c r="G925" s="187"/>
    </row>
    <row r="926">
      <c r="G926" s="187"/>
    </row>
    <row r="927">
      <c r="G927" s="187"/>
    </row>
    <row r="928">
      <c r="G928" s="187"/>
    </row>
    <row r="929">
      <c r="G929" s="187"/>
    </row>
    <row r="930">
      <c r="G930" s="187"/>
    </row>
    <row r="931">
      <c r="G931" s="187"/>
    </row>
    <row r="932">
      <c r="G932" s="187"/>
    </row>
    <row r="933">
      <c r="G933" s="187"/>
    </row>
    <row r="934">
      <c r="G934" s="187"/>
    </row>
    <row r="935">
      <c r="G935" s="187"/>
    </row>
    <row r="936">
      <c r="G936" s="187"/>
    </row>
    <row r="937">
      <c r="G937" s="187"/>
    </row>
    <row r="938">
      <c r="G938" s="187"/>
    </row>
    <row r="939">
      <c r="G939" s="187"/>
    </row>
    <row r="940">
      <c r="G940" s="187"/>
    </row>
    <row r="941">
      <c r="G941" s="187"/>
    </row>
    <row r="942">
      <c r="G942" s="187"/>
    </row>
    <row r="943">
      <c r="G943" s="187"/>
    </row>
    <row r="944">
      <c r="G944" s="187"/>
    </row>
    <row r="945">
      <c r="G945" s="187"/>
    </row>
    <row r="946">
      <c r="G946" s="187"/>
    </row>
    <row r="947">
      <c r="G947" s="187"/>
    </row>
    <row r="948">
      <c r="G948" s="187"/>
    </row>
    <row r="949">
      <c r="G949" s="187"/>
    </row>
    <row r="950">
      <c r="G950" s="187"/>
    </row>
    <row r="951">
      <c r="G951" s="187"/>
    </row>
    <row r="952">
      <c r="G952" s="187"/>
    </row>
    <row r="953">
      <c r="G953" s="187"/>
    </row>
    <row r="954">
      <c r="G954" s="187"/>
    </row>
    <row r="955">
      <c r="G955" s="187"/>
    </row>
    <row r="956">
      <c r="G956" s="187"/>
    </row>
    <row r="957">
      <c r="G957" s="187"/>
    </row>
    <row r="958">
      <c r="G958" s="187"/>
    </row>
    <row r="959">
      <c r="G959" s="187"/>
    </row>
    <row r="960">
      <c r="G960" s="187"/>
    </row>
    <row r="961">
      <c r="G961" s="187"/>
    </row>
    <row r="962">
      <c r="G962" s="187"/>
    </row>
    <row r="963">
      <c r="G963" s="187"/>
    </row>
    <row r="964">
      <c r="G964" s="187"/>
    </row>
    <row r="965">
      <c r="G965" s="187"/>
    </row>
    <row r="966">
      <c r="G966" s="187"/>
    </row>
    <row r="967">
      <c r="G967" s="187"/>
    </row>
    <row r="968">
      <c r="G968" s="187"/>
    </row>
    <row r="969">
      <c r="G969" s="187"/>
    </row>
    <row r="970">
      <c r="G970" s="187"/>
    </row>
    <row r="971">
      <c r="G971" s="187"/>
    </row>
    <row r="972">
      <c r="G972" s="187"/>
    </row>
    <row r="973">
      <c r="G973" s="187"/>
    </row>
    <row r="974">
      <c r="G974" s="187"/>
    </row>
    <row r="975">
      <c r="G975" s="187"/>
    </row>
    <row r="976">
      <c r="G976" s="187"/>
    </row>
    <row r="977">
      <c r="G977" s="187"/>
    </row>
    <row r="978">
      <c r="G978" s="187"/>
    </row>
    <row r="979">
      <c r="G979" s="187"/>
    </row>
    <row r="980">
      <c r="G980" s="187"/>
    </row>
    <row r="981">
      <c r="G981" s="187"/>
    </row>
    <row r="982">
      <c r="G982" s="187"/>
    </row>
    <row r="983">
      <c r="G983" s="187"/>
    </row>
    <row r="984">
      <c r="G984" s="187"/>
    </row>
    <row r="985">
      <c r="G985" s="187"/>
    </row>
    <row r="986">
      <c r="G986" s="187"/>
    </row>
    <row r="987">
      <c r="G987" s="187"/>
    </row>
    <row r="988">
      <c r="G988" s="187"/>
    </row>
    <row r="989">
      <c r="G989" s="187"/>
    </row>
    <row r="990">
      <c r="G990" s="187"/>
    </row>
    <row r="991">
      <c r="G991" s="187"/>
    </row>
    <row r="992">
      <c r="G992" s="187"/>
    </row>
    <row r="993">
      <c r="G993" s="187"/>
    </row>
    <row r="994">
      <c r="G994" s="187"/>
    </row>
    <row r="995">
      <c r="G995" s="187"/>
    </row>
    <row r="996">
      <c r="G996" s="187"/>
    </row>
    <row r="997">
      <c r="G997" s="187"/>
    </row>
    <row r="998">
      <c r="G998" s="187"/>
    </row>
    <row r="999">
      <c r="G999" s="187"/>
    </row>
    <row r="1000">
      <c r="G1000" s="187"/>
    </row>
    <row r="1001">
      <c r="G1001" s="187"/>
    </row>
    <row r="1002">
      <c r="G1002" s="187"/>
    </row>
    <row r="1003">
      <c r="G1003" s="187"/>
    </row>
    <row r="1004">
      <c r="G1004" s="187"/>
    </row>
    <row r="1005">
      <c r="G1005" s="187"/>
    </row>
    <row r="1006">
      <c r="G1006" s="187"/>
    </row>
    <row r="1007">
      <c r="G1007" s="187"/>
    </row>
    <row r="1008">
      <c r="G1008" s="187"/>
    </row>
    <row r="1009">
      <c r="G1009" s="187"/>
    </row>
    <row r="1010">
      <c r="G1010" s="187"/>
    </row>
    <row r="1011">
      <c r="G1011" s="187"/>
    </row>
    <row r="1012">
      <c r="G1012" s="187"/>
    </row>
    <row r="1013">
      <c r="G1013" s="187"/>
    </row>
    <row r="1014">
      <c r="G1014" s="187"/>
    </row>
    <row r="1015">
      <c r="G1015" s="187"/>
    </row>
    <row r="1016">
      <c r="G1016" s="187"/>
    </row>
    <row r="1017">
      <c r="G1017" s="187"/>
    </row>
    <row r="1018">
      <c r="G1018" s="187"/>
    </row>
    <row r="1019">
      <c r="G1019" s="187"/>
    </row>
    <row r="1020">
      <c r="G1020" s="187"/>
    </row>
    <row r="1021">
      <c r="G1021" s="187"/>
    </row>
    <row r="1022">
      <c r="G1022" s="187"/>
    </row>
    <row r="1023">
      <c r="G1023" s="187"/>
    </row>
    <row r="1024">
      <c r="G1024" s="187"/>
    </row>
    <row r="1025">
      <c r="G1025" s="187"/>
    </row>
    <row r="1026">
      <c r="G1026" s="187"/>
    </row>
    <row r="1027">
      <c r="G1027" s="187"/>
    </row>
    <row r="1028">
      <c r="G1028" s="187"/>
    </row>
    <row r="1029">
      <c r="G1029" s="187"/>
    </row>
  </sheetData>
  <autoFilter ref="$A$1:$L$30"/>
  <conditionalFormatting sqref="F2:F31">
    <cfRule type="containsText" dxfId="0" priority="1" operator="containsText" text="Closed">
      <formula>NOT(ISERROR(SEARCH(("Closed"),(F2))))</formula>
    </cfRule>
  </conditionalFormatting>
  <conditionalFormatting sqref="F2:F31">
    <cfRule type="containsText" dxfId="3" priority="2" operator="containsText" text="Monitor">
      <formula>NOT(ISERROR(SEARCH(("Monitor"),(F2))))</formula>
    </cfRule>
  </conditionalFormatting>
  <conditionalFormatting sqref="F2:F31">
    <cfRule type="containsText" dxfId="4" priority="3" operator="containsText" text="Open">
      <formula>NOT(ISERROR(SEARCH(("Open"),(F2))))</formula>
    </cfRule>
  </conditionalFormatting>
  <conditionalFormatting sqref="F2:F30">
    <cfRule type="containsText" dxfId="5" priority="4" operator="containsText" text="NA">
      <formula>NOT(ISERROR(SEARCH(("NA"),(F2))))</formula>
    </cfRule>
  </conditionalFormatting>
  <dataValidations>
    <dataValidation type="list" allowBlank="1" sqref="B2:B31">
      <formula1>Option!$C$2:$C$16</formula1>
    </dataValidation>
    <dataValidation type="list" allowBlank="1" sqref="I2:J31">
      <formula1>Option!$K$2:$K$17</formula1>
    </dataValidation>
    <dataValidation type="list" allowBlank="1" sqref="C2:C31">
      <formula1>Option!$E$2:$E$13</formula1>
    </dataValidation>
    <dataValidation type="list" allowBlank="1" sqref="D2:D31">
      <formula1>Option!$D$2:$D$15</formula1>
    </dataValidation>
    <dataValidation type="list" allowBlank="1" sqref="F2:F31">
      <formula1>Option!$F$2:$F$5</formula1>
    </dataValidation>
    <dataValidation type="list" allowBlank="1" sqref="L2:L31">
      <formula1>"1.SCH,2.PCB,3.BOM,4.Parameter,5.SW/ME/RF/ANT/Component/MFG/Vendor,6.No Change"</formula1>
    </dataValidation>
    <dataValidation type="list" allowBlank="1" sqref="E2:E31">
      <formula1>Option!$G$2:$G$5</formula1>
    </dataValidation>
  </dataValidations>
  <hyperlinks>
    <hyperlink r:id="rId4" location="gid=0&amp;fvid=707336726" ref="K2"/>
    <hyperlink r:id="rId5" location="slide=id.g10033b26bf6_0_0" ref="H3"/>
    <hyperlink r:id="rId6" ref="H7"/>
    <hyperlink r:id="rId7" location="slide=id.p" ref="H8"/>
    <hyperlink r:id="rId8" location="slide=id.g10033b26bf6_0_0" ref="H10"/>
    <hyperlink r:id="rId9" location="slide=id.g10388cc8cdd_0_0" ref="H11"/>
    <hyperlink r:id="rId10" location="slide=id.g10033b26bf6_0_0" ref="H12"/>
    <hyperlink r:id="rId11" location="slide=id.gfd8b9a19d7_0_76" ref="H13"/>
    <hyperlink r:id="rId12" location="slide=id.p" ref="H14"/>
    <hyperlink r:id="rId13" location="slide=id.gfa42c3b3b0_0_4" ref="H15"/>
    <hyperlink r:id="rId14" location="slide=id.g10033b26bf6_0_0" ref="H16"/>
    <hyperlink r:id="rId15" location="slide=id.g10033b26bf6_0_0" ref="H18"/>
    <hyperlink r:id="rId16" location="slide=id.gef567f7941_0_126" ref="H19"/>
    <hyperlink r:id="rId17" location="slide=id.g79157863c0_0_23" ref="H22"/>
    <hyperlink r:id="rId18" location="slide=id.gef567f7941_0_126" ref="H28"/>
    <hyperlink r:id="rId19" ref="H29"/>
  </hyperlinks>
  <drawing r:id="rId20"/>
  <legacyDrawing r:id="rId2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5.13" defaultRowHeight="15.0"/>
  <cols>
    <col customWidth="1" min="2" max="2" width="11.38"/>
    <col customWidth="1" min="5" max="5" width="12.38"/>
    <col customWidth="1" min="7" max="7" width="74.0"/>
    <col customWidth="1" min="9" max="9" width="10.88"/>
    <col customWidth="1" min="10" max="10" width="10.38"/>
  </cols>
  <sheetData>
    <row r="1">
      <c r="A1" s="4" t="s">
        <v>54</v>
      </c>
      <c r="B1" s="4" t="s">
        <v>1</v>
      </c>
      <c r="C1" s="4" t="s">
        <v>2</v>
      </c>
      <c r="D1" s="4" t="s">
        <v>3</v>
      </c>
      <c r="E1" s="4" t="s">
        <v>4</v>
      </c>
      <c r="F1" s="4" t="s">
        <v>5</v>
      </c>
      <c r="G1" s="4" t="s">
        <v>6</v>
      </c>
      <c r="H1" s="4" t="s">
        <v>7</v>
      </c>
      <c r="I1" s="3" t="s">
        <v>8</v>
      </c>
      <c r="J1" s="3" t="s">
        <v>9</v>
      </c>
      <c r="K1" s="4" t="s">
        <v>10</v>
      </c>
      <c r="L1" s="4" t="s">
        <v>11</v>
      </c>
    </row>
    <row r="2" ht="74.25" hidden="1" customHeight="1">
      <c r="A2" s="20">
        <v>44481.0</v>
      </c>
      <c r="B2" s="130" t="s">
        <v>25</v>
      </c>
      <c r="C2" s="8" t="s">
        <v>20</v>
      </c>
      <c r="D2" s="132" t="s">
        <v>14</v>
      </c>
      <c r="E2" s="132" t="s">
        <v>64</v>
      </c>
      <c r="F2" s="134" t="s">
        <v>16</v>
      </c>
      <c r="G2" s="203" t="s">
        <v>630</v>
      </c>
      <c r="H2" s="180"/>
      <c r="I2" s="56" t="s">
        <v>66</v>
      </c>
      <c r="J2" s="56"/>
      <c r="K2" s="202"/>
      <c r="L2" s="27" t="s">
        <v>68</v>
      </c>
      <c r="M2" s="29"/>
      <c r="N2" s="29"/>
      <c r="O2" s="29"/>
      <c r="P2" s="29"/>
      <c r="Q2" s="29"/>
      <c r="R2" s="29"/>
      <c r="S2" s="29"/>
      <c r="T2" s="29"/>
      <c r="U2" s="29"/>
      <c r="V2" s="29"/>
      <c r="W2" s="29"/>
      <c r="X2" s="29"/>
      <c r="Y2" s="29"/>
      <c r="Z2" s="29"/>
    </row>
    <row r="3" ht="74.25" hidden="1" customHeight="1">
      <c r="A3" s="20">
        <v>44468.0</v>
      </c>
      <c r="B3" s="130" t="s">
        <v>25</v>
      </c>
      <c r="C3" s="8" t="s">
        <v>13</v>
      </c>
      <c r="D3" s="132" t="s">
        <v>14</v>
      </c>
      <c r="E3" s="132" t="s">
        <v>64</v>
      </c>
      <c r="F3" s="134" t="s">
        <v>16</v>
      </c>
      <c r="G3" s="203" t="s">
        <v>631</v>
      </c>
      <c r="H3" s="180" t="s">
        <v>112</v>
      </c>
      <c r="I3" s="56" t="s">
        <v>79</v>
      </c>
      <c r="J3" s="56"/>
      <c r="K3" s="202"/>
      <c r="L3" s="27" t="s">
        <v>68</v>
      </c>
      <c r="M3" s="29"/>
      <c r="N3" s="29"/>
      <c r="O3" s="29"/>
      <c r="P3" s="29"/>
      <c r="Q3" s="29"/>
      <c r="R3" s="29"/>
      <c r="S3" s="29"/>
      <c r="T3" s="29"/>
      <c r="U3" s="29"/>
      <c r="V3" s="29"/>
      <c r="W3" s="29"/>
      <c r="X3" s="29"/>
      <c r="Y3" s="29"/>
      <c r="Z3" s="29"/>
    </row>
    <row r="4" ht="74.25" hidden="1" customHeight="1">
      <c r="A4" s="20">
        <v>44478.0</v>
      </c>
      <c r="B4" s="130" t="s">
        <v>25</v>
      </c>
      <c r="C4" s="8" t="s">
        <v>20</v>
      </c>
      <c r="D4" s="132" t="s">
        <v>14</v>
      </c>
      <c r="E4" s="132" t="s">
        <v>64</v>
      </c>
      <c r="F4" s="134" t="s">
        <v>16</v>
      </c>
      <c r="G4" s="203" t="s">
        <v>632</v>
      </c>
      <c r="H4" s="180"/>
      <c r="I4" s="56" t="s">
        <v>70</v>
      </c>
      <c r="J4" s="56"/>
      <c r="K4" s="202"/>
      <c r="L4" s="27" t="s">
        <v>71</v>
      </c>
      <c r="M4" s="29"/>
      <c r="N4" s="29"/>
      <c r="O4" s="29"/>
      <c r="P4" s="29"/>
      <c r="Q4" s="29"/>
      <c r="R4" s="29"/>
      <c r="S4" s="29"/>
      <c r="T4" s="29"/>
      <c r="U4" s="29"/>
      <c r="V4" s="29"/>
      <c r="W4" s="29"/>
      <c r="X4" s="29"/>
      <c r="Y4" s="29"/>
      <c r="Z4" s="29"/>
    </row>
    <row r="5" hidden="1">
      <c r="A5" s="20">
        <v>44463.0</v>
      </c>
      <c r="B5" s="130" t="s">
        <v>25</v>
      </c>
      <c r="C5" s="131" t="s">
        <v>57</v>
      </c>
      <c r="D5" s="140" t="s">
        <v>21</v>
      </c>
      <c r="E5" s="140" t="s">
        <v>22</v>
      </c>
      <c r="F5" s="134" t="s">
        <v>16</v>
      </c>
      <c r="G5" s="130" t="s">
        <v>633</v>
      </c>
      <c r="H5" s="180"/>
      <c r="I5" s="56"/>
      <c r="J5" s="56"/>
      <c r="K5" s="202"/>
      <c r="L5" s="27" t="s">
        <v>68</v>
      </c>
      <c r="M5" s="29"/>
      <c r="N5" s="29"/>
      <c r="O5" s="29"/>
      <c r="P5" s="29"/>
      <c r="Q5" s="29"/>
      <c r="R5" s="29"/>
      <c r="S5" s="29"/>
      <c r="T5" s="29"/>
      <c r="U5" s="29"/>
      <c r="V5" s="29"/>
      <c r="W5" s="29"/>
      <c r="X5" s="29"/>
      <c r="Y5" s="29"/>
      <c r="Z5" s="29"/>
    </row>
    <row r="6" ht="123.75" hidden="1" customHeight="1">
      <c r="A6" s="20">
        <v>44478.0</v>
      </c>
      <c r="B6" s="130" t="s">
        <v>25</v>
      </c>
      <c r="C6" s="8" t="s">
        <v>76</v>
      </c>
      <c r="D6" s="132" t="s">
        <v>58</v>
      </c>
      <c r="E6" s="132" t="s">
        <v>22</v>
      </c>
      <c r="F6" s="134" t="s">
        <v>16</v>
      </c>
      <c r="G6" s="204" t="s">
        <v>634</v>
      </c>
      <c r="H6" s="180" t="s">
        <v>97</v>
      </c>
      <c r="I6" s="56" t="s">
        <v>346</v>
      </c>
      <c r="J6" s="56" t="s">
        <v>132</v>
      </c>
      <c r="K6" s="202"/>
      <c r="L6" s="27" t="s">
        <v>68</v>
      </c>
      <c r="M6" s="29"/>
      <c r="N6" s="29"/>
      <c r="O6" s="29"/>
      <c r="P6" s="29"/>
      <c r="Q6" s="29"/>
      <c r="R6" s="29"/>
      <c r="S6" s="29"/>
      <c r="T6" s="29"/>
      <c r="U6" s="29"/>
      <c r="V6" s="29"/>
      <c r="W6" s="29"/>
      <c r="X6" s="29"/>
      <c r="Y6" s="29"/>
      <c r="Z6" s="29"/>
    </row>
    <row r="7" hidden="1">
      <c r="A7" s="20">
        <v>44478.0</v>
      </c>
      <c r="B7" s="130" t="s">
        <v>25</v>
      </c>
      <c r="C7" s="8" t="s">
        <v>26</v>
      </c>
      <c r="D7" s="132" t="s">
        <v>27</v>
      </c>
      <c r="E7" s="132" t="s">
        <v>22</v>
      </c>
      <c r="F7" s="134" t="s">
        <v>16</v>
      </c>
      <c r="G7" s="130" t="s">
        <v>635</v>
      </c>
      <c r="H7" s="184" t="s">
        <v>61</v>
      </c>
      <c r="I7" s="175" t="s">
        <v>334</v>
      </c>
      <c r="J7" s="175" t="s">
        <v>66</v>
      </c>
      <c r="K7" s="137"/>
      <c r="L7" s="27" t="s">
        <v>144</v>
      </c>
      <c r="M7" s="29"/>
      <c r="N7" s="29"/>
      <c r="O7" s="29"/>
      <c r="P7" s="29"/>
      <c r="Q7" s="29"/>
      <c r="R7" s="29"/>
      <c r="S7" s="29"/>
      <c r="T7" s="29"/>
      <c r="U7" s="29"/>
      <c r="V7" s="29"/>
      <c r="W7" s="29"/>
      <c r="X7" s="29"/>
      <c r="Y7" s="29"/>
      <c r="Z7" s="29"/>
    </row>
    <row r="8">
      <c r="A8" s="31">
        <v>44445.0</v>
      </c>
      <c r="B8" s="169" t="s">
        <v>19</v>
      </c>
      <c r="C8" s="8" t="s">
        <v>30</v>
      </c>
      <c r="D8" s="140" t="s">
        <v>21</v>
      </c>
      <c r="E8" s="132" t="s">
        <v>64</v>
      </c>
      <c r="F8" s="134" t="s">
        <v>16</v>
      </c>
      <c r="G8" s="130" t="s">
        <v>636</v>
      </c>
      <c r="H8" s="184" t="s">
        <v>112</v>
      </c>
      <c r="I8" s="175" t="s">
        <v>127</v>
      </c>
      <c r="J8" s="148"/>
      <c r="K8" s="137"/>
      <c r="L8" s="27" t="s">
        <v>68</v>
      </c>
      <c r="M8" s="29"/>
      <c r="N8" s="29"/>
      <c r="O8" s="29"/>
      <c r="P8" s="29"/>
      <c r="Q8" s="29"/>
      <c r="R8" s="29"/>
      <c r="S8" s="29"/>
      <c r="T8" s="29"/>
      <c r="U8" s="29"/>
      <c r="V8" s="29"/>
      <c r="W8" s="29"/>
      <c r="X8" s="29"/>
      <c r="Y8" s="29"/>
      <c r="Z8" s="29"/>
    </row>
    <row r="9" hidden="1">
      <c r="A9" s="20">
        <v>44468.0</v>
      </c>
      <c r="B9" s="130" t="s">
        <v>25</v>
      </c>
      <c r="C9" s="8" t="s">
        <v>20</v>
      </c>
      <c r="D9" s="132" t="s">
        <v>14</v>
      </c>
      <c r="E9" s="132" t="s">
        <v>64</v>
      </c>
      <c r="F9" s="134" t="s">
        <v>16</v>
      </c>
      <c r="G9" s="203" t="s">
        <v>637</v>
      </c>
      <c r="H9" s="180"/>
      <c r="I9" s="56" t="s">
        <v>67</v>
      </c>
      <c r="J9" s="56"/>
      <c r="K9" s="202"/>
      <c r="L9" s="27" t="s">
        <v>68</v>
      </c>
      <c r="M9" s="29"/>
      <c r="N9" s="29"/>
      <c r="O9" s="29"/>
      <c r="P9" s="29"/>
      <c r="Q9" s="29"/>
      <c r="R9" s="29"/>
      <c r="S9" s="29"/>
      <c r="T9" s="29"/>
      <c r="U9" s="29"/>
      <c r="V9" s="29"/>
      <c r="W9" s="29"/>
      <c r="X9" s="29"/>
      <c r="Y9" s="29"/>
      <c r="Z9" s="29"/>
    </row>
    <row r="10" ht="71.25" hidden="1" customHeight="1">
      <c r="A10" s="20">
        <v>44435.0</v>
      </c>
      <c r="B10" s="130" t="s">
        <v>19</v>
      </c>
      <c r="C10" s="8" t="s">
        <v>57</v>
      </c>
      <c r="D10" s="132" t="s">
        <v>21</v>
      </c>
      <c r="E10" s="132" t="s">
        <v>64</v>
      </c>
      <c r="F10" s="8" t="s">
        <v>16</v>
      </c>
      <c r="G10" s="155" t="s">
        <v>638</v>
      </c>
      <c r="H10" s="180"/>
      <c r="I10" s="56" t="s">
        <v>334</v>
      </c>
      <c r="J10" s="56" t="s">
        <v>79</v>
      </c>
      <c r="K10" s="180"/>
      <c r="L10" s="27" t="s">
        <v>68</v>
      </c>
    </row>
    <row r="11" hidden="1">
      <c r="A11" s="20">
        <v>44465.0</v>
      </c>
      <c r="B11" s="130" t="s">
        <v>25</v>
      </c>
      <c r="C11" s="8" t="s">
        <v>36</v>
      </c>
      <c r="D11" s="132" t="s">
        <v>89</v>
      </c>
      <c r="E11" s="132" t="s">
        <v>22</v>
      </c>
      <c r="F11" s="134" t="s">
        <v>16</v>
      </c>
      <c r="G11" s="130" t="s">
        <v>639</v>
      </c>
      <c r="H11" s="180"/>
      <c r="I11" s="56" t="s">
        <v>66</v>
      </c>
      <c r="J11" s="56"/>
      <c r="K11" s="202"/>
      <c r="L11" s="27" t="s">
        <v>68</v>
      </c>
      <c r="M11" s="29"/>
      <c r="N11" s="29"/>
      <c r="O11" s="29"/>
      <c r="P11" s="29"/>
      <c r="Q11" s="29"/>
      <c r="R11" s="29"/>
      <c r="S11" s="29"/>
      <c r="T11" s="29"/>
      <c r="U11" s="29"/>
      <c r="V11" s="29"/>
      <c r="W11" s="29"/>
      <c r="X11" s="29"/>
      <c r="Y11" s="29"/>
      <c r="Z11" s="29"/>
    </row>
    <row r="12" ht="105.0" hidden="1" customHeight="1">
      <c r="A12" s="20">
        <v>44434.0</v>
      </c>
      <c r="B12" s="130" t="s">
        <v>19</v>
      </c>
      <c r="C12" s="8" t="s">
        <v>36</v>
      </c>
      <c r="D12" s="132" t="s">
        <v>14</v>
      </c>
      <c r="E12" s="132" t="s">
        <v>22</v>
      </c>
      <c r="F12" s="134" t="s">
        <v>16</v>
      </c>
      <c r="G12" s="192" t="s">
        <v>640</v>
      </c>
      <c r="H12" s="180"/>
      <c r="I12" s="56" t="s">
        <v>66</v>
      </c>
      <c r="J12" s="56"/>
      <c r="K12" s="202"/>
      <c r="L12" s="27" t="s">
        <v>68</v>
      </c>
      <c r="M12" s="29"/>
      <c r="N12" s="29"/>
      <c r="O12" s="29"/>
      <c r="P12" s="29"/>
      <c r="Q12" s="29"/>
      <c r="R12" s="29"/>
      <c r="S12" s="29"/>
      <c r="T12" s="29"/>
      <c r="U12" s="29"/>
      <c r="V12" s="29"/>
      <c r="W12" s="29"/>
      <c r="X12" s="29"/>
      <c r="Y12" s="29"/>
      <c r="Z12" s="29"/>
    </row>
    <row r="13" hidden="1">
      <c r="A13" s="200">
        <v>44454.0</v>
      </c>
      <c r="B13" s="130" t="s">
        <v>19</v>
      </c>
      <c r="C13" s="8" t="s">
        <v>20</v>
      </c>
      <c r="D13" s="132" t="s">
        <v>58</v>
      </c>
      <c r="E13" s="132" t="s">
        <v>22</v>
      </c>
      <c r="F13" s="179" t="s">
        <v>16</v>
      </c>
      <c r="G13" s="205" t="s">
        <v>641</v>
      </c>
      <c r="H13" s="180"/>
      <c r="I13" s="56" t="s">
        <v>67</v>
      </c>
      <c r="J13" s="56" t="s">
        <v>74</v>
      </c>
      <c r="K13" s="202"/>
      <c r="L13" s="27" t="s">
        <v>68</v>
      </c>
      <c r="M13" s="29"/>
      <c r="N13" s="29"/>
      <c r="O13" s="29"/>
      <c r="P13" s="29"/>
      <c r="Q13" s="29"/>
      <c r="R13" s="29"/>
      <c r="S13" s="29"/>
      <c r="T13" s="29"/>
      <c r="U13" s="29"/>
      <c r="V13" s="29"/>
      <c r="W13" s="29"/>
      <c r="X13" s="29"/>
      <c r="Y13" s="29"/>
      <c r="Z13" s="29"/>
    </row>
    <row r="14" hidden="1">
      <c r="A14" s="31">
        <v>44445.0</v>
      </c>
      <c r="B14" s="169" t="s">
        <v>19</v>
      </c>
      <c r="C14" s="131" t="s">
        <v>57</v>
      </c>
      <c r="D14" s="140" t="s">
        <v>21</v>
      </c>
      <c r="E14" s="140" t="s">
        <v>22</v>
      </c>
      <c r="F14" s="134" t="s">
        <v>16</v>
      </c>
      <c r="G14" s="130" t="s">
        <v>642</v>
      </c>
      <c r="H14" s="149" t="s">
        <v>643</v>
      </c>
      <c r="I14" s="148" t="s">
        <v>334</v>
      </c>
      <c r="J14" s="148" t="s">
        <v>115</v>
      </c>
      <c r="K14" s="137"/>
      <c r="L14" s="27" t="s">
        <v>68</v>
      </c>
      <c r="M14" s="29"/>
      <c r="N14" s="29"/>
      <c r="O14" s="29"/>
      <c r="P14" s="29"/>
      <c r="Q14" s="29"/>
      <c r="R14" s="29"/>
      <c r="S14" s="29"/>
      <c r="T14" s="29"/>
      <c r="U14" s="29"/>
      <c r="V14" s="29"/>
      <c r="W14" s="29"/>
      <c r="X14" s="29"/>
      <c r="Y14" s="29"/>
      <c r="Z14" s="29"/>
    </row>
    <row r="15" hidden="1">
      <c r="A15" s="20">
        <v>44445.0</v>
      </c>
      <c r="B15" s="130" t="s">
        <v>19</v>
      </c>
      <c r="C15" s="8" t="s">
        <v>36</v>
      </c>
      <c r="D15" s="132" t="s">
        <v>14</v>
      </c>
      <c r="E15" s="132" t="s">
        <v>64</v>
      </c>
      <c r="F15" s="8" t="s">
        <v>16</v>
      </c>
      <c r="G15" s="155" t="s">
        <v>644</v>
      </c>
      <c r="H15" s="180" t="s">
        <v>61</v>
      </c>
      <c r="I15" s="56" t="s">
        <v>66</v>
      </c>
      <c r="J15" s="56" t="s">
        <v>334</v>
      </c>
      <c r="K15" s="180"/>
      <c r="L15" s="27" t="s">
        <v>71</v>
      </c>
    </row>
    <row r="16" hidden="1">
      <c r="A16" s="20">
        <v>44445.0</v>
      </c>
      <c r="B16" s="130" t="s">
        <v>19</v>
      </c>
      <c r="C16" s="8" t="s">
        <v>20</v>
      </c>
      <c r="D16" s="132" t="s">
        <v>14</v>
      </c>
      <c r="E16" s="132" t="s">
        <v>64</v>
      </c>
      <c r="F16" s="8" t="s">
        <v>16</v>
      </c>
      <c r="G16" s="155" t="s">
        <v>645</v>
      </c>
      <c r="H16" s="180" t="s">
        <v>646</v>
      </c>
      <c r="I16" s="56" t="s">
        <v>67</v>
      </c>
      <c r="J16" s="56" t="s">
        <v>66</v>
      </c>
      <c r="K16" s="180"/>
      <c r="L16" s="27" t="s">
        <v>68</v>
      </c>
    </row>
    <row r="17" hidden="1">
      <c r="A17" s="20">
        <v>44445.0</v>
      </c>
      <c r="B17" s="130" t="s">
        <v>19</v>
      </c>
      <c r="C17" s="8" t="s">
        <v>49</v>
      </c>
      <c r="D17" s="132" t="s">
        <v>58</v>
      </c>
      <c r="E17" s="132" t="s">
        <v>22</v>
      </c>
      <c r="F17" s="8" t="s">
        <v>16</v>
      </c>
      <c r="G17" s="155" t="s">
        <v>647</v>
      </c>
      <c r="H17" s="180" t="s">
        <v>61</v>
      </c>
      <c r="I17" s="56" t="s">
        <v>115</v>
      </c>
      <c r="J17" s="56"/>
      <c r="K17" s="180"/>
      <c r="L17" s="27" t="s">
        <v>71</v>
      </c>
    </row>
    <row r="18" ht="71.25" hidden="1" customHeight="1">
      <c r="A18" s="20">
        <v>44428.0</v>
      </c>
      <c r="B18" s="130" t="s">
        <v>43</v>
      </c>
      <c r="C18" s="8" t="s">
        <v>33</v>
      </c>
      <c r="D18" s="132" t="s">
        <v>21</v>
      </c>
      <c r="E18" s="132" t="s">
        <v>22</v>
      </c>
      <c r="F18" s="195" t="s">
        <v>16</v>
      </c>
      <c r="G18" s="155" t="s">
        <v>648</v>
      </c>
      <c r="H18" s="180"/>
      <c r="I18" s="56" t="s">
        <v>463</v>
      </c>
      <c r="J18" s="56"/>
      <c r="K18" s="180"/>
      <c r="L18" s="27" t="s">
        <v>71</v>
      </c>
    </row>
    <row r="19" hidden="1">
      <c r="A19" s="20">
        <v>44396.0</v>
      </c>
      <c r="B19" s="130" t="s">
        <v>43</v>
      </c>
      <c r="C19" s="8" t="s">
        <v>57</v>
      </c>
      <c r="D19" s="132" t="s">
        <v>21</v>
      </c>
      <c r="E19" s="132" t="s">
        <v>22</v>
      </c>
      <c r="F19" s="195" t="s">
        <v>16</v>
      </c>
      <c r="G19" s="155" t="s">
        <v>649</v>
      </c>
      <c r="H19" s="180"/>
      <c r="I19" s="56" t="s">
        <v>334</v>
      </c>
      <c r="J19" s="56" t="s">
        <v>70</v>
      </c>
      <c r="K19" s="180"/>
      <c r="L19" s="27" t="s">
        <v>68</v>
      </c>
    </row>
    <row r="20" ht="143.25" hidden="1" customHeight="1">
      <c r="A20" s="20">
        <v>44396.0</v>
      </c>
      <c r="B20" s="130" t="s">
        <v>43</v>
      </c>
      <c r="C20" s="8" t="s">
        <v>13</v>
      </c>
      <c r="D20" s="132" t="s">
        <v>44</v>
      </c>
      <c r="E20" s="132" t="s">
        <v>22</v>
      </c>
      <c r="F20" s="195" t="s">
        <v>16</v>
      </c>
      <c r="G20" s="155" t="s">
        <v>650</v>
      </c>
      <c r="H20" s="180" t="s">
        <v>112</v>
      </c>
      <c r="I20" s="56" t="s">
        <v>79</v>
      </c>
      <c r="J20" s="56"/>
      <c r="K20" s="180"/>
      <c r="L20" s="27" t="s">
        <v>167</v>
      </c>
    </row>
    <row r="21" ht="128.25" hidden="1" customHeight="1">
      <c r="A21" s="20">
        <v>44369.0</v>
      </c>
      <c r="B21" s="130" t="s">
        <v>56</v>
      </c>
      <c r="C21" s="8" t="s">
        <v>20</v>
      </c>
      <c r="D21" s="132" t="s">
        <v>44</v>
      </c>
      <c r="E21" s="132" t="s">
        <v>22</v>
      </c>
      <c r="F21" s="195" t="s">
        <v>16</v>
      </c>
      <c r="G21" s="155" t="s">
        <v>651</v>
      </c>
      <c r="H21" s="180" t="s">
        <v>97</v>
      </c>
      <c r="I21" s="56" t="s">
        <v>67</v>
      </c>
      <c r="J21" s="56" t="s">
        <v>66</v>
      </c>
      <c r="K21" s="180"/>
      <c r="L21" s="27" t="s">
        <v>63</v>
      </c>
    </row>
    <row r="22" ht="354.75" hidden="1" customHeight="1">
      <c r="A22" s="31">
        <v>44375.0</v>
      </c>
      <c r="B22" s="169" t="s">
        <v>56</v>
      </c>
      <c r="C22" s="131" t="s">
        <v>76</v>
      </c>
      <c r="D22" s="140" t="s">
        <v>44</v>
      </c>
      <c r="E22" s="132" t="s">
        <v>22</v>
      </c>
      <c r="F22" s="142" t="s">
        <v>16</v>
      </c>
      <c r="G22" s="155" t="s">
        <v>652</v>
      </c>
      <c r="H22" s="184" t="s">
        <v>112</v>
      </c>
      <c r="I22" s="148" t="s">
        <v>346</v>
      </c>
      <c r="J22" s="148" t="s">
        <v>132</v>
      </c>
      <c r="K22" s="30"/>
      <c r="L22" s="27" t="s">
        <v>144</v>
      </c>
      <c r="M22" s="29"/>
      <c r="N22" s="29"/>
      <c r="O22" s="29"/>
      <c r="P22" s="29"/>
      <c r="Q22" s="29"/>
      <c r="R22" s="29"/>
      <c r="S22" s="29"/>
      <c r="T22" s="29"/>
      <c r="U22" s="29"/>
      <c r="V22" s="29"/>
      <c r="W22" s="29"/>
      <c r="X22" s="29"/>
      <c r="Y22" s="29"/>
      <c r="Z22" s="29"/>
    </row>
    <row r="23" ht="93.75" hidden="1" customHeight="1">
      <c r="A23" s="20">
        <v>44396.0</v>
      </c>
      <c r="B23" s="130" t="s">
        <v>43</v>
      </c>
      <c r="C23" s="8" t="s">
        <v>76</v>
      </c>
      <c r="D23" s="132" t="s">
        <v>44</v>
      </c>
      <c r="E23" s="132" t="s">
        <v>22</v>
      </c>
      <c r="F23" s="8" t="s">
        <v>16</v>
      </c>
      <c r="G23" s="155" t="s">
        <v>653</v>
      </c>
      <c r="H23" s="180" t="s">
        <v>112</v>
      </c>
      <c r="I23" s="56" t="s">
        <v>79</v>
      </c>
      <c r="J23" s="56"/>
      <c r="K23" s="180"/>
      <c r="L23" s="27" t="s">
        <v>71</v>
      </c>
    </row>
    <row r="24" hidden="1">
      <c r="A24" s="20">
        <v>44410.0</v>
      </c>
      <c r="B24" s="130" t="s">
        <v>43</v>
      </c>
      <c r="C24" s="8" t="s">
        <v>26</v>
      </c>
      <c r="D24" s="132" t="s">
        <v>89</v>
      </c>
      <c r="E24" s="132" t="s">
        <v>64</v>
      </c>
      <c r="F24" s="8" t="s">
        <v>16</v>
      </c>
      <c r="G24" s="155" t="s">
        <v>654</v>
      </c>
      <c r="H24" s="180"/>
      <c r="I24" s="56" t="s">
        <v>70</v>
      </c>
      <c r="J24" s="56" t="s">
        <v>66</v>
      </c>
      <c r="K24" s="180"/>
      <c r="L24" s="27" t="s">
        <v>144</v>
      </c>
    </row>
    <row r="25" ht="139.5" customHeight="1">
      <c r="A25" s="20">
        <v>44390.0</v>
      </c>
      <c r="B25" s="130" t="s">
        <v>56</v>
      </c>
      <c r="C25" s="8" t="s">
        <v>57</v>
      </c>
      <c r="D25" s="132" t="s">
        <v>89</v>
      </c>
      <c r="E25" s="132" t="s">
        <v>22</v>
      </c>
      <c r="F25" s="195" t="s">
        <v>16</v>
      </c>
      <c r="G25" s="206" t="s">
        <v>655</v>
      </c>
      <c r="H25" s="180" t="s">
        <v>112</v>
      </c>
      <c r="I25" s="56" t="s">
        <v>127</v>
      </c>
      <c r="J25" s="56" t="s">
        <v>70</v>
      </c>
      <c r="K25" s="180"/>
      <c r="L25" s="27" t="s">
        <v>144</v>
      </c>
    </row>
    <row r="26" ht="82.5" hidden="1" customHeight="1">
      <c r="A26" s="20">
        <v>44375.0</v>
      </c>
      <c r="B26" s="130" t="s">
        <v>56</v>
      </c>
      <c r="C26" s="8" t="s">
        <v>76</v>
      </c>
      <c r="D26" s="132" t="s">
        <v>44</v>
      </c>
      <c r="E26" s="132" t="s">
        <v>15</v>
      </c>
      <c r="F26" s="195" t="s">
        <v>16</v>
      </c>
      <c r="G26" s="155" t="s">
        <v>656</v>
      </c>
      <c r="H26" s="180"/>
      <c r="I26" s="56" t="s">
        <v>346</v>
      </c>
      <c r="J26" s="56" t="s">
        <v>132</v>
      </c>
      <c r="K26" s="180"/>
      <c r="L26" s="27" t="s">
        <v>167</v>
      </c>
    </row>
    <row r="27" hidden="1">
      <c r="A27" s="20">
        <v>44375.0</v>
      </c>
      <c r="B27" s="130" t="s">
        <v>56</v>
      </c>
      <c r="C27" s="8" t="s">
        <v>76</v>
      </c>
      <c r="D27" s="140" t="s">
        <v>27</v>
      </c>
      <c r="E27" s="132" t="s">
        <v>22</v>
      </c>
      <c r="F27" s="195" t="s">
        <v>16</v>
      </c>
      <c r="G27" s="155" t="s">
        <v>657</v>
      </c>
      <c r="H27" s="180" t="s">
        <v>112</v>
      </c>
      <c r="I27" s="56" t="s">
        <v>79</v>
      </c>
      <c r="J27" s="56"/>
      <c r="K27" s="180"/>
      <c r="L27" s="27" t="s">
        <v>71</v>
      </c>
    </row>
    <row r="28" hidden="1">
      <c r="A28" s="20">
        <v>44375.0</v>
      </c>
      <c r="B28" s="130" t="s">
        <v>56</v>
      </c>
      <c r="C28" s="8" t="s">
        <v>13</v>
      </c>
      <c r="D28" s="132" t="s">
        <v>44</v>
      </c>
      <c r="E28" s="132" t="s">
        <v>22</v>
      </c>
      <c r="F28" s="195" t="s">
        <v>16</v>
      </c>
      <c r="G28" s="155" t="s">
        <v>658</v>
      </c>
      <c r="H28" s="180" t="s">
        <v>61</v>
      </c>
      <c r="I28" s="56" t="s">
        <v>79</v>
      </c>
      <c r="J28" s="56"/>
      <c r="K28" s="180"/>
      <c r="L28" s="27" t="s">
        <v>68</v>
      </c>
    </row>
    <row r="29" hidden="1">
      <c r="A29" s="20">
        <v>44368.0</v>
      </c>
      <c r="B29" s="130" t="s">
        <v>56</v>
      </c>
      <c r="C29" s="8" t="s">
        <v>76</v>
      </c>
      <c r="D29" s="140" t="s">
        <v>27</v>
      </c>
      <c r="E29" s="132" t="s">
        <v>64</v>
      </c>
      <c r="F29" s="142" t="s">
        <v>16</v>
      </c>
      <c r="G29" s="192" t="s">
        <v>659</v>
      </c>
      <c r="H29" s="180"/>
      <c r="I29" s="56" t="s">
        <v>346</v>
      </c>
      <c r="J29" s="56"/>
      <c r="K29" s="180"/>
      <c r="L29" s="27" t="s">
        <v>71</v>
      </c>
    </row>
    <row r="30" ht="93.75" customHeight="1">
      <c r="A30" s="20">
        <v>44375.0</v>
      </c>
      <c r="B30" s="130" t="s">
        <v>56</v>
      </c>
      <c r="C30" s="8" t="s">
        <v>30</v>
      </c>
      <c r="D30" s="132" t="s">
        <v>44</v>
      </c>
      <c r="E30" s="132" t="s">
        <v>22</v>
      </c>
      <c r="F30" s="195" t="s">
        <v>16</v>
      </c>
      <c r="G30" s="155" t="s">
        <v>660</v>
      </c>
      <c r="H30" s="180" t="s">
        <v>61</v>
      </c>
      <c r="I30" s="56" t="s">
        <v>127</v>
      </c>
      <c r="J30" s="56"/>
      <c r="K30" s="180"/>
      <c r="L30" s="27" t="s">
        <v>71</v>
      </c>
    </row>
    <row r="31" ht="132.0" hidden="1" customHeight="1">
      <c r="A31" s="20">
        <v>44369.0</v>
      </c>
      <c r="B31" s="130" t="s">
        <v>56</v>
      </c>
      <c r="C31" s="8" t="s">
        <v>13</v>
      </c>
      <c r="D31" s="140" t="s">
        <v>27</v>
      </c>
      <c r="E31" s="132" t="s">
        <v>22</v>
      </c>
      <c r="F31" s="195" t="s">
        <v>16</v>
      </c>
      <c r="G31" s="155" t="s">
        <v>661</v>
      </c>
      <c r="H31" s="180"/>
      <c r="I31" s="56" t="s">
        <v>79</v>
      </c>
      <c r="J31" s="56" t="s">
        <v>346</v>
      </c>
      <c r="K31" s="180"/>
      <c r="L31" s="27" t="s">
        <v>167</v>
      </c>
    </row>
    <row r="32" ht="110.25" customHeight="1">
      <c r="A32" s="20">
        <v>44368.0</v>
      </c>
      <c r="B32" s="130" t="s">
        <v>56</v>
      </c>
      <c r="C32" s="8" t="s">
        <v>30</v>
      </c>
      <c r="D32" s="140" t="s">
        <v>27</v>
      </c>
      <c r="E32" s="132" t="s">
        <v>22</v>
      </c>
      <c r="F32" s="142" t="s">
        <v>16</v>
      </c>
      <c r="G32" s="155" t="s">
        <v>662</v>
      </c>
      <c r="H32" s="184" t="s">
        <v>61</v>
      </c>
      <c r="I32" s="143" t="s">
        <v>127</v>
      </c>
      <c r="J32" s="143" t="s">
        <v>66</v>
      </c>
      <c r="K32" s="180"/>
      <c r="L32" s="27" t="s">
        <v>63</v>
      </c>
    </row>
    <row r="33" ht="59.25" hidden="1" customHeight="1">
      <c r="A33" s="20">
        <v>44368.0</v>
      </c>
      <c r="B33" s="130" t="s">
        <v>56</v>
      </c>
      <c r="C33" s="8" t="s">
        <v>49</v>
      </c>
      <c r="D33" s="140" t="s">
        <v>27</v>
      </c>
      <c r="E33" s="132" t="s">
        <v>22</v>
      </c>
      <c r="F33" s="142" t="s">
        <v>16</v>
      </c>
      <c r="G33" s="130" t="s">
        <v>663</v>
      </c>
      <c r="H33" s="180" t="s">
        <v>61</v>
      </c>
      <c r="I33" s="56" t="s">
        <v>115</v>
      </c>
      <c r="J33" s="56"/>
      <c r="K33" s="180"/>
      <c r="L33" s="27" t="s">
        <v>162</v>
      </c>
    </row>
    <row r="34" ht="96.75" hidden="1" customHeight="1">
      <c r="A34" s="200"/>
      <c r="B34" s="130"/>
      <c r="C34" s="8"/>
      <c r="D34" s="132"/>
      <c r="E34" s="133"/>
      <c r="F34" s="179"/>
      <c r="G34" s="207"/>
      <c r="H34" s="180"/>
      <c r="I34" s="56"/>
      <c r="J34" s="56"/>
      <c r="K34" s="180"/>
      <c r="L34" s="27"/>
    </row>
    <row r="35" ht="92.25" hidden="1" customHeight="1">
      <c r="A35" s="200"/>
      <c r="B35" s="130"/>
      <c r="C35" s="8"/>
      <c r="D35" s="132"/>
      <c r="E35" s="133"/>
      <c r="F35" s="179"/>
      <c r="G35" s="205"/>
      <c r="H35" s="180"/>
      <c r="I35" s="56"/>
      <c r="J35" s="56"/>
      <c r="K35" s="180"/>
      <c r="L35" s="27"/>
    </row>
    <row r="36" ht="77.25" hidden="1" customHeight="1">
      <c r="A36" s="200"/>
      <c r="B36" s="130"/>
      <c r="C36" s="8"/>
      <c r="D36" s="132"/>
      <c r="E36" s="133"/>
      <c r="F36" s="179"/>
      <c r="G36" s="205"/>
      <c r="H36" s="180"/>
      <c r="I36" s="56"/>
      <c r="J36" s="56"/>
      <c r="K36" s="180"/>
      <c r="L36" s="27"/>
    </row>
    <row r="37" ht="101.25" hidden="1" customHeight="1">
      <c r="A37" s="200"/>
      <c r="B37" s="130"/>
      <c r="C37" s="8"/>
      <c r="D37" s="132"/>
      <c r="E37" s="132"/>
      <c r="F37" s="179"/>
      <c r="G37" s="205"/>
      <c r="H37" s="180"/>
      <c r="I37" s="56"/>
      <c r="J37" s="56"/>
      <c r="K37" s="202"/>
      <c r="L37" s="27"/>
    </row>
    <row r="38" ht="174.75" hidden="1" customHeight="1">
      <c r="A38" s="200"/>
      <c r="B38" s="130"/>
      <c r="C38" s="8"/>
      <c r="D38" s="132"/>
      <c r="E38" s="132"/>
      <c r="F38" s="179"/>
      <c r="G38" s="205"/>
      <c r="H38" s="180"/>
      <c r="I38" s="56"/>
      <c r="J38" s="56"/>
      <c r="K38" s="202"/>
      <c r="L38" s="27"/>
    </row>
    <row r="39" ht="126.75" hidden="1" customHeight="1">
      <c r="A39" s="200"/>
      <c r="B39" s="130"/>
      <c r="C39" s="8"/>
      <c r="D39" s="132"/>
      <c r="E39" s="132"/>
      <c r="F39" s="179"/>
      <c r="G39" s="208"/>
      <c r="H39" s="180"/>
      <c r="I39" s="56"/>
      <c r="J39" s="56"/>
      <c r="K39" s="180"/>
      <c r="L39" s="27"/>
    </row>
    <row r="40" ht="198.75" hidden="1" customHeight="1">
      <c r="A40" s="200"/>
      <c r="B40" s="130"/>
      <c r="C40" s="8"/>
      <c r="D40" s="132"/>
      <c r="E40" s="132"/>
      <c r="F40" s="179"/>
      <c r="G40" s="205"/>
      <c r="H40" s="180"/>
      <c r="I40" s="56"/>
      <c r="J40" s="56"/>
      <c r="K40" s="180"/>
      <c r="L40" s="27"/>
    </row>
    <row r="41" ht="94.5" hidden="1" customHeight="1">
      <c r="A41" s="200"/>
      <c r="B41" s="130"/>
      <c r="C41" s="8"/>
      <c r="D41" s="132"/>
      <c r="E41" s="132"/>
      <c r="F41" s="179"/>
      <c r="G41" s="205"/>
      <c r="H41" s="180"/>
      <c r="I41" s="56"/>
      <c r="J41" s="56"/>
      <c r="K41" s="202"/>
      <c r="L41" s="27"/>
    </row>
    <row r="42" ht="75.75" hidden="1" customHeight="1">
      <c r="A42" s="200"/>
      <c r="B42" s="130"/>
      <c r="C42" s="8"/>
      <c r="D42" s="132"/>
      <c r="E42" s="132"/>
      <c r="F42" s="179"/>
      <c r="G42" s="205"/>
      <c r="H42" s="180"/>
      <c r="I42" s="56"/>
      <c r="J42" s="56"/>
      <c r="K42" s="202"/>
      <c r="L42" s="27"/>
    </row>
    <row r="43" ht="94.5" hidden="1" customHeight="1">
      <c r="A43" s="200"/>
      <c r="B43" s="130"/>
      <c r="C43" s="8"/>
      <c r="D43" s="132"/>
      <c r="E43" s="132"/>
      <c r="F43" s="179"/>
      <c r="G43" s="205"/>
      <c r="H43" s="34"/>
      <c r="I43" s="56"/>
      <c r="J43" s="56"/>
      <c r="K43" s="202"/>
      <c r="L43" s="27"/>
    </row>
    <row r="44" hidden="1">
      <c r="A44" s="200"/>
      <c r="B44" s="130"/>
      <c r="C44" s="8"/>
      <c r="D44" s="132"/>
      <c r="E44" s="132"/>
      <c r="F44" s="179"/>
      <c r="G44" s="205"/>
      <c r="H44" s="180"/>
      <c r="I44" s="56"/>
      <c r="J44" s="56"/>
      <c r="K44" s="202"/>
      <c r="L44" s="27"/>
    </row>
    <row r="45" hidden="1">
      <c r="A45" s="200"/>
      <c r="B45" s="130"/>
      <c r="C45" s="8"/>
      <c r="D45" s="132"/>
      <c r="E45" s="132"/>
      <c r="F45" s="179"/>
      <c r="G45" s="201"/>
      <c r="H45" s="34"/>
      <c r="I45" s="56"/>
      <c r="J45" s="56"/>
      <c r="K45" s="202"/>
      <c r="L45" s="27"/>
    </row>
    <row r="46" hidden="1">
      <c r="G46" s="186"/>
    </row>
    <row r="47" hidden="1">
      <c r="G47" s="187"/>
    </row>
    <row r="48" hidden="1">
      <c r="G48" s="187"/>
    </row>
    <row r="49" hidden="1">
      <c r="G49" s="187"/>
    </row>
    <row r="50" hidden="1">
      <c r="G50" s="187"/>
    </row>
    <row r="51" hidden="1">
      <c r="G51" s="187"/>
    </row>
    <row r="52" hidden="1">
      <c r="G52" s="187"/>
    </row>
    <row r="53" hidden="1">
      <c r="G53" s="187"/>
    </row>
    <row r="54" hidden="1">
      <c r="G54" s="187"/>
    </row>
    <row r="55" hidden="1">
      <c r="G55" s="187"/>
    </row>
    <row r="56" hidden="1">
      <c r="G56" s="187"/>
    </row>
    <row r="57" hidden="1">
      <c r="G57" s="187"/>
    </row>
    <row r="58" hidden="1">
      <c r="G58" s="187"/>
    </row>
    <row r="59" hidden="1">
      <c r="G59" s="187"/>
    </row>
    <row r="60" hidden="1">
      <c r="G60" s="187"/>
    </row>
    <row r="61" hidden="1">
      <c r="G61" s="187"/>
    </row>
    <row r="62" hidden="1">
      <c r="G62" s="187"/>
    </row>
    <row r="63" hidden="1">
      <c r="G63" s="187"/>
    </row>
    <row r="64" hidden="1">
      <c r="G64" s="187"/>
    </row>
    <row r="65" hidden="1">
      <c r="G65" s="187"/>
    </row>
    <row r="66" hidden="1">
      <c r="G66" s="187"/>
    </row>
    <row r="67" hidden="1">
      <c r="G67" s="187"/>
    </row>
    <row r="68" hidden="1">
      <c r="G68" s="187"/>
    </row>
    <row r="69" hidden="1">
      <c r="G69" s="187"/>
    </row>
    <row r="70" hidden="1">
      <c r="G70" s="187"/>
    </row>
    <row r="71" hidden="1">
      <c r="G71" s="187"/>
    </row>
    <row r="72" hidden="1">
      <c r="G72" s="187"/>
    </row>
    <row r="73" hidden="1">
      <c r="G73" s="187"/>
    </row>
    <row r="74" hidden="1">
      <c r="G74" s="187"/>
    </row>
    <row r="75" hidden="1">
      <c r="G75" s="187"/>
    </row>
    <row r="76" hidden="1">
      <c r="G76" s="187"/>
    </row>
    <row r="77" hidden="1">
      <c r="G77" s="187"/>
    </row>
    <row r="78" hidden="1">
      <c r="G78" s="187"/>
    </row>
    <row r="79" hidden="1">
      <c r="G79" s="187"/>
    </row>
    <row r="80" hidden="1">
      <c r="G80" s="187"/>
    </row>
    <row r="81" hidden="1">
      <c r="G81" s="187"/>
    </row>
    <row r="82" hidden="1">
      <c r="G82" s="187"/>
    </row>
    <row r="83" hidden="1">
      <c r="G83" s="187"/>
    </row>
    <row r="84" hidden="1">
      <c r="G84" s="187"/>
    </row>
    <row r="85" hidden="1">
      <c r="G85" s="187"/>
    </row>
    <row r="86" hidden="1">
      <c r="G86" s="187"/>
    </row>
    <row r="87" hidden="1">
      <c r="G87" s="187"/>
    </row>
    <row r="88" hidden="1">
      <c r="G88" s="187"/>
    </row>
    <row r="89" hidden="1">
      <c r="G89" s="187"/>
    </row>
    <row r="90" hidden="1">
      <c r="G90" s="187"/>
    </row>
    <row r="91" hidden="1">
      <c r="G91" s="187"/>
    </row>
    <row r="92" hidden="1">
      <c r="G92" s="187"/>
    </row>
    <row r="93" hidden="1">
      <c r="G93" s="187"/>
    </row>
    <row r="94" hidden="1">
      <c r="G94" s="187"/>
    </row>
    <row r="95" hidden="1">
      <c r="G95" s="187"/>
    </row>
    <row r="96" hidden="1">
      <c r="G96" s="187"/>
    </row>
    <row r="97" hidden="1">
      <c r="G97" s="187"/>
    </row>
    <row r="98" hidden="1">
      <c r="G98" s="187"/>
    </row>
    <row r="99" hidden="1">
      <c r="G99" s="187"/>
    </row>
    <row r="100" hidden="1">
      <c r="G100" s="187"/>
    </row>
    <row r="101" hidden="1">
      <c r="G101" s="187"/>
    </row>
    <row r="102" hidden="1">
      <c r="G102" s="187"/>
    </row>
    <row r="103" hidden="1">
      <c r="G103" s="187"/>
    </row>
    <row r="104" hidden="1">
      <c r="G104" s="187"/>
    </row>
    <row r="105" hidden="1">
      <c r="G105" s="187"/>
    </row>
    <row r="106" hidden="1">
      <c r="G106" s="187"/>
    </row>
    <row r="107" hidden="1">
      <c r="G107" s="187"/>
    </row>
    <row r="108" hidden="1">
      <c r="G108" s="187"/>
    </row>
    <row r="109" hidden="1">
      <c r="G109" s="187"/>
    </row>
    <row r="110" hidden="1">
      <c r="G110" s="187"/>
    </row>
    <row r="111" hidden="1">
      <c r="G111" s="187"/>
    </row>
    <row r="112" hidden="1">
      <c r="G112" s="187"/>
    </row>
    <row r="113" hidden="1">
      <c r="G113" s="187"/>
    </row>
    <row r="114" hidden="1">
      <c r="G114" s="187"/>
    </row>
    <row r="115" hidden="1">
      <c r="G115" s="187"/>
    </row>
    <row r="116" hidden="1">
      <c r="G116" s="187"/>
    </row>
    <row r="117" hidden="1">
      <c r="G117" s="187"/>
    </row>
    <row r="118" hidden="1">
      <c r="G118" s="187"/>
    </row>
    <row r="119" hidden="1">
      <c r="G119" s="187"/>
    </row>
    <row r="120" hidden="1">
      <c r="G120" s="187"/>
    </row>
    <row r="121" hidden="1">
      <c r="G121" s="187"/>
    </row>
    <row r="122" hidden="1">
      <c r="G122" s="187"/>
    </row>
    <row r="123" hidden="1">
      <c r="G123" s="187"/>
    </row>
    <row r="124" hidden="1">
      <c r="G124" s="187"/>
    </row>
    <row r="125" hidden="1">
      <c r="G125" s="187"/>
    </row>
    <row r="126" hidden="1">
      <c r="G126" s="187"/>
    </row>
    <row r="127" hidden="1">
      <c r="G127" s="187"/>
    </row>
    <row r="128" hidden="1">
      <c r="G128" s="187"/>
    </row>
    <row r="129" hidden="1">
      <c r="G129" s="187"/>
    </row>
    <row r="130" hidden="1">
      <c r="G130" s="187"/>
    </row>
    <row r="131" hidden="1">
      <c r="G131" s="187"/>
    </row>
    <row r="132" hidden="1">
      <c r="G132" s="187"/>
    </row>
    <row r="133" hidden="1">
      <c r="G133" s="187"/>
    </row>
    <row r="134" hidden="1">
      <c r="G134" s="187"/>
    </row>
    <row r="135" hidden="1">
      <c r="G135" s="187"/>
    </row>
    <row r="136" hidden="1">
      <c r="G136" s="187"/>
    </row>
    <row r="137" hidden="1">
      <c r="G137" s="187"/>
    </row>
    <row r="138" hidden="1">
      <c r="G138" s="187"/>
    </row>
    <row r="139" hidden="1">
      <c r="G139" s="187"/>
    </row>
    <row r="140" hidden="1">
      <c r="G140" s="187"/>
    </row>
    <row r="141" hidden="1">
      <c r="G141" s="187"/>
    </row>
    <row r="142" hidden="1">
      <c r="G142" s="187"/>
    </row>
    <row r="143" hidden="1">
      <c r="G143" s="187"/>
    </row>
    <row r="144" hidden="1">
      <c r="G144" s="187"/>
    </row>
    <row r="145" hidden="1">
      <c r="G145" s="187"/>
    </row>
    <row r="146" hidden="1">
      <c r="G146" s="187"/>
    </row>
    <row r="147" hidden="1">
      <c r="G147" s="187"/>
    </row>
    <row r="148" hidden="1">
      <c r="G148" s="187"/>
    </row>
    <row r="149" hidden="1">
      <c r="G149" s="187"/>
    </row>
    <row r="150" hidden="1">
      <c r="G150" s="187"/>
    </row>
    <row r="151" hidden="1">
      <c r="G151" s="187"/>
    </row>
    <row r="152" hidden="1">
      <c r="G152" s="187"/>
    </row>
    <row r="153" hidden="1">
      <c r="G153" s="187"/>
    </row>
    <row r="154" hidden="1">
      <c r="G154" s="187"/>
    </row>
    <row r="155" hidden="1">
      <c r="G155" s="187"/>
    </row>
    <row r="156" hidden="1">
      <c r="G156" s="187"/>
    </row>
    <row r="157" hidden="1">
      <c r="G157" s="187"/>
    </row>
    <row r="158" hidden="1">
      <c r="G158" s="187"/>
    </row>
    <row r="159" hidden="1">
      <c r="G159" s="187"/>
    </row>
    <row r="160" hidden="1">
      <c r="G160" s="187"/>
    </row>
    <row r="161" hidden="1">
      <c r="G161" s="187"/>
    </row>
    <row r="162" hidden="1">
      <c r="G162" s="187"/>
    </row>
    <row r="163" hidden="1">
      <c r="G163" s="187"/>
    </row>
    <row r="164" hidden="1">
      <c r="G164" s="187"/>
    </row>
    <row r="165" hidden="1">
      <c r="G165" s="187"/>
    </row>
    <row r="166" hidden="1">
      <c r="G166" s="187"/>
    </row>
    <row r="167" hidden="1">
      <c r="G167" s="187"/>
    </row>
    <row r="168" hidden="1">
      <c r="G168" s="187"/>
    </row>
    <row r="169" hidden="1">
      <c r="G169" s="187"/>
    </row>
    <row r="170" hidden="1">
      <c r="G170" s="187"/>
    </row>
    <row r="171" hidden="1">
      <c r="G171" s="187"/>
    </row>
    <row r="172" hidden="1">
      <c r="G172" s="187"/>
    </row>
    <row r="173" hidden="1">
      <c r="G173" s="187"/>
    </row>
    <row r="174" hidden="1">
      <c r="G174" s="187"/>
    </row>
    <row r="175" hidden="1">
      <c r="G175" s="187"/>
    </row>
    <row r="176" hidden="1">
      <c r="G176" s="187"/>
    </row>
    <row r="177" hidden="1">
      <c r="G177" s="187"/>
    </row>
    <row r="178" hidden="1">
      <c r="G178" s="187"/>
    </row>
    <row r="179" hidden="1">
      <c r="G179" s="187"/>
    </row>
    <row r="180" hidden="1">
      <c r="G180" s="187"/>
    </row>
    <row r="181" hidden="1">
      <c r="G181" s="187"/>
    </row>
    <row r="182" hidden="1">
      <c r="G182" s="187"/>
    </row>
    <row r="183" hidden="1">
      <c r="G183" s="187"/>
    </row>
    <row r="184" hidden="1">
      <c r="G184" s="187"/>
    </row>
    <row r="185" hidden="1">
      <c r="G185" s="187"/>
    </row>
    <row r="186" hidden="1">
      <c r="G186" s="187"/>
    </row>
    <row r="187" hidden="1">
      <c r="G187" s="187"/>
    </row>
    <row r="188" hidden="1">
      <c r="G188" s="187"/>
    </row>
    <row r="189" hidden="1">
      <c r="G189" s="187"/>
    </row>
    <row r="190" hidden="1">
      <c r="G190" s="187"/>
    </row>
    <row r="191" hidden="1">
      <c r="G191" s="187"/>
    </row>
    <row r="192" hidden="1">
      <c r="G192" s="187"/>
    </row>
    <row r="193" hidden="1">
      <c r="G193" s="187"/>
    </row>
    <row r="194" hidden="1">
      <c r="G194" s="187"/>
    </row>
    <row r="195" hidden="1">
      <c r="G195" s="187"/>
    </row>
    <row r="196" hidden="1">
      <c r="G196" s="187"/>
    </row>
    <row r="197" hidden="1">
      <c r="G197" s="187"/>
    </row>
    <row r="198" hidden="1">
      <c r="G198" s="187"/>
    </row>
    <row r="199" hidden="1">
      <c r="G199" s="187"/>
    </row>
    <row r="200" hidden="1">
      <c r="G200" s="187"/>
    </row>
    <row r="201" hidden="1">
      <c r="G201" s="187"/>
    </row>
    <row r="202" hidden="1">
      <c r="G202" s="187"/>
    </row>
    <row r="203" hidden="1">
      <c r="G203" s="187"/>
    </row>
    <row r="204" hidden="1">
      <c r="G204" s="187"/>
    </row>
    <row r="205" hidden="1">
      <c r="G205" s="187"/>
    </row>
    <row r="206" hidden="1">
      <c r="G206" s="187"/>
    </row>
    <row r="207" hidden="1">
      <c r="G207" s="187"/>
    </row>
    <row r="208" hidden="1">
      <c r="G208" s="187"/>
    </row>
    <row r="209" hidden="1">
      <c r="G209" s="187"/>
    </row>
    <row r="210" hidden="1">
      <c r="G210" s="187"/>
    </row>
    <row r="211" hidden="1">
      <c r="G211" s="187"/>
    </row>
    <row r="212" hidden="1">
      <c r="G212" s="187"/>
    </row>
    <row r="213" hidden="1">
      <c r="G213" s="187"/>
    </row>
    <row r="214" hidden="1">
      <c r="G214" s="187"/>
    </row>
    <row r="215" hidden="1">
      <c r="G215" s="187"/>
    </row>
    <row r="216" hidden="1">
      <c r="G216" s="187"/>
    </row>
    <row r="217" hidden="1">
      <c r="G217" s="187"/>
    </row>
    <row r="218" hidden="1">
      <c r="G218" s="187"/>
    </row>
    <row r="219" hidden="1">
      <c r="G219" s="187"/>
    </row>
    <row r="220" hidden="1">
      <c r="G220" s="187"/>
    </row>
    <row r="221" hidden="1">
      <c r="G221" s="187"/>
    </row>
    <row r="222" hidden="1">
      <c r="G222" s="187"/>
    </row>
    <row r="223" hidden="1">
      <c r="G223" s="187"/>
    </row>
    <row r="224" hidden="1">
      <c r="G224" s="187"/>
    </row>
    <row r="225" hidden="1">
      <c r="G225" s="187"/>
    </row>
    <row r="226" hidden="1">
      <c r="G226" s="187"/>
    </row>
    <row r="227" hidden="1">
      <c r="G227" s="187"/>
    </row>
    <row r="228" hidden="1">
      <c r="G228" s="187"/>
    </row>
    <row r="229" hidden="1">
      <c r="G229" s="187"/>
    </row>
    <row r="230" hidden="1">
      <c r="G230" s="187"/>
    </row>
    <row r="231" hidden="1">
      <c r="G231" s="187"/>
    </row>
    <row r="232" hidden="1">
      <c r="G232" s="187"/>
    </row>
    <row r="233" hidden="1">
      <c r="G233" s="187"/>
    </row>
    <row r="234" hidden="1">
      <c r="G234" s="187"/>
    </row>
    <row r="235" hidden="1">
      <c r="G235" s="187"/>
    </row>
    <row r="236" hidden="1">
      <c r="G236" s="187"/>
    </row>
    <row r="237" hidden="1">
      <c r="G237" s="187"/>
    </row>
    <row r="238" hidden="1">
      <c r="G238" s="187"/>
    </row>
    <row r="239" hidden="1">
      <c r="G239" s="187"/>
    </row>
    <row r="240" hidden="1">
      <c r="G240" s="187"/>
    </row>
    <row r="241" hidden="1">
      <c r="G241" s="187"/>
    </row>
    <row r="242" hidden="1">
      <c r="G242" s="187"/>
    </row>
    <row r="243" hidden="1">
      <c r="G243" s="187"/>
    </row>
    <row r="244" hidden="1">
      <c r="G244" s="187"/>
    </row>
    <row r="245" hidden="1">
      <c r="G245" s="187"/>
    </row>
    <row r="246" hidden="1">
      <c r="G246" s="187"/>
    </row>
    <row r="247" hidden="1">
      <c r="G247" s="187"/>
    </row>
    <row r="248" hidden="1">
      <c r="G248" s="187"/>
    </row>
    <row r="249" hidden="1">
      <c r="G249" s="187"/>
    </row>
    <row r="250" hidden="1">
      <c r="G250" s="187"/>
    </row>
    <row r="251" hidden="1">
      <c r="G251" s="187"/>
    </row>
    <row r="252" hidden="1">
      <c r="G252" s="187"/>
    </row>
    <row r="253" hidden="1">
      <c r="G253" s="187"/>
    </row>
    <row r="254" hidden="1">
      <c r="G254" s="187"/>
    </row>
    <row r="255" hidden="1">
      <c r="G255" s="187"/>
    </row>
    <row r="256" hidden="1">
      <c r="G256" s="187"/>
    </row>
    <row r="257" hidden="1">
      <c r="G257" s="187"/>
    </row>
    <row r="258" hidden="1">
      <c r="G258" s="187"/>
    </row>
    <row r="259" hidden="1">
      <c r="G259" s="187"/>
    </row>
    <row r="260" hidden="1">
      <c r="G260" s="187"/>
    </row>
    <row r="261" hidden="1">
      <c r="G261" s="187"/>
    </row>
    <row r="262" hidden="1">
      <c r="G262" s="187"/>
    </row>
    <row r="263" hidden="1">
      <c r="G263" s="187"/>
    </row>
    <row r="264" hidden="1">
      <c r="G264" s="187"/>
    </row>
    <row r="265" hidden="1">
      <c r="G265" s="187"/>
    </row>
    <row r="266" hidden="1">
      <c r="G266" s="187"/>
    </row>
    <row r="267" hidden="1">
      <c r="G267" s="187"/>
    </row>
    <row r="268" hidden="1">
      <c r="G268" s="187"/>
    </row>
    <row r="269" hidden="1">
      <c r="G269" s="187"/>
    </row>
    <row r="270" hidden="1">
      <c r="G270" s="187"/>
    </row>
    <row r="271" hidden="1">
      <c r="G271" s="187"/>
    </row>
    <row r="272" hidden="1">
      <c r="G272" s="187"/>
    </row>
    <row r="273" hidden="1">
      <c r="G273" s="187"/>
    </row>
    <row r="274" hidden="1">
      <c r="G274" s="187"/>
    </row>
    <row r="275" hidden="1">
      <c r="G275" s="187"/>
    </row>
    <row r="276" hidden="1">
      <c r="G276" s="187"/>
    </row>
    <row r="277" hidden="1">
      <c r="G277" s="187"/>
    </row>
    <row r="278" hidden="1">
      <c r="G278" s="187"/>
    </row>
    <row r="279" hidden="1">
      <c r="G279" s="187"/>
    </row>
    <row r="280" hidden="1">
      <c r="G280" s="187"/>
    </row>
    <row r="281" hidden="1">
      <c r="G281" s="187"/>
    </row>
    <row r="282" hidden="1">
      <c r="G282" s="187"/>
    </row>
    <row r="283" hidden="1">
      <c r="G283" s="187"/>
    </row>
    <row r="284" hidden="1">
      <c r="G284" s="187"/>
    </row>
    <row r="285" hidden="1">
      <c r="G285" s="187"/>
    </row>
    <row r="286" hidden="1">
      <c r="G286" s="187"/>
    </row>
    <row r="287" hidden="1">
      <c r="G287" s="187"/>
    </row>
    <row r="288" hidden="1">
      <c r="G288" s="187"/>
    </row>
    <row r="289" hidden="1">
      <c r="G289" s="187"/>
    </row>
    <row r="290" hidden="1">
      <c r="G290" s="187"/>
    </row>
    <row r="291" hidden="1">
      <c r="G291" s="187"/>
    </row>
    <row r="292" hidden="1">
      <c r="G292" s="187"/>
    </row>
    <row r="293" hidden="1">
      <c r="G293" s="187"/>
    </row>
    <row r="294" hidden="1">
      <c r="G294" s="187"/>
    </row>
    <row r="295" hidden="1">
      <c r="G295" s="187"/>
    </row>
    <row r="296" hidden="1">
      <c r="G296" s="187"/>
    </row>
    <row r="297" hidden="1">
      <c r="G297" s="187"/>
    </row>
    <row r="298" hidden="1">
      <c r="G298" s="187"/>
    </row>
    <row r="299" hidden="1">
      <c r="G299" s="187"/>
    </row>
    <row r="300" hidden="1">
      <c r="G300" s="187"/>
    </row>
    <row r="301" hidden="1">
      <c r="G301" s="187"/>
    </row>
    <row r="302" hidden="1">
      <c r="G302" s="187"/>
    </row>
    <row r="303" hidden="1">
      <c r="G303" s="187"/>
    </row>
    <row r="304" hidden="1">
      <c r="G304" s="187"/>
    </row>
    <row r="305" hidden="1">
      <c r="G305" s="187"/>
    </row>
    <row r="306" hidden="1">
      <c r="G306" s="187"/>
    </row>
    <row r="307" hidden="1">
      <c r="G307" s="187"/>
    </row>
    <row r="308" hidden="1">
      <c r="G308" s="187"/>
    </row>
    <row r="309" hidden="1">
      <c r="G309" s="187"/>
    </row>
    <row r="310" hidden="1">
      <c r="G310" s="187"/>
    </row>
    <row r="311" hidden="1">
      <c r="G311" s="187"/>
    </row>
    <row r="312" hidden="1">
      <c r="G312" s="187"/>
    </row>
    <row r="313" hidden="1">
      <c r="G313" s="187"/>
    </row>
    <row r="314" hidden="1">
      <c r="G314" s="187"/>
    </row>
    <row r="315" hidden="1">
      <c r="G315" s="187"/>
    </row>
    <row r="316" hidden="1">
      <c r="G316" s="187"/>
    </row>
    <row r="317" hidden="1">
      <c r="G317" s="187"/>
    </row>
    <row r="318" hidden="1">
      <c r="G318" s="187"/>
    </row>
    <row r="319" hidden="1">
      <c r="G319" s="187"/>
    </row>
    <row r="320" hidden="1">
      <c r="G320" s="187"/>
    </row>
    <row r="321" hidden="1">
      <c r="G321" s="187"/>
    </row>
    <row r="322" hidden="1">
      <c r="G322" s="187"/>
    </row>
    <row r="323" hidden="1">
      <c r="G323" s="187"/>
    </row>
    <row r="324" hidden="1">
      <c r="G324" s="187"/>
    </row>
    <row r="325" hidden="1">
      <c r="G325" s="187"/>
    </row>
    <row r="326" hidden="1">
      <c r="G326" s="187"/>
    </row>
    <row r="327" hidden="1">
      <c r="G327" s="187"/>
    </row>
    <row r="328" hidden="1">
      <c r="G328" s="187"/>
    </row>
    <row r="329" hidden="1">
      <c r="G329" s="187"/>
    </row>
    <row r="330" hidden="1">
      <c r="G330" s="187"/>
    </row>
    <row r="331" hidden="1">
      <c r="G331" s="187"/>
    </row>
    <row r="332" hidden="1">
      <c r="G332" s="187"/>
    </row>
    <row r="333" hidden="1">
      <c r="G333" s="187"/>
    </row>
    <row r="334" hidden="1">
      <c r="G334" s="187"/>
    </row>
    <row r="335" hidden="1">
      <c r="G335" s="187"/>
    </row>
    <row r="336" hidden="1">
      <c r="G336" s="187"/>
    </row>
    <row r="337" hidden="1">
      <c r="G337" s="187"/>
    </row>
    <row r="338" hidden="1">
      <c r="G338" s="187"/>
    </row>
    <row r="339" hidden="1">
      <c r="G339" s="187"/>
    </row>
    <row r="340" hidden="1">
      <c r="G340" s="187"/>
    </row>
    <row r="341" hidden="1">
      <c r="G341" s="187"/>
    </row>
    <row r="342" hidden="1">
      <c r="G342" s="187"/>
    </row>
    <row r="343" hidden="1">
      <c r="G343" s="187"/>
    </row>
    <row r="344" hidden="1">
      <c r="G344" s="187"/>
    </row>
    <row r="345" hidden="1">
      <c r="G345" s="187"/>
    </row>
    <row r="346" hidden="1">
      <c r="G346" s="187"/>
    </row>
    <row r="347" hidden="1">
      <c r="G347" s="187"/>
    </row>
    <row r="348" hidden="1">
      <c r="G348" s="187"/>
    </row>
    <row r="349" hidden="1">
      <c r="G349" s="187"/>
    </row>
    <row r="350" hidden="1">
      <c r="G350" s="187"/>
    </row>
    <row r="351" hidden="1">
      <c r="G351" s="187"/>
    </row>
    <row r="352" hidden="1">
      <c r="G352" s="187"/>
    </row>
    <row r="353" hidden="1">
      <c r="G353" s="187"/>
    </row>
    <row r="354" hidden="1">
      <c r="G354" s="187"/>
    </row>
    <row r="355" hidden="1">
      <c r="G355" s="187"/>
    </row>
    <row r="356" hidden="1">
      <c r="G356" s="187"/>
    </row>
    <row r="357" hidden="1">
      <c r="G357" s="187"/>
    </row>
    <row r="358" hidden="1">
      <c r="G358" s="187"/>
    </row>
    <row r="359" hidden="1">
      <c r="G359" s="187"/>
    </row>
    <row r="360" hidden="1">
      <c r="G360" s="187"/>
    </row>
    <row r="361" hidden="1">
      <c r="G361" s="187"/>
    </row>
    <row r="362" hidden="1">
      <c r="G362" s="187"/>
    </row>
    <row r="363" hidden="1">
      <c r="G363" s="187"/>
    </row>
    <row r="364" hidden="1">
      <c r="G364" s="187"/>
    </row>
    <row r="365" hidden="1">
      <c r="G365" s="187"/>
    </row>
    <row r="366" hidden="1">
      <c r="G366" s="187"/>
    </row>
    <row r="367" hidden="1">
      <c r="G367" s="187"/>
    </row>
    <row r="368" hidden="1">
      <c r="G368" s="187"/>
    </row>
    <row r="369" hidden="1">
      <c r="G369" s="187"/>
    </row>
    <row r="370" hidden="1">
      <c r="G370" s="187"/>
    </row>
    <row r="371" hidden="1">
      <c r="G371" s="187"/>
    </row>
    <row r="372" hidden="1">
      <c r="G372" s="187"/>
    </row>
    <row r="373" hidden="1">
      <c r="G373" s="187"/>
    </row>
    <row r="374" hidden="1">
      <c r="G374" s="187"/>
    </row>
    <row r="375" hidden="1">
      <c r="G375" s="187"/>
    </row>
    <row r="376" hidden="1">
      <c r="G376" s="187"/>
    </row>
    <row r="377" hidden="1">
      <c r="G377" s="187"/>
    </row>
    <row r="378" hidden="1">
      <c r="G378" s="187"/>
    </row>
    <row r="379" hidden="1">
      <c r="G379" s="187"/>
    </row>
    <row r="380" hidden="1">
      <c r="G380" s="187"/>
    </row>
    <row r="381" hidden="1">
      <c r="G381" s="187"/>
    </row>
    <row r="382" hidden="1">
      <c r="G382" s="187"/>
    </row>
    <row r="383" hidden="1">
      <c r="G383" s="187"/>
    </row>
    <row r="384" hidden="1">
      <c r="G384" s="187"/>
    </row>
    <row r="385" hidden="1">
      <c r="G385" s="187"/>
    </row>
    <row r="386" hidden="1">
      <c r="G386" s="187"/>
    </row>
    <row r="387" hidden="1">
      <c r="G387" s="187"/>
    </row>
    <row r="388" hidden="1">
      <c r="G388" s="187"/>
    </row>
    <row r="389" hidden="1">
      <c r="G389" s="187"/>
    </row>
    <row r="390" hidden="1">
      <c r="G390" s="187"/>
    </row>
    <row r="391" hidden="1">
      <c r="G391" s="187"/>
    </row>
    <row r="392" hidden="1">
      <c r="G392" s="187"/>
    </row>
    <row r="393" hidden="1">
      <c r="G393" s="187"/>
    </row>
    <row r="394" hidden="1">
      <c r="G394" s="187"/>
    </row>
    <row r="395" hidden="1">
      <c r="G395" s="187"/>
    </row>
    <row r="396" hidden="1">
      <c r="G396" s="187"/>
    </row>
    <row r="397" hidden="1">
      <c r="G397" s="187"/>
    </row>
    <row r="398" hidden="1">
      <c r="G398" s="187"/>
    </row>
    <row r="399" hidden="1">
      <c r="G399" s="187"/>
    </row>
    <row r="400" hidden="1">
      <c r="G400" s="187"/>
    </row>
    <row r="401" hidden="1">
      <c r="G401" s="187"/>
    </row>
    <row r="402" hidden="1">
      <c r="G402" s="187"/>
    </row>
    <row r="403" hidden="1">
      <c r="G403" s="187"/>
    </row>
    <row r="404" hidden="1">
      <c r="G404" s="187"/>
    </row>
    <row r="405" hidden="1">
      <c r="G405" s="187"/>
    </row>
    <row r="406" hidden="1">
      <c r="G406" s="187"/>
    </row>
    <row r="407" hidden="1">
      <c r="G407" s="187"/>
    </row>
    <row r="408" hidden="1">
      <c r="G408" s="187"/>
    </row>
    <row r="409" hidden="1">
      <c r="G409" s="187"/>
    </row>
    <row r="410" hidden="1">
      <c r="G410" s="187"/>
    </row>
    <row r="411" hidden="1">
      <c r="G411" s="187"/>
    </row>
    <row r="412" hidden="1">
      <c r="G412" s="187"/>
    </row>
    <row r="413" hidden="1">
      <c r="G413" s="187"/>
    </row>
    <row r="414" hidden="1">
      <c r="G414" s="187"/>
    </row>
    <row r="415" hidden="1">
      <c r="G415" s="187"/>
    </row>
    <row r="416" hidden="1">
      <c r="G416" s="187"/>
    </row>
    <row r="417" hidden="1">
      <c r="G417" s="187"/>
    </row>
    <row r="418" hidden="1">
      <c r="G418" s="187"/>
    </row>
    <row r="419" hidden="1">
      <c r="G419" s="187"/>
    </row>
    <row r="420" hidden="1">
      <c r="G420" s="187"/>
    </row>
    <row r="421" hidden="1">
      <c r="G421" s="187"/>
    </row>
    <row r="422" hidden="1">
      <c r="G422" s="187"/>
    </row>
    <row r="423" hidden="1">
      <c r="G423" s="187"/>
    </row>
    <row r="424" hidden="1">
      <c r="G424" s="187"/>
    </row>
    <row r="425" hidden="1">
      <c r="G425" s="187"/>
    </row>
    <row r="426" hidden="1">
      <c r="G426" s="187"/>
    </row>
    <row r="427" hidden="1">
      <c r="G427" s="187"/>
    </row>
    <row r="428" hidden="1">
      <c r="G428" s="187"/>
    </row>
    <row r="429" hidden="1">
      <c r="G429" s="187"/>
    </row>
    <row r="430" hidden="1">
      <c r="G430" s="187"/>
    </row>
    <row r="431" hidden="1">
      <c r="G431" s="187"/>
    </row>
    <row r="432" hidden="1">
      <c r="G432" s="187"/>
    </row>
    <row r="433" hidden="1">
      <c r="G433" s="187"/>
    </row>
    <row r="434" hidden="1">
      <c r="G434" s="187"/>
    </row>
    <row r="435" hidden="1">
      <c r="G435" s="187"/>
    </row>
    <row r="436" hidden="1">
      <c r="G436" s="187"/>
    </row>
    <row r="437" hidden="1">
      <c r="G437" s="187"/>
    </row>
    <row r="438" hidden="1">
      <c r="G438" s="187"/>
    </row>
    <row r="439" hidden="1">
      <c r="G439" s="187"/>
    </row>
    <row r="440" hidden="1">
      <c r="G440" s="187"/>
    </row>
    <row r="441" hidden="1">
      <c r="G441" s="187"/>
    </row>
    <row r="442" hidden="1">
      <c r="G442" s="187"/>
    </row>
    <row r="443" hidden="1">
      <c r="G443" s="187"/>
    </row>
    <row r="444" hidden="1">
      <c r="G444" s="187"/>
    </row>
    <row r="445" hidden="1">
      <c r="G445" s="187"/>
    </row>
    <row r="446" hidden="1">
      <c r="G446" s="187"/>
    </row>
    <row r="447" hidden="1">
      <c r="G447" s="187"/>
    </row>
    <row r="448" hidden="1">
      <c r="G448" s="187"/>
    </row>
    <row r="449" hidden="1">
      <c r="G449" s="187"/>
    </row>
    <row r="450" hidden="1">
      <c r="G450" s="187"/>
    </row>
    <row r="451" hidden="1">
      <c r="G451" s="187"/>
    </row>
    <row r="452" hidden="1">
      <c r="G452" s="187"/>
    </row>
    <row r="453" hidden="1">
      <c r="G453" s="187"/>
    </row>
    <row r="454" hidden="1">
      <c r="G454" s="187"/>
    </row>
    <row r="455" hidden="1">
      <c r="G455" s="187"/>
    </row>
    <row r="456" hidden="1">
      <c r="G456" s="187"/>
    </row>
    <row r="457" hidden="1">
      <c r="G457" s="187"/>
    </row>
    <row r="458" hidden="1">
      <c r="G458" s="187"/>
    </row>
    <row r="459" hidden="1">
      <c r="G459" s="187"/>
    </row>
    <row r="460" hidden="1">
      <c r="G460" s="187"/>
    </row>
    <row r="461" hidden="1">
      <c r="G461" s="187"/>
    </row>
    <row r="462" hidden="1">
      <c r="G462" s="187"/>
    </row>
    <row r="463" hidden="1">
      <c r="G463" s="187"/>
    </row>
    <row r="464" hidden="1">
      <c r="G464" s="187"/>
    </row>
    <row r="465" hidden="1">
      <c r="G465" s="187"/>
    </row>
    <row r="466" hidden="1">
      <c r="G466" s="187"/>
    </row>
    <row r="467" hidden="1">
      <c r="G467" s="187"/>
    </row>
    <row r="468" hidden="1">
      <c r="G468" s="187"/>
    </row>
    <row r="469" hidden="1">
      <c r="G469" s="187"/>
    </row>
    <row r="470" hidden="1">
      <c r="G470" s="187"/>
    </row>
    <row r="471" hidden="1">
      <c r="G471" s="187"/>
    </row>
    <row r="472" hidden="1">
      <c r="G472" s="187"/>
    </row>
    <row r="473" hidden="1">
      <c r="G473" s="187"/>
    </row>
    <row r="474" hidden="1">
      <c r="G474" s="187"/>
    </row>
    <row r="475" hidden="1">
      <c r="G475" s="187"/>
    </row>
    <row r="476" hidden="1">
      <c r="G476" s="187"/>
    </row>
    <row r="477" hidden="1">
      <c r="G477" s="187"/>
    </row>
    <row r="478" hidden="1">
      <c r="G478" s="187"/>
    </row>
    <row r="479" hidden="1">
      <c r="G479" s="187"/>
    </row>
    <row r="480" hidden="1">
      <c r="G480" s="187"/>
    </row>
    <row r="481" hidden="1">
      <c r="G481" s="187"/>
    </row>
    <row r="482" hidden="1">
      <c r="G482" s="187"/>
    </row>
    <row r="483" hidden="1">
      <c r="G483" s="187"/>
    </row>
    <row r="484" hidden="1">
      <c r="G484" s="187"/>
    </row>
    <row r="485" hidden="1">
      <c r="G485" s="187"/>
    </row>
    <row r="486" hidden="1">
      <c r="G486" s="187"/>
    </row>
    <row r="487" hidden="1">
      <c r="G487" s="187"/>
    </row>
    <row r="488" hidden="1">
      <c r="G488" s="187"/>
    </row>
    <row r="489" hidden="1">
      <c r="G489" s="187"/>
    </row>
    <row r="490" hidden="1">
      <c r="G490" s="187"/>
    </row>
    <row r="491" hidden="1">
      <c r="G491" s="187"/>
    </row>
    <row r="492" hidden="1">
      <c r="G492" s="187"/>
    </row>
    <row r="493" hidden="1">
      <c r="G493" s="187"/>
    </row>
    <row r="494" hidden="1">
      <c r="G494" s="187"/>
    </row>
    <row r="495" hidden="1">
      <c r="G495" s="187"/>
    </row>
    <row r="496" hidden="1">
      <c r="G496" s="187"/>
    </row>
    <row r="497" hidden="1">
      <c r="G497" s="187"/>
    </row>
    <row r="498" hidden="1">
      <c r="G498" s="187"/>
    </row>
    <row r="499" hidden="1">
      <c r="G499" s="187"/>
    </row>
    <row r="500" hidden="1">
      <c r="G500" s="187"/>
    </row>
    <row r="501" hidden="1">
      <c r="G501" s="187"/>
    </row>
    <row r="502" hidden="1">
      <c r="G502" s="187"/>
    </row>
    <row r="503" hidden="1">
      <c r="G503" s="187"/>
    </row>
    <row r="504" hidden="1">
      <c r="G504" s="187"/>
    </row>
    <row r="505" hidden="1">
      <c r="G505" s="187"/>
    </row>
    <row r="506" hidden="1">
      <c r="G506" s="187"/>
    </row>
    <row r="507" hidden="1">
      <c r="G507" s="187"/>
    </row>
    <row r="508" hidden="1">
      <c r="G508" s="187"/>
    </row>
    <row r="509" hidden="1">
      <c r="G509" s="187"/>
    </row>
    <row r="510" hidden="1">
      <c r="G510" s="187"/>
    </row>
    <row r="511" hidden="1">
      <c r="G511" s="187"/>
    </row>
    <row r="512" hidden="1">
      <c r="G512" s="187"/>
    </row>
    <row r="513" hidden="1">
      <c r="G513" s="187"/>
    </row>
    <row r="514" hidden="1">
      <c r="G514" s="187"/>
    </row>
    <row r="515" hidden="1">
      <c r="G515" s="187"/>
    </row>
    <row r="516" hidden="1">
      <c r="G516" s="187"/>
    </row>
    <row r="517" hidden="1">
      <c r="G517" s="187"/>
    </row>
    <row r="518" hidden="1">
      <c r="G518" s="187"/>
    </row>
    <row r="519" hidden="1">
      <c r="G519" s="187"/>
    </row>
    <row r="520" hidden="1">
      <c r="G520" s="187"/>
    </row>
    <row r="521" hidden="1">
      <c r="G521" s="187"/>
    </row>
    <row r="522" hidden="1">
      <c r="G522" s="187"/>
    </row>
    <row r="523" hidden="1">
      <c r="G523" s="187"/>
    </row>
    <row r="524" hidden="1">
      <c r="G524" s="187"/>
    </row>
    <row r="525" hidden="1">
      <c r="G525" s="187"/>
    </row>
    <row r="526" hidden="1">
      <c r="G526" s="187"/>
    </row>
    <row r="527" hidden="1">
      <c r="G527" s="187"/>
    </row>
    <row r="528" hidden="1">
      <c r="G528" s="187"/>
    </row>
    <row r="529" hidden="1">
      <c r="G529" s="187"/>
    </row>
    <row r="530" hidden="1">
      <c r="G530" s="187"/>
    </row>
    <row r="531" hidden="1">
      <c r="G531" s="187"/>
    </row>
    <row r="532" hidden="1">
      <c r="G532" s="187"/>
    </row>
    <row r="533" hidden="1">
      <c r="G533" s="187"/>
    </row>
    <row r="534" hidden="1">
      <c r="G534" s="187"/>
    </row>
    <row r="535" hidden="1">
      <c r="G535" s="187"/>
    </row>
    <row r="536" hidden="1">
      <c r="G536" s="187"/>
    </row>
    <row r="537" hidden="1">
      <c r="G537" s="187"/>
    </row>
    <row r="538" hidden="1">
      <c r="G538" s="187"/>
    </row>
    <row r="539" hidden="1">
      <c r="G539" s="187"/>
    </row>
    <row r="540" hidden="1">
      <c r="G540" s="187"/>
    </row>
    <row r="541" hidden="1">
      <c r="G541" s="187"/>
    </row>
    <row r="542" hidden="1">
      <c r="G542" s="187"/>
    </row>
    <row r="543" hidden="1">
      <c r="G543" s="187"/>
    </row>
    <row r="544" hidden="1">
      <c r="G544" s="187"/>
    </row>
    <row r="545" hidden="1">
      <c r="G545" s="187"/>
    </row>
    <row r="546" hidden="1">
      <c r="G546" s="187"/>
    </row>
    <row r="547" hidden="1">
      <c r="G547" s="187"/>
    </row>
    <row r="548" hidden="1">
      <c r="G548" s="187"/>
    </row>
    <row r="549" hidden="1">
      <c r="G549" s="187"/>
    </row>
    <row r="550" hidden="1">
      <c r="G550" s="187"/>
    </row>
    <row r="551" hidden="1">
      <c r="G551" s="187"/>
    </row>
    <row r="552" hidden="1">
      <c r="G552" s="187"/>
    </row>
    <row r="553" hidden="1">
      <c r="G553" s="187"/>
    </row>
    <row r="554" hidden="1">
      <c r="G554" s="187"/>
    </row>
    <row r="555" hidden="1">
      <c r="G555" s="187"/>
    </row>
    <row r="556" hidden="1">
      <c r="G556" s="187"/>
    </row>
    <row r="557" hidden="1">
      <c r="G557" s="187"/>
    </row>
    <row r="558" hidden="1">
      <c r="G558" s="187"/>
    </row>
    <row r="559" hidden="1">
      <c r="G559" s="187"/>
    </row>
    <row r="560" hidden="1">
      <c r="G560" s="187"/>
    </row>
    <row r="561" hidden="1">
      <c r="G561" s="187"/>
    </row>
    <row r="562" hidden="1">
      <c r="G562" s="187"/>
    </row>
    <row r="563" hidden="1">
      <c r="G563" s="187"/>
    </row>
    <row r="564" hidden="1">
      <c r="G564" s="187"/>
    </row>
    <row r="565" hidden="1">
      <c r="G565" s="187"/>
    </row>
    <row r="566" hidden="1">
      <c r="G566" s="187"/>
    </row>
    <row r="567" hidden="1">
      <c r="G567" s="187"/>
    </row>
    <row r="568" hidden="1">
      <c r="G568" s="187"/>
    </row>
    <row r="569" hidden="1">
      <c r="G569" s="187"/>
    </row>
    <row r="570" hidden="1">
      <c r="G570" s="187"/>
    </row>
    <row r="571" hidden="1">
      <c r="G571" s="187"/>
    </row>
    <row r="572" hidden="1">
      <c r="G572" s="187"/>
    </row>
    <row r="573" hidden="1">
      <c r="G573" s="187"/>
    </row>
    <row r="574" hidden="1">
      <c r="G574" s="187"/>
    </row>
    <row r="575" hidden="1">
      <c r="G575" s="187"/>
    </row>
    <row r="576" hidden="1">
      <c r="G576" s="187"/>
    </row>
    <row r="577" hidden="1">
      <c r="G577" s="187"/>
    </row>
    <row r="578" hidden="1">
      <c r="G578" s="187"/>
    </row>
    <row r="579" hidden="1">
      <c r="G579" s="187"/>
    </row>
    <row r="580" hidden="1">
      <c r="G580" s="187"/>
    </row>
    <row r="581" hidden="1">
      <c r="G581" s="187"/>
    </row>
    <row r="582" hidden="1">
      <c r="G582" s="187"/>
    </row>
    <row r="583" hidden="1">
      <c r="G583" s="187"/>
    </row>
    <row r="584" hidden="1">
      <c r="G584" s="187"/>
    </row>
    <row r="585" hidden="1">
      <c r="G585" s="187"/>
    </row>
    <row r="586" hidden="1">
      <c r="G586" s="187"/>
    </row>
    <row r="587" hidden="1">
      <c r="G587" s="187"/>
    </row>
    <row r="588" hidden="1">
      <c r="G588" s="187"/>
    </row>
    <row r="589" hidden="1">
      <c r="G589" s="187"/>
    </row>
    <row r="590" hidden="1">
      <c r="G590" s="187"/>
    </row>
    <row r="591" hidden="1">
      <c r="G591" s="187"/>
    </row>
    <row r="592" hidden="1">
      <c r="G592" s="187"/>
    </row>
    <row r="593" hidden="1">
      <c r="G593" s="187"/>
    </row>
    <row r="594" hidden="1">
      <c r="G594" s="187"/>
    </row>
    <row r="595" hidden="1">
      <c r="G595" s="187"/>
    </row>
    <row r="596" hidden="1">
      <c r="G596" s="187"/>
    </row>
    <row r="597" hidden="1">
      <c r="G597" s="187"/>
    </row>
    <row r="598" hidden="1">
      <c r="G598" s="187"/>
    </row>
    <row r="599" hidden="1">
      <c r="G599" s="187"/>
    </row>
    <row r="600" hidden="1">
      <c r="G600" s="187"/>
    </row>
    <row r="601" hidden="1">
      <c r="G601" s="187"/>
    </row>
    <row r="602" hidden="1">
      <c r="G602" s="187"/>
    </row>
    <row r="603" hidden="1">
      <c r="G603" s="187"/>
    </row>
    <row r="604" hidden="1">
      <c r="G604" s="187"/>
    </row>
    <row r="605" hidden="1">
      <c r="G605" s="187"/>
    </row>
    <row r="606" hidden="1">
      <c r="G606" s="187"/>
    </row>
    <row r="607" hidden="1">
      <c r="G607" s="187"/>
    </row>
    <row r="608" hidden="1">
      <c r="G608" s="187"/>
    </row>
    <row r="609" hidden="1">
      <c r="G609" s="187"/>
    </row>
    <row r="610" hidden="1">
      <c r="G610" s="187"/>
    </row>
    <row r="611" hidden="1">
      <c r="G611" s="187"/>
    </row>
    <row r="612" hidden="1">
      <c r="G612" s="187"/>
    </row>
    <row r="613" hidden="1">
      <c r="G613" s="187"/>
    </row>
    <row r="614" hidden="1">
      <c r="G614" s="187"/>
    </row>
    <row r="615" hidden="1">
      <c r="G615" s="187"/>
    </row>
    <row r="616" hidden="1">
      <c r="G616" s="187"/>
    </row>
    <row r="617" hidden="1">
      <c r="G617" s="187"/>
    </row>
    <row r="618" hidden="1">
      <c r="G618" s="187"/>
    </row>
    <row r="619" hidden="1">
      <c r="G619" s="187"/>
    </row>
    <row r="620" hidden="1">
      <c r="G620" s="187"/>
    </row>
    <row r="621" hidden="1">
      <c r="G621" s="187"/>
    </row>
    <row r="622" hidden="1">
      <c r="G622" s="187"/>
    </row>
    <row r="623" hidden="1">
      <c r="G623" s="187"/>
    </row>
    <row r="624" hidden="1">
      <c r="G624" s="187"/>
    </row>
    <row r="625" hidden="1">
      <c r="G625" s="187"/>
    </row>
    <row r="626" hidden="1">
      <c r="G626" s="187"/>
    </row>
    <row r="627" hidden="1">
      <c r="G627" s="187"/>
    </row>
    <row r="628" hidden="1">
      <c r="G628" s="187"/>
    </row>
    <row r="629" hidden="1">
      <c r="G629" s="187"/>
    </row>
    <row r="630" hidden="1">
      <c r="G630" s="187"/>
    </row>
    <row r="631" hidden="1">
      <c r="G631" s="187"/>
    </row>
    <row r="632" hidden="1">
      <c r="G632" s="187"/>
    </row>
    <row r="633" hidden="1">
      <c r="G633" s="187"/>
    </row>
    <row r="634" hidden="1">
      <c r="G634" s="187"/>
    </row>
    <row r="635" hidden="1">
      <c r="G635" s="187"/>
    </row>
    <row r="636" hidden="1">
      <c r="G636" s="187"/>
    </row>
    <row r="637" hidden="1">
      <c r="G637" s="187"/>
    </row>
    <row r="638" hidden="1">
      <c r="G638" s="187"/>
    </row>
    <row r="639" hidden="1">
      <c r="G639" s="187"/>
    </row>
    <row r="640" hidden="1">
      <c r="G640" s="187"/>
    </row>
    <row r="641" hidden="1">
      <c r="G641" s="187"/>
    </row>
    <row r="642" hidden="1">
      <c r="G642" s="187"/>
    </row>
    <row r="643" hidden="1">
      <c r="G643" s="187"/>
    </row>
    <row r="644" hidden="1">
      <c r="G644" s="187"/>
    </row>
    <row r="645" hidden="1">
      <c r="G645" s="187"/>
    </row>
    <row r="646" hidden="1">
      <c r="G646" s="187"/>
    </row>
    <row r="647" hidden="1">
      <c r="G647" s="187"/>
    </row>
    <row r="648" hidden="1">
      <c r="G648" s="187"/>
    </row>
    <row r="649" hidden="1">
      <c r="G649" s="187"/>
    </row>
    <row r="650" hidden="1">
      <c r="G650" s="187"/>
    </row>
    <row r="651" hidden="1">
      <c r="G651" s="187"/>
    </row>
    <row r="652" hidden="1">
      <c r="G652" s="187"/>
    </row>
    <row r="653" hidden="1">
      <c r="G653" s="187"/>
    </row>
    <row r="654" hidden="1">
      <c r="G654" s="187"/>
    </row>
    <row r="655" hidden="1">
      <c r="G655" s="187"/>
    </row>
    <row r="656" hidden="1">
      <c r="G656" s="187"/>
    </row>
    <row r="657" hidden="1">
      <c r="G657" s="187"/>
    </row>
    <row r="658" hidden="1">
      <c r="G658" s="187"/>
    </row>
    <row r="659" hidden="1">
      <c r="G659" s="187"/>
    </row>
    <row r="660" hidden="1">
      <c r="G660" s="187"/>
    </row>
    <row r="661" hidden="1">
      <c r="G661" s="187"/>
    </row>
    <row r="662" hidden="1">
      <c r="G662" s="187"/>
    </row>
    <row r="663" hidden="1">
      <c r="G663" s="187"/>
    </row>
    <row r="664" hidden="1">
      <c r="G664" s="187"/>
    </row>
    <row r="665" hidden="1">
      <c r="G665" s="187"/>
    </row>
    <row r="666" hidden="1">
      <c r="G666" s="187"/>
    </row>
    <row r="667" hidden="1">
      <c r="G667" s="187"/>
    </row>
    <row r="668" hidden="1">
      <c r="G668" s="187"/>
    </row>
    <row r="669" hidden="1">
      <c r="G669" s="187"/>
    </row>
    <row r="670" hidden="1">
      <c r="G670" s="187"/>
    </row>
    <row r="671" hidden="1">
      <c r="G671" s="187"/>
    </row>
    <row r="672" hidden="1">
      <c r="G672" s="187"/>
    </row>
    <row r="673" hidden="1">
      <c r="G673" s="187"/>
    </row>
    <row r="674" hidden="1">
      <c r="G674" s="187"/>
    </row>
    <row r="675" hidden="1">
      <c r="G675" s="187"/>
    </row>
    <row r="676" hidden="1">
      <c r="G676" s="187"/>
    </row>
    <row r="677" hidden="1">
      <c r="G677" s="187"/>
    </row>
    <row r="678" hidden="1">
      <c r="G678" s="187"/>
    </row>
    <row r="679" hidden="1">
      <c r="G679" s="187"/>
    </row>
    <row r="680" hidden="1">
      <c r="G680" s="187"/>
    </row>
    <row r="681" hidden="1">
      <c r="G681" s="187"/>
    </row>
    <row r="682" hidden="1">
      <c r="G682" s="187"/>
    </row>
    <row r="683" hidden="1">
      <c r="G683" s="187"/>
    </row>
    <row r="684" hidden="1">
      <c r="G684" s="187"/>
    </row>
    <row r="685" hidden="1">
      <c r="G685" s="187"/>
    </row>
    <row r="686" hidden="1">
      <c r="G686" s="187"/>
    </row>
    <row r="687" hidden="1">
      <c r="G687" s="187"/>
    </row>
    <row r="688" hidden="1">
      <c r="G688" s="187"/>
    </row>
    <row r="689" hidden="1">
      <c r="G689" s="187"/>
    </row>
    <row r="690" hidden="1">
      <c r="G690" s="187"/>
    </row>
    <row r="691" hidden="1">
      <c r="G691" s="187"/>
    </row>
    <row r="692" hidden="1">
      <c r="G692" s="187"/>
    </row>
    <row r="693" hidden="1">
      <c r="G693" s="187"/>
    </row>
    <row r="694" hidden="1">
      <c r="G694" s="187"/>
    </row>
    <row r="695" hidden="1">
      <c r="G695" s="187"/>
    </row>
    <row r="696" hidden="1">
      <c r="G696" s="187"/>
    </row>
    <row r="697" hidden="1">
      <c r="G697" s="187"/>
    </row>
    <row r="698" hidden="1">
      <c r="G698" s="187"/>
    </row>
    <row r="699" hidden="1">
      <c r="G699" s="187"/>
    </row>
    <row r="700" hidden="1">
      <c r="G700" s="187"/>
    </row>
    <row r="701" hidden="1">
      <c r="G701" s="187"/>
    </row>
    <row r="702" hidden="1">
      <c r="G702" s="187"/>
    </row>
    <row r="703" hidden="1">
      <c r="G703" s="187"/>
    </row>
    <row r="704" hidden="1">
      <c r="G704" s="187"/>
    </row>
    <row r="705" hidden="1">
      <c r="G705" s="187"/>
    </row>
    <row r="706" hidden="1">
      <c r="G706" s="187"/>
    </row>
    <row r="707" hidden="1">
      <c r="G707" s="187"/>
    </row>
    <row r="708" hidden="1">
      <c r="G708" s="187"/>
    </row>
    <row r="709" hidden="1">
      <c r="G709" s="187"/>
    </row>
    <row r="710" hidden="1">
      <c r="G710" s="187"/>
    </row>
    <row r="711" hidden="1">
      <c r="G711" s="187"/>
    </row>
    <row r="712" hidden="1">
      <c r="G712" s="187"/>
    </row>
    <row r="713" hidden="1">
      <c r="G713" s="187"/>
    </row>
    <row r="714" hidden="1">
      <c r="G714" s="187"/>
    </row>
    <row r="715" hidden="1">
      <c r="G715" s="187"/>
    </row>
    <row r="716" hidden="1">
      <c r="G716" s="187"/>
    </row>
    <row r="717" hidden="1">
      <c r="G717" s="187"/>
    </row>
    <row r="718" hidden="1">
      <c r="G718" s="187"/>
    </row>
    <row r="719" hidden="1">
      <c r="G719" s="187"/>
    </row>
    <row r="720" hidden="1">
      <c r="G720" s="187"/>
    </row>
    <row r="721" hidden="1">
      <c r="G721" s="187"/>
    </row>
    <row r="722" hidden="1">
      <c r="G722" s="187"/>
    </row>
    <row r="723" hidden="1">
      <c r="G723" s="187"/>
    </row>
    <row r="724" hidden="1">
      <c r="G724" s="187"/>
    </row>
    <row r="725" hidden="1">
      <c r="G725" s="187"/>
    </row>
    <row r="726" hidden="1">
      <c r="G726" s="187"/>
    </row>
    <row r="727" hidden="1">
      <c r="G727" s="187"/>
    </row>
    <row r="728" hidden="1">
      <c r="G728" s="187"/>
    </row>
    <row r="729" hidden="1">
      <c r="G729" s="187"/>
    </row>
    <row r="730" hidden="1">
      <c r="G730" s="187"/>
    </row>
    <row r="731" hidden="1">
      <c r="G731" s="187"/>
    </row>
    <row r="732" hidden="1">
      <c r="G732" s="187"/>
    </row>
    <row r="733" hidden="1">
      <c r="G733" s="187"/>
    </row>
    <row r="734" hidden="1">
      <c r="G734" s="187"/>
    </row>
    <row r="735" hidden="1">
      <c r="G735" s="187"/>
    </row>
    <row r="736" hidden="1">
      <c r="G736" s="187"/>
    </row>
    <row r="737" hidden="1">
      <c r="G737" s="187"/>
    </row>
    <row r="738" hidden="1">
      <c r="G738" s="187"/>
    </row>
    <row r="739" hidden="1">
      <c r="G739" s="187"/>
    </row>
    <row r="740" hidden="1">
      <c r="G740" s="187"/>
    </row>
    <row r="741" hidden="1">
      <c r="G741" s="187"/>
    </row>
    <row r="742" hidden="1">
      <c r="G742" s="187"/>
    </row>
    <row r="743" hidden="1">
      <c r="G743" s="187"/>
    </row>
    <row r="744" hidden="1">
      <c r="G744" s="187"/>
    </row>
    <row r="745" hidden="1">
      <c r="G745" s="187"/>
    </row>
    <row r="746" hidden="1">
      <c r="G746" s="187"/>
    </row>
    <row r="747" hidden="1">
      <c r="G747" s="187"/>
    </row>
    <row r="748" hidden="1">
      <c r="G748" s="187"/>
    </row>
    <row r="749" hidden="1">
      <c r="G749" s="187"/>
    </row>
    <row r="750" hidden="1">
      <c r="G750" s="187"/>
    </row>
    <row r="751" hidden="1">
      <c r="G751" s="187"/>
    </row>
    <row r="752" hidden="1">
      <c r="G752" s="187"/>
    </row>
    <row r="753" hidden="1">
      <c r="G753" s="187"/>
    </row>
    <row r="754" hidden="1">
      <c r="G754" s="187"/>
    </row>
    <row r="755" hidden="1">
      <c r="G755" s="187"/>
    </row>
    <row r="756" hidden="1">
      <c r="G756" s="187"/>
    </row>
    <row r="757" hidden="1">
      <c r="G757" s="187"/>
    </row>
    <row r="758" hidden="1">
      <c r="G758" s="187"/>
    </row>
    <row r="759" hidden="1">
      <c r="G759" s="187"/>
    </row>
    <row r="760" hidden="1">
      <c r="G760" s="187"/>
    </row>
    <row r="761" hidden="1">
      <c r="G761" s="187"/>
    </row>
    <row r="762" hidden="1">
      <c r="G762" s="187"/>
    </row>
    <row r="763" hidden="1">
      <c r="G763" s="187"/>
    </row>
    <row r="764" hidden="1">
      <c r="G764" s="187"/>
    </row>
    <row r="765" hidden="1">
      <c r="G765" s="187"/>
    </row>
    <row r="766" hidden="1">
      <c r="G766" s="187"/>
    </row>
    <row r="767" hidden="1">
      <c r="G767" s="187"/>
    </row>
    <row r="768" hidden="1">
      <c r="G768" s="187"/>
    </row>
    <row r="769" hidden="1">
      <c r="G769" s="187"/>
    </row>
    <row r="770" hidden="1">
      <c r="G770" s="187"/>
    </row>
    <row r="771" hidden="1">
      <c r="G771" s="187"/>
    </row>
    <row r="772" hidden="1">
      <c r="G772" s="187"/>
    </row>
    <row r="773" hidden="1">
      <c r="G773" s="187"/>
    </row>
    <row r="774" hidden="1">
      <c r="G774" s="187"/>
    </row>
    <row r="775" hidden="1">
      <c r="G775" s="187"/>
    </row>
    <row r="776" hidden="1">
      <c r="G776" s="187"/>
    </row>
    <row r="777" hidden="1">
      <c r="G777" s="187"/>
    </row>
    <row r="778" hidden="1">
      <c r="G778" s="187"/>
    </row>
    <row r="779" hidden="1">
      <c r="G779" s="187"/>
    </row>
    <row r="780" hidden="1">
      <c r="G780" s="187"/>
    </row>
    <row r="781" hidden="1">
      <c r="G781" s="187"/>
    </row>
    <row r="782" hidden="1">
      <c r="G782" s="187"/>
    </row>
    <row r="783" hidden="1">
      <c r="G783" s="187"/>
    </row>
    <row r="784" hidden="1">
      <c r="G784" s="187"/>
    </row>
    <row r="785" hidden="1">
      <c r="G785" s="187"/>
    </row>
    <row r="786" hidden="1">
      <c r="G786" s="187"/>
    </row>
    <row r="787" hidden="1">
      <c r="G787" s="187"/>
    </row>
    <row r="788" hidden="1">
      <c r="G788" s="187"/>
    </row>
    <row r="789" hidden="1">
      <c r="G789" s="187"/>
    </row>
    <row r="790" hidden="1">
      <c r="G790" s="187"/>
    </row>
    <row r="791" hidden="1">
      <c r="G791" s="187"/>
    </row>
    <row r="792" hidden="1">
      <c r="G792" s="187"/>
    </row>
    <row r="793" hidden="1">
      <c r="G793" s="187"/>
    </row>
    <row r="794" hidden="1">
      <c r="G794" s="187"/>
    </row>
    <row r="795" hidden="1">
      <c r="G795" s="187"/>
    </row>
    <row r="796" hidden="1">
      <c r="G796" s="187"/>
    </row>
    <row r="797" hidden="1">
      <c r="G797" s="187"/>
    </row>
    <row r="798" hidden="1">
      <c r="G798" s="187"/>
    </row>
    <row r="799" hidden="1">
      <c r="G799" s="187"/>
    </row>
    <row r="800" hidden="1">
      <c r="G800" s="187"/>
    </row>
    <row r="801" hidden="1">
      <c r="G801" s="187"/>
    </row>
    <row r="802" hidden="1">
      <c r="G802" s="187"/>
    </row>
    <row r="803" hidden="1">
      <c r="G803" s="187"/>
    </row>
    <row r="804" hidden="1">
      <c r="G804" s="187"/>
    </row>
    <row r="805" hidden="1">
      <c r="G805" s="187"/>
    </row>
    <row r="806" hidden="1">
      <c r="G806" s="187"/>
    </row>
    <row r="807" hidden="1">
      <c r="G807" s="187"/>
    </row>
    <row r="808" hidden="1">
      <c r="G808" s="187"/>
    </row>
    <row r="809" hidden="1">
      <c r="G809" s="187"/>
    </row>
    <row r="810" hidden="1">
      <c r="G810" s="187"/>
    </row>
    <row r="811" hidden="1">
      <c r="G811" s="187"/>
    </row>
    <row r="812" hidden="1">
      <c r="G812" s="187"/>
    </row>
    <row r="813" hidden="1">
      <c r="G813" s="187"/>
    </row>
    <row r="814" hidden="1">
      <c r="G814" s="187"/>
    </row>
    <row r="815" hidden="1">
      <c r="G815" s="187"/>
    </row>
    <row r="816" hidden="1">
      <c r="G816" s="187"/>
    </row>
    <row r="817" hidden="1">
      <c r="G817" s="187"/>
    </row>
    <row r="818" hidden="1">
      <c r="G818" s="187"/>
    </row>
    <row r="819" hidden="1">
      <c r="G819" s="187"/>
    </row>
    <row r="820" hidden="1">
      <c r="G820" s="187"/>
    </row>
    <row r="821" hidden="1">
      <c r="G821" s="187"/>
    </row>
    <row r="822" hidden="1">
      <c r="G822" s="187"/>
    </row>
    <row r="823" hidden="1">
      <c r="G823" s="187"/>
    </row>
    <row r="824" hidden="1">
      <c r="G824" s="187"/>
    </row>
    <row r="825" hidden="1">
      <c r="G825" s="187"/>
    </row>
    <row r="826" hidden="1">
      <c r="G826" s="187"/>
    </row>
    <row r="827" hidden="1">
      <c r="G827" s="187"/>
    </row>
    <row r="828" hidden="1">
      <c r="G828" s="187"/>
    </row>
    <row r="829" hidden="1">
      <c r="G829" s="187"/>
    </row>
    <row r="830" hidden="1">
      <c r="G830" s="187"/>
    </row>
    <row r="831" hidden="1">
      <c r="G831" s="187"/>
    </row>
    <row r="832" hidden="1">
      <c r="G832" s="187"/>
    </row>
    <row r="833" hidden="1">
      <c r="G833" s="187"/>
    </row>
    <row r="834" hidden="1">
      <c r="G834" s="187"/>
    </row>
    <row r="835" hidden="1">
      <c r="G835" s="187"/>
    </row>
    <row r="836" hidden="1">
      <c r="G836" s="187"/>
    </row>
    <row r="837" hidden="1">
      <c r="G837" s="187"/>
    </row>
    <row r="838" hidden="1">
      <c r="G838" s="187"/>
    </row>
    <row r="839" hidden="1">
      <c r="G839" s="187"/>
    </row>
    <row r="840" hidden="1">
      <c r="G840" s="187"/>
    </row>
    <row r="841" hidden="1">
      <c r="G841" s="187"/>
    </row>
    <row r="842" hidden="1">
      <c r="G842" s="187"/>
    </row>
    <row r="843" hidden="1">
      <c r="G843" s="187"/>
    </row>
    <row r="844" hidden="1">
      <c r="G844" s="187"/>
    </row>
    <row r="845" hidden="1">
      <c r="G845" s="187"/>
    </row>
    <row r="846" hidden="1">
      <c r="G846" s="187"/>
    </row>
    <row r="847" hidden="1">
      <c r="G847" s="187"/>
    </row>
    <row r="848" hidden="1">
      <c r="G848" s="187"/>
    </row>
    <row r="849" hidden="1">
      <c r="G849" s="187"/>
    </row>
    <row r="850" hidden="1">
      <c r="G850" s="187"/>
    </row>
    <row r="851" hidden="1">
      <c r="G851" s="187"/>
    </row>
    <row r="852" hidden="1">
      <c r="G852" s="187"/>
    </row>
    <row r="853" hidden="1">
      <c r="G853" s="187"/>
    </row>
    <row r="854" hidden="1">
      <c r="G854" s="187"/>
    </row>
    <row r="855" hidden="1">
      <c r="G855" s="187"/>
    </row>
    <row r="856" hidden="1">
      <c r="G856" s="187"/>
    </row>
    <row r="857" hidden="1">
      <c r="G857" s="187"/>
    </row>
    <row r="858" hidden="1">
      <c r="G858" s="187"/>
    </row>
    <row r="859" hidden="1">
      <c r="G859" s="187"/>
    </row>
    <row r="860" hidden="1">
      <c r="G860" s="187"/>
    </row>
    <row r="861" hidden="1">
      <c r="G861" s="187"/>
    </row>
    <row r="862" hidden="1">
      <c r="G862" s="187"/>
    </row>
    <row r="863" hidden="1">
      <c r="G863" s="187"/>
    </row>
    <row r="864" hidden="1">
      <c r="G864" s="187"/>
    </row>
    <row r="865" hidden="1">
      <c r="G865" s="187"/>
    </row>
    <row r="866" hidden="1">
      <c r="G866" s="187"/>
    </row>
    <row r="867" hidden="1">
      <c r="G867" s="187"/>
    </row>
    <row r="868" hidden="1">
      <c r="G868" s="187"/>
    </row>
    <row r="869" hidden="1">
      <c r="G869" s="187"/>
    </row>
    <row r="870" hidden="1">
      <c r="G870" s="187"/>
    </row>
    <row r="871" hidden="1">
      <c r="G871" s="187"/>
    </row>
    <row r="872" hidden="1">
      <c r="G872" s="187"/>
    </row>
    <row r="873" hidden="1">
      <c r="G873" s="187"/>
    </row>
    <row r="874" hidden="1">
      <c r="G874" s="187"/>
    </row>
    <row r="875" hidden="1">
      <c r="G875" s="187"/>
    </row>
    <row r="876" hidden="1">
      <c r="G876" s="187"/>
    </row>
    <row r="877" hidden="1">
      <c r="G877" s="187"/>
    </row>
    <row r="878" hidden="1">
      <c r="G878" s="187"/>
    </row>
    <row r="879" hidden="1">
      <c r="G879" s="187"/>
    </row>
    <row r="880" hidden="1">
      <c r="G880" s="187"/>
    </row>
    <row r="881" hidden="1">
      <c r="G881" s="187"/>
    </row>
    <row r="882" hidden="1">
      <c r="G882" s="187"/>
    </row>
    <row r="883" hidden="1">
      <c r="G883" s="187"/>
    </row>
    <row r="884" hidden="1">
      <c r="G884" s="187"/>
    </row>
    <row r="885" hidden="1">
      <c r="G885" s="187"/>
    </row>
    <row r="886" hidden="1">
      <c r="G886" s="187"/>
    </row>
    <row r="887" hidden="1">
      <c r="G887" s="187"/>
    </row>
    <row r="888" hidden="1">
      <c r="G888" s="187"/>
    </row>
    <row r="889" hidden="1">
      <c r="G889" s="187"/>
    </row>
    <row r="890" hidden="1">
      <c r="G890" s="187"/>
    </row>
    <row r="891" hidden="1">
      <c r="G891" s="187"/>
    </row>
    <row r="892" hidden="1">
      <c r="G892" s="187"/>
    </row>
    <row r="893" hidden="1">
      <c r="G893" s="187"/>
    </row>
    <row r="894" hidden="1">
      <c r="G894" s="187"/>
    </row>
    <row r="895" hidden="1">
      <c r="G895" s="187"/>
    </row>
    <row r="896" hidden="1">
      <c r="G896" s="187"/>
    </row>
    <row r="897" hidden="1">
      <c r="G897" s="187"/>
    </row>
    <row r="898" hidden="1">
      <c r="G898" s="187"/>
    </row>
    <row r="899" hidden="1">
      <c r="G899" s="187"/>
    </row>
    <row r="900" hidden="1">
      <c r="G900" s="187"/>
    </row>
    <row r="901" hidden="1">
      <c r="G901" s="187"/>
    </row>
    <row r="902" hidden="1">
      <c r="G902" s="187"/>
    </row>
    <row r="903" hidden="1">
      <c r="G903" s="187"/>
    </row>
    <row r="904" hidden="1">
      <c r="G904" s="187"/>
    </row>
    <row r="905" hidden="1">
      <c r="G905" s="187"/>
    </row>
    <row r="906" hidden="1">
      <c r="G906" s="187"/>
    </row>
    <row r="907" hidden="1">
      <c r="G907" s="187"/>
    </row>
    <row r="908" hidden="1">
      <c r="G908" s="187"/>
    </row>
    <row r="909" hidden="1">
      <c r="G909" s="187"/>
    </row>
    <row r="910" hidden="1">
      <c r="G910" s="187"/>
    </row>
    <row r="911" hidden="1">
      <c r="G911" s="187"/>
    </row>
    <row r="912" hidden="1">
      <c r="G912" s="187"/>
    </row>
    <row r="913" hidden="1">
      <c r="G913" s="187"/>
    </row>
    <row r="914" hidden="1">
      <c r="G914" s="187"/>
    </row>
    <row r="915" hidden="1">
      <c r="G915" s="187"/>
    </row>
    <row r="916" hidden="1">
      <c r="G916" s="187"/>
    </row>
    <row r="917" hidden="1">
      <c r="G917" s="187"/>
    </row>
    <row r="918" hidden="1">
      <c r="G918" s="187"/>
    </row>
    <row r="919" hidden="1">
      <c r="G919" s="187"/>
    </row>
    <row r="920" hidden="1">
      <c r="G920" s="187"/>
    </row>
    <row r="921" hidden="1">
      <c r="G921" s="187"/>
    </row>
    <row r="922" hidden="1">
      <c r="G922" s="187"/>
    </row>
    <row r="923" hidden="1">
      <c r="G923" s="187"/>
    </row>
    <row r="924" hidden="1">
      <c r="G924" s="187"/>
    </row>
    <row r="925" hidden="1">
      <c r="G925" s="187"/>
    </row>
    <row r="926" hidden="1">
      <c r="G926" s="187"/>
    </row>
    <row r="927" hidden="1">
      <c r="G927" s="187"/>
    </row>
    <row r="928" hidden="1">
      <c r="G928" s="187"/>
    </row>
    <row r="929" hidden="1">
      <c r="G929" s="187"/>
    </row>
    <row r="930" hidden="1">
      <c r="G930" s="187"/>
    </row>
    <row r="931" hidden="1">
      <c r="G931" s="187"/>
    </row>
    <row r="932" hidden="1">
      <c r="G932" s="187"/>
    </row>
    <row r="933" hidden="1">
      <c r="G933" s="187"/>
    </row>
    <row r="934" hidden="1">
      <c r="G934" s="187"/>
    </row>
    <row r="935" hidden="1">
      <c r="G935" s="187"/>
    </row>
    <row r="936" hidden="1">
      <c r="G936" s="187"/>
    </row>
    <row r="937" hidden="1">
      <c r="G937" s="187"/>
    </row>
    <row r="938" hidden="1">
      <c r="G938" s="187"/>
    </row>
    <row r="939" hidden="1">
      <c r="G939" s="187"/>
    </row>
    <row r="940" hidden="1">
      <c r="G940" s="187"/>
    </row>
    <row r="941" hidden="1">
      <c r="G941" s="187"/>
    </row>
    <row r="942" hidden="1">
      <c r="G942" s="187"/>
    </row>
    <row r="943" hidden="1">
      <c r="G943" s="187"/>
    </row>
    <row r="944" hidden="1">
      <c r="G944" s="187"/>
    </row>
    <row r="945" hidden="1">
      <c r="G945" s="187"/>
    </row>
    <row r="946" hidden="1">
      <c r="G946" s="187"/>
    </row>
    <row r="947" hidden="1">
      <c r="G947" s="187"/>
    </row>
    <row r="948" hidden="1">
      <c r="G948" s="187"/>
    </row>
    <row r="949" hidden="1">
      <c r="G949" s="187"/>
    </row>
    <row r="950" hidden="1">
      <c r="G950" s="187"/>
    </row>
    <row r="951" hidden="1">
      <c r="G951" s="187"/>
    </row>
    <row r="952" hidden="1">
      <c r="G952" s="187"/>
    </row>
    <row r="953" hidden="1">
      <c r="G953" s="187"/>
    </row>
    <row r="954" hidden="1">
      <c r="G954" s="187"/>
    </row>
    <row r="955" hidden="1">
      <c r="G955" s="187"/>
    </row>
    <row r="956" hidden="1">
      <c r="G956" s="187"/>
    </row>
    <row r="957" hidden="1">
      <c r="G957" s="187"/>
    </row>
    <row r="958" hidden="1">
      <c r="G958" s="187"/>
    </row>
    <row r="959" hidden="1">
      <c r="G959" s="187"/>
    </row>
    <row r="960" hidden="1">
      <c r="G960" s="187"/>
    </row>
    <row r="961" hidden="1">
      <c r="G961" s="187"/>
    </row>
    <row r="962" hidden="1">
      <c r="G962" s="187"/>
    </row>
    <row r="963" hidden="1">
      <c r="G963" s="187"/>
    </row>
    <row r="964" hidden="1">
      <c r="G964" s="187"/>
    </row>
    <row r="965" hidden="1">
      <c r="G965" s="187"/>
    </row>
    <row r="966" hidden="1">
      <c r="G966" s="187"/>
    </row>
    <row r="967" hidden="1">
      <c r="G967" s="187"/>
    </row>
    <row r="968" hidden="1">
      <c r="G968" s="187"/>
    </row>
    <row r="969" hidden="1">
      <c r="G969" s="187"/>
    </row>
    <row r="970" hidden="1">
      <c r="G970" s="187"/>
    </row>
    <row r="971" hidden="1">
      <c r="G971" s="187"/>
    </row>
    <row r="972" hidden="1">
      <c r="G972" s="187"/>
    </row>
    <row r="973" hidden="1">
      <c r="G973" s="187"/>
    </row>
    <row r="974" hidden="1">
      <c r="G974" s="187"/>
    </row>
    <row r="975" hidden="1">
      <c r="G975" s="187"/>
    </row>
    <row r="976" hidden="1">
      <c r="G976" s="187"/>
    </row>
    <row r="977" hidden="1">
      <c r="G977" s="187"/>
    </row>
    <row r="978" hidden="1">
      <c r="G978" s="187"/>
    </row>
    <row r="979" hidden="1">
      <c r="G979" s="187"/>
    </row>
    <row r="980" hidden="1">
      <c r="G980" s="187"/>
    </row>
    <row r="981" hidden="1">
      <c r="G981" s="187"/>
    </row>
    <row r="982" hidden="1">
      <c r="G982" s="187"/>
    </row>
    <row r="983" hidden="1">
      <c r="G983" s="187"/>
    </row>
    <row r="984" hidden="1">
      <c r="G984" s="187"/>
    </row>
    <row r="985" hidden="1">
      <c r="G985" s="187"/>
    </row>
    <row r="986" hidden="1">
      <c r="G986" s="187"/>
    </row>
    <row r="987" hidden="1">
      <c r="G987" s="187"/>
    </row>
    <row r="988" hidden="1">
      <c r="G988" s="187"/>
    </row>
    <row r="989" hidden="1">
      <c r="G989" s="187"/>
    </row>
    <row r="990" hidden="1">
      <c r="G990" s="187"/>
    </row>
    <row r="991" hidden="1">
      <c r="G991" s="187"/>
    </row>
    <row r="992" hidden="1">
      <c r="G992" s="187"/>
    </row>
    <row r="993" hidden="1">
      <c r="G993" s="187"/>
    </row>
    <row r="994" hidden="1">
      <c r="G994" s="187"/>
    </row>
    <row r="995" hidden="1">
      <c r="G995" s="187"/>
    </row>
    <row r="996" hidden="1">
      <c r="G996" s="187"/>
    </row>
    <row r="997" hidden="1">
      <c r="G997" s="187"/>
    </row>
    <row r="998" hidden="1">
      <c r="G998" s="187"/>
    </row>
    <row r="999" hidden="1">
      <c r="G999" s="187"/>
    </row>
    <row r="1000" hidden="1">
      <c r="G1000" s="187"/>
    </row>
    <row r="1001" hidden="1">
      <c r="G1001" s="187"/>
    </row>
    <row r="1002" hidden="1">
      <c r="G1002" s="187"/>
    </row>
    <row r="1003" hidden="1">
      <c r="G1003" s="187"/>
    </row>
    <row r="1004" hidden="1">
      <c r="G1004" s="187"/>
    </row>
    <row r="1005" hidden="1">
      <c r="G1005" s="187"/>
    </row>
    <row r="1006" hidden="1">
      <c r="G1006" s="187"/>
    </row>
    <row r="1007" hidden="1">
      <c r="G1007" s="187"/>
    </row>
    <row r="1008" hidden="1">
      <c r="G1008" s="187"/>
    </row>
    <row r="1009" hidden="1">
      <c r="G1009" s="187"/>
    </row>
    <row r="1010" hidden="1">
      <c r="G1010" s="187"/>
    </row>
    <row r="1011" hidden="1">
      <c r="G1011" s="187"/>
    </row>
    <row r="1012" hidden="1">
      <c r="G1012" s="187"/>
    </row>
    <row r="1013" hidden="1">
      <c r="G1013" s="187"/>
    </row>
    <row r="1014" hidden="1">
      <c r="G1014" s="187"/>
    </row>
    <row r="1015" hidden="1">
      <c r="G1015" s="187"/>
    </row>
    <row r="1016" hidden="1">
      <c r="G1016" s="187"/>
    </row>
    <row r="1017" hidden="1">
      <c r="G1017" s="187"/>
    </row>
    <row r="1018" hidden="1">
      <c r="G1018" s="187"/>
    </row>
    <row r="1019" hidden="1">
      <c r="G1019" s="187"/>
    </row>
    <row r="1020" hidden="1">
      <c r="G1020" s="187"/>
    </row>
    <row r="1021" hidden="1">
      <c r="G1021" s="187"/>
    </row>
    <row r="1022" hidden="1">
      <c r="G1022" s="187"/>
    </row>
    <row r="1023" hidden="1">
      <c r="G1023" s="187"/>
    </row>
    <row r="1024" hidden="1">
      <c r="G1024" s="187"/>
    </row>
    <row r="1025" hidden="1">
      <c r="G1025" s="187"/>
    </row>
    <row r="1026" hidden="1">
      <c r="G1026" s="187"/>
    </row>
    <row r="1027" hidden="1">
      <c r="G1027" s="187"/>
    </row>
    <row r="1028" hidden="1">
      <c r="G1028" s="187"/>
    </row>
    <row r="1029" hidden="1">
      <c r="G1029" s="187"/>
    </row>
    <row r="1030" hidden="1">
      <c r="G1030" s="187"/>
    </row>
    <row r="1031" hidden="1">
      <c r="G1031" s="187"/>
    </row>
    <row r="1032" hidden="1">
      <c r="G1032" s="187"/>
    </row>
    <row r="1033" hidden="1">
      <c r="G1033" s="187"/>
    </row>
    <row r="1034" hidden="1">
      <c r="G1034" s="187"/>
    </row>
    <row r="1035" hidden="1">
      <c r="G1035" s="187"/>
    </row>
    <row r="1036" hidden="1">
      <c r="G1036" s="187"/>
    </row>
    <row r="1037" hidden="1">
      <c r="G1037" s="187"/>
    </row>
    <row r="1038" hidden="1">
      <c r="G1038" s="187"/>
    </row>
    <row r="1039" hidden="1">
      <c r="G1039" s="187"/>
    </row>
    <row r="1040" hidden="1">
      <c r="G1040" s="187"/>
    </row>
    <row r="1041" hidden="1">
      <c r="G1041" s="187"/>
    </row>
    <row r="1042" hidden="1">
      <c r="G1042" s="187"/>
    </row>
    <row r="1043" hidden="1">
      <c r="G1043" s="187"/>
    </row>
  </sheetData>
  <autoFilter ref="$A$1:$L$1043">
    <filterColumn colId="8">
      <filters>
        <filter val="院长"/>
      </filters>
    </filterColumn>
  </autoFilter>
  <conditionalFormatting sqref="F2:F6 F9 F11:F13">
    <cfRule type="containsText" dxfId="4" priority="1" operator="containsText" text="Open">
      <formula>NOT(ISERROR(SEARCH(("Open"),(F2))))</formula>
    </cfRule>
  </conditionalFormatting>
  <conditionalFormatting sqref="F2:F6 F9 F11:F13">
    <cfRule type="containsText" dxfId="3" priority="2" operator="containsText" text="Monitor">
      <formula>NOT(ISERROR(SEARCH(("Monitor"),(F2))))</formula>
    </cfRule>
  </conditionalFormatting>
  <conditionalFormatting sqref="F2:F6 F9 F11:F13">
    <cfRule type="containsText" dxfId="0" priority="3" operator="containsText" text="Closed">
      <formula>NOT(ISERROR(SEARCH(("Closed"),(F2))))</formula>
    </cfRule>
  </conditionalFormatting>
  <conditionalFormatting sqref="F2:F12 F14:F45">
    <cfRule type="containsText" dxfId="0" priority="4" operator="containsText" text="Closed">
      <formula>NOT(ISERROR(SEARCH(("Closed"),(F2))))</formula>
    </cfRule>
  </conditionalFormatting>
  <conditionalFormatting sqref="F2:F12 F14:F45">
    <cfRule type="containsText" dxfId="3" priority="5" operator="containsText" text="Monitor">
      <formula>NOT(ISERROR(SEARCH(("Monitor"),(F2))))</formula>
    </cfRule>
  </conditionalFormatting>
  <conditionalFormatting sqref="F2:F12 F14:F45">
    <cfRule type="containsText" dxfId="4" priority="6" operator="containsText" text="Open">
      <formula>NOT(ISERROR(SEARCH(("Open"),(F2))))</formula>
    </cfRule>
  </conditionalFormatting>
  <dataValidations>
    <dataValidation type="list" allowBlank="1" sqref="B2:B45">
      <formula1>Option!$C$2:$C$16</formula1>
    </dataValidation>
    <dataValidation type="list" allowBlank="1" sqref="I2:J45">
      <formula1>Option!$K$2:$K$17</formula1>
    </dataValidation>
    <dataValidation type="list" allowBlank="1" sqref="C2:C45">
      <formula1>Option!$E$2:$E$13</formula1>
    </dataValidation>
    <dataValidation type="list" allowBlank="1" sqref="D2:D45">
      <formula1>Option!$D$2:$D$15</formula1>
    </dataValidation>
    <dataValidation type="list" allowBlank="1" sqref="F2:F45">
      <formula1>Option!$F$2:$F$5</formula1>
    </dataValidation>
    <dataValidation type="list" allowBlank="1" sqref="L2:L45">
      <formula1>"1.SCH,2.PCB,3.BOM,4.Parameter,5.SW/ME/RF/ANT/Component/MFG/Vendor,6.No Change"</formula1>
    </dataValidation>
    <dataValidation type="list" allowBlank="1" sqref="E2:E45">
      <formula1>Option!$G$2:$G$5</formula1>
    </dataValidation>
  </dataValidations>
  <hyperlinks>
    <hyperlink r:id="rId4" ref="G3"/>
    <hyperlink r:id="rId5" location="gid=1842674235" ref="H3"/>
    <hyperlink r:id="rId6" location="slide=id.ge58bcc49e9_0_19" ref="H6"/>
    <hyperlink r:id="rId7" location="slide=id.p2" ref="H7"/>
    <hyperlink r:id="rId8" location="slide=id.p2" ref="H8"/>
    <hyperlink r:id="rId9" ref="G9"/>
    <hyperlink r:id="rId10" ref="G12"/>
    <hyperlink r:id="rId11" location="slide=id.p3" ref="H14"/>
    <hyperlink r:id="rId12" location="slide=id.gef07f539cb_0_417" ref="H15"/>
    <hyperlink r:id="rId13" ref="H16"/>
    <hyperlink r:id="rId14" location="slide=id.geea03efa95_0_0" ref="H17"/>
    <hyperlink r:id="rId15" ref="H20"/>
    <hyperlink r:id="rId16" location="slide=id.g4057557fca_0_46" ref="H21"/>
    <hyperlink r:id="rId17" location="slide=id.ge75df1bc8b_0_53" ref="H22"/>
    <hyperlink r:id="rId18" location="slide=id.p1" ref="H23"/>
    <hyperlink r:id="rId19" location="slide=id.p" ref="H25"/>
    <hyperlink r:id="rId20" location="slide=id.gde0f927c3e_0_1" ref="H27"/>
    <hyperlink r:id="rId21" location="slide=id.gde0f927c3e_0_1" ref="H28"/>
    <hyperlink r:id="rId22" ref="G29"/>
    <hyperlink r:id="rId23" location="slide=id.ge25c8c62c2_0_20" ref="H30"/>
    <hyperlink r:id="rId24" location="slide=id.g103608b347e_0_5" ref="H32"/>
    <hyperlink r:id="rId25" location="slide=id.p" ref="H33"/>
  </hyperlinks>
  <drawing r:id="rId26"/>
  <legacyDrawing r:id="rId27"/>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2" max="2" width="11.0"/>
    <col customWidth="1" min="4" max="4" width="14.38"/>
    <col customWidth="1" min="5" max="5" width="13.13"/>
    <col customWidth="1" min="7" max="7" width="117.75"/>
    <col customWidth="1" min="9" max="9" width="10.88"/>
    <col customWidth="1" min="10" max="10" width="10.38"/>
  </cols>
  <sheetData>
    <row r="1">
      <c r="A1" s="4" t="s">
        <v>54</v>
      </c>
      <c r="B1" s="4" t="s">
        <v>1</v>
      </c>
      <c r="C1" s="4" t="s">
        <v>2</v>
      </c>
      <c r="D1" s="4" t="s">
        <v>3</v>
      </c>
      <c r="E1" s="4" t="s">
        <v>4</v>
      </c>
      <c r="F1" s="4" t="s">
        <v>5</v>
      </c>
      <c r="G1" s="4" t="s">
        <v>6</v>
      </c>
      <c r="H1" s="4" t="s">
        <v>7</v>
      </c>
      <c r="I1" s="3" t="s">
        <v>8</v>
      </c>
      <c r="J1" s="3" t="s">
        <v>9</v>
      </c>
      <c r="K1" s="4" t="s">
        <v>10</v>
      </c>
      <c r="L1" s="4" t="s">
        <v>11</v>
      </c>
    </row>
    <row r="2" ht="66.75" customHeight="1">
      <c r="A2" s="20">
        <v>44478.0</v>
      </c>
      <c r="B2" s="130" t="s">
        <v>172</v>
      </c>
      <c r="C2" s="8" t="s">
        <v>20</v>
      </c>
      <c r="D2" s="132" t="s">
        <v>14</v>
      </c>
      <c r="E2" s="132" t="s">
        <v>22</v>
      </c>
      <c r="F2" s="130" t="s">
        <v>64</v>
      </c>
      <c r="G2" s="209" t="s">
        <v>664</v>
      </c>
      <c r="H2" s="180"/>
      <c r="I2" s="56" t="s">
        <v>70</v>
      </c>
      <c r="J2" s="56"/>
      <c r="K2" s="173"/>
      <c r="L2" s="180" t="s">
        <v>68</v>
      </c>
    </row>
    <row r="3">
      <c r="A3" s="20">
        <v>44392.0</v>
      </c>
      <c r="B3" s="130" t="s">
        <v>12</v>
      </c>
      <c r="C3" s="8" t="s">
        <v>36</v>
      </c>
      <c r="D3" s="132" t="s">
        <v>27</v>
      </c>
      <c r="E3" s="132" t="s">
        <v>22</v>
      </c>
      <c r="F3" s="130" t="s">
        <v>16</v>
      </c>
      <c r="G3" s="209" t="s">
        <v>665</v>
      </c>
      <c r="H3" s="180"/>
      <c r="I3" s="56" t="s">
        <v>66</v>
      </c>
      <c r="J3" s="56" t="s">
        <v>463</v>
      </c>
      <c r="K3" s="173"/>
      <c r="L3" s="180" t="s">
        <v>71</v>
      </c>
    </row>
    <row r="4" ht="103.5" customHeight="1">
      <c r="A4" s="20">
        <v>44389.0</v>
      </c>
      <c r="B4" s="130" t="s">
        <v>25</v>
      </c>
      <c r="C4" s="8" t="s">
        <v>33</v>
      </c>
      <c r="D4" s="132" t="s">
        <v>14</v>
      </c>
      <c r="E4" s="132" t="s">
        <v>22</v>
      </c>
      <c r="F4" s="130" t="s">
        <v>16</v>
      </c>
      <c r="G4" s="209" t="s">
        <v>666</v>
      </c>
      <c r="H4" s="180"/>
      <c r="I4" s="56" t="s">
        <v>463</v>
      </c>
      <c r="J4" s="56"/>
      <c r="K4" s="173"/>
      <c r="L4" s="180" t="s">
        <v>71</v>
      </c>
    </row>
    <row r="5" ht="101.25" customHeight="1">
      <c r="A5" s="20">
        <v>44358.0</v>
      </c>
      <c r="B5" s="130" t="s">
        <v>19</v>
      </c>
      <c r="C5" s="8" t="s">
        <v>83</v>
      </c>
      <c r="D5" s="132" t="s">
        <v>27</v>
      </c>
      <c r="E5" s="132" t="s">
        <v>22</v>
      </c>
      <c r="F5" s="130" t="s">
        <v>16</v>
      </c>
      <c r="G5" s="209" t="s">
        <v>667</v>
      </c>
      <c r="H5" s="180"/>
      <c r="I5" s="56"/>
      <c r="J5" s="56"/>
      <c r="K5" s="173"/>
      <c r="L5" s="180" t="s">
        <v>71</v>
      </c>
    </row>
    <row r="6" ht="182.25" customHeight="1">
      <c r="A6" s="20">
        <v>44389.0</v>
      </c>
      <c r="B6" s="130" t="s">
        <v>25</v>
      </c>
      <c r="C6" s="8" t="s">
        <v>83</v>
      </c>
      <c r="D6" s="132" t="s">
        <v>21</v>
      </c>
      <c r="E6" s="132" t="s">
        <v>22</v>
      </c>
      <c r="F6" s="130" t="s">
        <v>16</v>
      </c>
      <c r="G6" s="209" t="s">
        <v>668</v>
      </c>
      <c r="H6" s="180"/>
      <c r="I6" s="56" t="s">
        <v>127</v>
      </c>
      <c r="J6" s="56" t="s">
        <v>66</v>
      </c>
      <c r="K6" s="173"/>
      <c r="L6" s="180" t="s">
        <v>71</v>
      </c>
    </row>
    <row r="7" ht="108.0" customHeight="1">
      <c r="A7" s="20">
        <v>44365.0</v>
      </c>
      <c r="B7" s="130" t="s">
        <v>19</v>
      </c>
      <c r="C7" s="8" t="s">
        <v>83</v>
      </c>
      <c r="D7" s="132" t="s">
        <v>14</v>
      </c>
      <c r="E7" s="132" t="s">
        <v>22</v>
      </c>
      <c r="F7" s="130" t="s">
        <v>16</v>
      </c>
      <c r="G7" s="210" t="s">
        <v>669</v>
      </c>
      <c r="H7" s="180"/>
      <c r="I7" s="56"/>
      <c r="J7" s="56"/>
      <c r="K7" s="173"/>
      <c r="L7" s="180" t="s">
        <v>71</v>
      </c>
    </row>
    <row r="8" ht="120.0" customHeight="1">
      <c r="A8" s="20">
        <v>44325.0</v>
      </c>
      <c r="B8" s="130" t="s">
        <v>19</v>
      </c>
      <c r="C8" s="8" t="s">
        <v>36</v>
      </c>
      <c r="D8" s="132" t="s">
        <v>14</v>
      </c>
      <c r="E8" s="132" t="s">
        <v>22</v>
      </c>
      <c r="F8" s="130" t="s">
        <v>16</v>
      </c>
      <c r="G8" s="210" t="s">
        <v>670</v>
      </c>
      <c r="H8" s="180" t="s">
        <v>97</v>
      </c>
      <c r="I8" s="56" t="s">
        <v>79</v>
      </c>
      <c r="J8" s="56" t="s">
        <v>66</v>
      </c>
      <c r="K8" s="173"/>
      <c r="L8" s="180" t="s">
        <v>71</v>
      </c>
    </row>
    <row r="9" ht="112.5" customHeight="1">
      <c r="A9" s="20">
        <v>44325.0</v>
      </c>
      <c r="B9" s="130" t="s">
        <v>19</v>
      </c>
      <c r="C9" s="8" t="s">
        <v>36</v>
      </c>
      <c r="D9" s="132" t="s">
        <v>14</v>
      </c>
      <c r="E9" s="132" t="s">
        <v>22</v>
      </c>
      <c r="F9" s="130" t="s">
        <v>16</v>
      </c>
      <c r="G9" s="210" t="s">
        <v>671</v>
      </c>
      <c r="H9" s="180" t="s">
        <v>97</v>
      </c>
      <c r="I9" s="56" t="s">
        <v>79</v>
      </c>
      <c r="J9" s="56" t="s">
        <v>66</v>
      </c>
      <c r="K9" s="173"/>
      <c r="L9" s="180" t="s">
        <v>71</v>
      </c>
    </row>
    <row r="10" ht="74.25" customHeight="1">
      <c r="A10" s="20">
        <v>44349.0</v>
      </c>
      <c r="B10" s="130" t="s">
        <v>43</v>
      </c>
      <c r="C10" s="8" t="s">
        <v>57</v>
      </c>
      <c r="D10" s="132" t="s">
        <v>21</v>
      </c>
      <c r="E10" s="132" t="s">
        <v>64</v>
      </c>
      <c r="F10" s="130" t="s">
        <v>16</v>
      </c>
      <c r="G10" s="210" t="s">
        <v>672</v>
      </c>
      <c r="H10" s="180"/>
      <c r="I10" s="56" t="s">
        <v>334</v>
      </c>
      <c r="J10" s="56" t="s">
        <v>463</v>
      </c>
      <c r="K10" s="173"/>
      <c r="L10" s="180" t="s">
        <v>71</v>
      </c>
    </row>
    <row r="11" ht="74.25" customHeight="1">
      <c r="A11" s="20">
        <v>44349.0</v>
      </c>
      <c r="B11" s="130" t="s">
        <v>43</v>
      </c>
      <c r="C11" s="8" t="s">
        <v>36</v>
      </c>
      <c r="D11" s="132" t="s">
        <v>44</v>
      </c>
      <c r="E11" s="132" t="s">
        <v>22</v>
      </c>
      <c r="F11" s="130" t="s">
        <v>16</v>
      </c>
      <c r="G11" s="210" t="s">
        <v>673</v>
      </c>
      <c r="H11" s="180" t="s">
        <v>61</v>
      </c>
      <c r="I11" s="56" t="s">
        <v>66</v>
      </c>
      <c r="J11" s="56" t="s">
        <v>463</v>
      </c>
      <c r="K11" s="173"/>
      <c r="L11" s="180" t="s">
        <v>71</v>
      </c>
    </row>
    <row r="12" ht="74.25" customHeight="1">
      <c r="A12" s="20">
        <v>44343.0</v>
      </c>
      <c r="B12" s="130" t="s">
        <v>19</v>
      </c>
      <c r="C12" s="8" t="s">
        <v>33</v>
      </c>
      <c r="D12" s="132" t="s">
        <v>21</v>
      </c>
      <c r="E12" s="132" t="s">
        <v>22</v>
      </c>
      <c r="F12" s="130" t="s">
        <v>16</v>
      </c>
      <c r="G12" s="210" t="s">
        <v>674</v>
      </c>
      <c r="H12" s="180"/>
      <c r="I12" s="56" t="s">
        <v>463</v>
      </c>
      <c r="J12" s="56"/>
      <c r="K12" s="173"/>
      <c r="L12" s="180" t="s">
        <v>162</v>
      </c>
    </row>
    <row r="13" ht="109.5" customHeight="1">
      <c r="A13" s="20">
        <v>44353.0</v>
      </c>
      <c r="B13" s="130" t="s">
        <v>25</v>
      </c>
      <c r="C13" s="8" t="s">
        <v>36</v>
      </c>
      <c r="D13" s="132" t="s">
        <v>44</v>
      </c>
      <c r="E13" s="132" t="s">
        <v>64</v>
      </c>
      <c r="F13" s="130" t="s">
        <v>16</v>
      </c>
      <c r="G13" s="210" t="s">
        <v>675</v>
      </c>
      <c r="H13" s="211" t="s">
        <v>676</v>
      </c>
      <c r="I13" s="56" t="s">
        <v>66</v>
      </c>
      <c r="J13" s="56"/>
      <c r="K13" s="173"/>
      <c r="L13" s="180" t="s">
        <v>71</v>
      </c>
    </row>
    <row r="14" ht="91.5" customHeight="1">
      <c r="A14" s="20">
        <v>44334.0</v>
      </c>
      <c r="B14" s="130" t="s">
        <v>43</v>
      </c>
      <c r="C14" s="8" t="s">
        <v>36</v>
      </c>
      <c r="D14" s="132" t="s">
        <v>44</v>
      </c>
      <c r="E14" s="132" t="s">
        <v>64</v>
      </c>
      <c r="F14" s="130" t="s">
        <v>16</v>
      </c>
      <c r="G14" s="210" t="s">
        <v>677</v>
      </c>
      <c r="H14" s="180" t="s">
        <v>61</v>
      </c>
      <c r="I14" s="56" t="s">
        <v>70</v>
      </c>
      <c r="J14" s="56" t="s">
        <v>66</v>
      </c>
      <c r="K14" s="173"/>
      <c r="L14" s="180" t="s">
        <v>71</v>
      </c>
    </row>
    <row r="15" ht="74.25" customHeight="1">
      <c r="A15" s="20">
        <v>44344.0</v>
      </c>
      <c r="B15" s="130" t="s">
        <v>43</v>
      </c>
      <c r="C15" s="8" t="s">
        <v>20</v>
      </c>
      <c r="D15" s="132" t="s">
        <v>44</v>
      </c>
      <c r="E15" s="132" t="s">
        <v>22</v>
      </c>
      <c r="F15" s="130" t="s">
        <v>16</v>
      </c>
      <c r="G15" s="210" t="s">
        <v>678</v>
      </c>
      <c r="H15" s="180" t="s">
        <v>679</v>
      </c>
      <c r="I15" s="56" t="s">
        <v>66</v>
      </c>
      <c r="J15" s="56"/>
      <c r="K15" s="173"/>
      <c r="L15" s="180" t="s">
        <v>71</v>
      </c>
    </row>
    <row r="16" ht="74.25" customHeight="1">
      <c r="A16" s="20">
        <v>44340.0</v>
      </c>
      <c r="B16" s="130" t="s">
        <v>56</v>
      </c>
      <c r="C16" s="8" t="s">
        <v>83</v>
      </c>
      <c r="D16" s="132" t="s">
        <v>21</v>
      </c>
      <c r="E16" s="132" t="s">
        <v>64</v>
      </c>
      <c r="F16" s="130" t="s">
        <v>16</v>
      </c>
      <c r="G16" s="210" t="s">
        <v>680</v>
      </c>
      <c r="H16" s="180"/>
      <c r="I16" s="56" t="s">
        <v>127</v>
      </c>
      <c r="J16" s="56"/>
      <c r="K16" s="173"/>
      <c r="L16" s="180" t="s">
        <v>71</v>
      </c>
    </row>
    <row r="17" ht="80.25" customHeight="1">
      <c r="A17" s="20">
        <v>44306.0</v>
      </c>
      <c r="B17" s="130" t="s">
        <v>56</v>
      </c>
      <c r="C17" s="8" t="s">
        <v>83</v>
      </c>
      <c r="D17" s="132" t="s">
        <v>21</v>
      </c>
      <c r="E17" s="132" t="s">
        <v>15</v>
      </c>
      <c r="F17" s="130" t="s">
        <v>16</v>
      </c>
      <c r="G17" s="210" t="s">
        <v>681</v>
      </c>
      <c r="H17" s="180"/>
      <c r="I17" s="56" t="s">
        <v>127</v>
      </c>
      <c r="J17" s="56"/>
      <c r="K17" s="173"/>
      <c r="L17" s="180" t="s">
        <v>71</v>
      </c>
    </row>
    <row r="18">
      <c r="A18" s="20">
        <v>44328.0</v>
      </c>
      <c r="B18" s="130" t="s">
        <v>43</v>
      </c>
      <c r="C18" s="8" t="s">
        <v>83</v>
      </c>
      <c r="D18" s="132" t="s">
        <v>44</v>
      </c>
      <c r="E18" s="132" t="s">
        <v>22</v>
      </c>
      <c r="F18" s="130" t="s">
        <v>16</v>
      </c>
      <c r="G18" s="210" t="s">
        <v>682</v>
      </c>
      <c r="H18" s="180" t="s">
        <v>97</v>
      </c>
      <c r="I18" s="56" t="s">
        <v>66</v>
      </c>
      <c r="J18" s="56" t="s">
        <v>127</v>
      </c>
      <c r="K18" s="173"/>
      <c r="L18" s="180" t="s">
        <v>71</v>
      </c>
    </row>
    <row r="19" ht="117.0" customHeight="1">
      <c r="A19" s="20">
        <v>44311.0</v>
      </c>
      <c r="B19" s="130" t="s">
        <v>43</v>
      </c>
      <c r="C19" s="8" t="s">
        <v>49</v>
      </c>
      <c r="D19" s="132" t="s">
        <v>58</v>
      </c>
      <c r="E19" s="132" t="s">
        <v>22</v>
      </c>
      <c r="F19" s="130" t="s">
        <v>16</v>
      </c>
      <c r="G19" s="212" t="s">
        <v>683</v>
      </c>
      <c r="H19" s="180" t="s">
        <v>97</v>
      </c>
      <c r="I19" s="56" t="s">
        <v>115</v>
      </c>
      <c r="J19" s="56"/>
      <c r="K19" s="173"/>
      <c r="L19" s="180" t="s">
        <v>71</v>
      </c>
    </row>
    <row r="20" ht="117.0" customHeight="1">
      <c r="A20" s="20">
        <v>44311.0</v>
      </c>
      <c r="B20" s="130" t="s">
        <v>43</v>
      </c>
      <c r="C20" s="8" t="s">
        <v>76</v>
      </c>
      <c r="D20" s="132" t="s">
        <v>58</v>
      </c>
      <c r="E20" s="132" t="s">
        <v>22</v>
      </c>
      <c r="F20" s="130" t="s">
        <v>16</v>
      </c>
      <c r="G20" s="212" t="s">
        <v>684</v>
      </c>
      <c r="H20" s="180" t="s">
        <v>97</v>
      </c>
      <c r="I20" s="56" t="s">
        <v>70</v>
      </c>
      <c r="J20" s="56" t="s">
        <v>346</v>
      </c>
      <c r="K20" s="173"/>
      <c r="L20" s="180" t="s">
        <v>71</v>
      </c>
    </row>
    <row r="21" ht="117.0" customHeight="1">
      <c r="A21" s="20">
        <v>44309.0</v>
      </c>
      <c r="B21" s="130" t="s">
        <v>43</v>
      </c>
      <c r="C21" s="8" t="s">
        <v>20</v>
      </c>
      <c r="D21" s="132" t="s">
        <v>58</v>
      </c>
      <c r="E21" s="132" t="s">
        <v>22</v>
      </c>
      <c r="F21" s="130" t="s">
        <v>16</v>
      </c>
      <c r="G21" s="212" t="s">
        <v>685</v>
      </c>
      <c r="H21" s="180" t="s">
        <v>97</v>
      </c>
      <c r="I21" s="56" t="s">
        <v>463</v>
      </c>
      <c r="J21" s="56" t="s">
        <v>66</v>
      </c>
      <c r="K21" s="173"/>
      <c r="L21" s="180" t="s">
        <v>71</v>
      </c>
    </row>
    <row r="22" ht="160.5" customHeight="1">
      <c r="A22" s="20">
        <v>44300.0</v>
      </c>
      <c r="B22" s="130" t="s">
        <v>43</v>
      </c>
      <c r="C22" s="8" t="s">
        <v>20</v>
      </c>
      <c r="D22" s="132" t="s">
        <v>44</v>
      </c>
      <c r="E22" s="132" t="s">
        <v>22</v>
      </c>
      <c r="F22" s="130" t="s">
        <v>16</v>
      </c>
      <c r="G22" s="212" t="s">
        <v>686</v>
      </c>
      <c r="H22" s="180" t="s">
        <v>97</v>
      </c>
      <c r="I22" s="56"/>
      <c r="J22" s="56"/>
      <c r="K22" s="173"/>
      <c r="L22" s="180" t="s">
        <v>167</v>
      </c>
    </row>
    <row r="23" ht="72.75" customHeight="1">
      <c r="A23" s="20">
        <v>44297.0</v>
      </c>
      <c r="B23" s="130" t="s">
        <v>43</v>
      </c>
      <c r="C23" s="8" t="s">
        <v>30</v>
      </c>
      <c r="D23" s="132" t="s">
        <v>44</v>
      </c>
      <c r="E23" s="133" t="s">
        <v>22</v>
      </c>
      <c r="F23" s="130" t="s">
        <v>16</v>
      </c>
      <c r="G23" s="212" t="s">
        <v>687</v>
      </c>
      <c r="H23" s="184" t="s">
        <v>97</v>
      </c>
      <c r="I23" s="175" t="s">
        <v>127</v>
      </c>
      <c r="J23" s="175"/>
      <c r="K23" s="173"/>
      <c r="L23" s="180" t="s">
        <v>144</v>
      </c>
    </row>
    <row r="24" ht="72.75" customHeight="1">
      <c r="A24" s="20">
        <v>44297.0</v>
      </c>
      <c r="B24" s="130" t="s">
        <v>43</v>
      </c>
      <c r="C24" s="8" t="s">
        <v>30</v>
      </c>
      <c r="D24" s="132" t="s">
        <v>44</v>
      </c>
      <c r="E24" s="133" t="s">
        <v>22</v>
      </c>
      <c r="F24" s="130" t="s">
        <v>16</v>
      </c>
      <c r="G24" s="212" t="s">
        <v>688</v>
      </c>
      <c r="H24" s="184" t="s">
        <v>97</v>
      </c>
      <c r="I24" s="175" t="s">
        <v>127</v>
      </c>
      <c r="J24" s="175"/>
      <c r="K24" s="173"/>
      <c r="L24" s="180" t="s">
        <v>63</v>
      </c>
    </row>
    <row r="25" ht="42.0" customHeight="1">
      <c r="A25" s="20">
        <v>44298.0</v>
      </c>
      <c r="B25" s="130" t="s">
        <v>43</v>
      </c>
      <c r="C25" s="8" t="s">
        <v>36</v>
      </c>
      <c r="D25" s="132" t="s">
        <v>44</v>
      </c>
      <c r="E25" s="133" t="s">
        <v>22</v>
      </c>
      <c r="F25" s="130" t="s">
        <v>16</v>
      </c>
      <c r="G25" s="212" t="s">
        <v>689</v>
      </c>
      <c r="H25" s="184" t="s">
        <v>61</v>
      </c>
      <c r="I25" s="175" t="s">
        <v>66</v>
      </c>
      <c r="J25" s="175"/>
      <c r="K25" s="173"/>
      <c r="L25" s="180" t="s">
        <v>71</v>
      </c>
    </row>
    <row r="26">
      <c r="A26" s="20">
        <v>44298.0</v>
      </c>
      <c r="B26" s="130" t="s">
        <v>43</v>
      </c>
      <c r="C26" s="8" t="s">
        <v>36</v>
      </c>
      <c r="D26" s="132" t="s">
        <v>44</v>
      </c>
      <c r="E26" s="133" t="s">
        <v>22</v>
      </c>
      <c r="F26" s="130" t="s">
        <v>16</v>
      </c>
      <c r="G26" s="212" t="s">
        <v>690</v>
      </c>
      <c r="H26" s="184"/>
      <c r="I26" s="175" t="s">
        <v>66</v>
      </c>
      <c r="J26" s="175" t="s">
        <v>463</v>
      </c>
      <c r="K26" s="173"/>
      <c r="L26" s="180" t="s">
        <v>71</v>
      </c>
    </row>
    <row r="27" ht="103.5" customHeight="1">
      <c r="A27" s="20">
        <v>44298.0</v>
      </c>
      <c r="B27" s="130" t="s">
        <v>43</v>
      </c>
      <c r="C27" s="8" t="s">
        <v>36</v>
      </c>
      <c r="D27" s="132" t="s">
        <v>386</v>
      </c>
      <c r="E27" s="133" t="s">
        <v>22</v>
      </c>
      <c r="F27" s="130" t="s">
        <v>16</v>
      </c>
      <c r="G27" s="212" t="s">
        <v>691</v>
      </c>
      <c r="H27" s="184" t="s">
        <v>61</v>
      </c>
      <c r="I27" s="175" t="s">
        <v>66</v>
      </c>
      <c r="J27" s="175" t="s">
        <v>463</v>
      </c>
      <c r="K27" s="173"/>
      <c r="L27" s="180" t="s">
        <v>71</v>
      </c>
    </row>
    <row r="28" ht="45.0" customHeight="1">
      <c r="A28" s="20">
        <v>44275.0</v>
      </c>
      <c r="B28" s="130" t="s">
        <v>56</v>
      </c>
      <c r="C28" s="8" t="s">
        <v>57</v>
      </c>
      <c r="D28" s="132" t="s">
        <v>21</v>
      </c>
      <c r="E28" s="133" t="s">
        <v>22</v>
      </c>
      <c r="F28" s="130" t="s">
        <v>16</v>
      </c>
      <c r="G28" s="212" t="s">
        <v>692</v>
      </c>
      <c r="H28" s="184"/>
      <c r="I28" s="175" t="s">
        <v>334</v>
      </c>
      <c r="J28" s="175"/>
      <c r="K28" s="173"/>
      <c r="L28" s="180" t="s">
        <v>68</v>
      </c>
    </row>
    <row r="29">
      <c r="A29" s="20">
        <v>44231.0</v>
      </c>
      <c r="B29" s="130" t="s">
        <v>75</v>
      </c>
      <c r="C29" s="8" t="s">
        <v>26</v>
      </c>
      <c r="D29" s="132" t="s">
        <v>77</v>
      </c>
      <c r="E29" s="133" t="s">
        <v>22</v>
      </c>
      <c r="F29" s="130" t="s">
        <v>16</v>
      </c>
      <c r="G29" s="212" t="s">
        <v>693</v>
      </c>
      <c r="H29" s="184"/>
      <c r="I29" s="175" t="s">
        <v>70</v>
      </c>
      <c r="J29" s="175" t="s">
        <v>66</v>
      </c>
      <c r="K29" s="173"/>
      <c r="L29" s="180" t="s">
        <v>63</v>
      </c>
    </row>
    <row r="30" ht="73.5" customHeight="1">
      <c r="A30" s="20">
        <v>44221.0</v>
      </c>
      <c r="B30" s="130" t="s">
        <v>75</v>
      </c>
      <c r="C30" s="8" t="s">
        <v>49</v>
      </c>
      <c r="D30" s="132" t="s">
        <v>77</v>
      </c>
      <c r="E30" s="133" t="s">
        <v>22</v>
      </c>
      <c r="F30" s="130" t="s">
        <v>16</v>
      </c>
      <c r="G30" s="212" t="s">
        <v>694</v>
      </c>
      <c r="H30" s="184"/>
      <c r="I30" s="175" t="s">
        <v>115</v>
      </c>
      <c r="J30" s="175" t="s">
        <v>66</v>
      </c>
      <c r="K30" s="173"/>
      <c r="L30" s="180" t="s">
        <v>63</v>
      </c>
    </row>
    <row r="31">
      <c r="A31" s="20">
        <v>44221.0</v>
      </c>
      <c r="B31" s="130" t="s">
        <v>75</v>
      </c>
      <c r="C31" s="8" t="s">
        <v>76</v>
      </c>
      <c r="D31" s="132" t="s">
        <v>77</v>
      </c>
      <c r="E31" s="133" t="s">
        <v>22</v>
      </c>
      <c r="F31" s="130" t="s">
        <v>16</v>
      </c>
      <c r="G31" s="212" t="s">
        <v>695</v>
      </c>
      <c r="H31" s="184"/>
      <c r="I31" s="175" t="s">
        <v>346</v>
      </c>
      <c r="J31" s="175"/>
      <c r="K31" s="173"/>
      <c r="L31" s="180" t="s">
        <v>63</v>
      </c>
    </row>
    <row r="32" ht="73.5" customHeight="1">
      <c r="A32" s="20">
        <v>44221.0</v>
      </c>
      <c r="B32" s="130" t="s">
        <v>75</v>
      </c>
      <c r="C32" s="8" t="s">
        <v>36</v>
      </c>
      <c r="D32" s="132" t="s">
        <v>77</v>
      </c>
      <c r="E32" s="133" t="s">
        <v>22</v>
      </c>
      <c r="F32" s="130" t="s">
        <v>16</v>
      </c>
      <c r="G32" s="212" t="s">
        <v>696</v>
      </c>
      <c r="H32" s="184"/>
      <c r="I32" s="175" t="s">
        <v>66</v>
      </c>
      <c r="J32" s="175" t="s">
        <v>334</v>
      </c>
      <c r="K32" s="173"/>
      <c r="L32" s="180" t="s">
        <v>63</v>
      </c>
    </row>
    <row r="33" ht="73.5" customHeight="1">
      <c r="A33" s="200"/>
      <c r="B33" s="130"/>
      <c r="C33" s="8"/>
      <c r="D33" s="132"/>
      <c r="E33" s="132"/>
      <c r="F33" s="179"/>
      <c r="G33" s="205"/>
      <c r="H33" s="180"/>
      <c r="I33" s="56"/>
      <c r="J33" s="56"/>
      <c r="K33" s="202"/>
      <c r="L33" s="27"/>
    </row>
    <row r="34" ht="73.5" customHeight="1">
      <c r="A34" s="205"/>
      <c r="B34" s="130"/>
      <c r="C34" s="8"/>
      <c r="D34" s="132"/>
      <c r="E34" s="132"/>
      <c r="F34" s="179"/>
      <c r="H34" s="180"/>
      <c r="I34" s="56"/>
      <c r="J34" s="56"/>
      <c r="K34" s="202"/>
      <c r="L34" s="27"/>
    </row>
    <row r="35" ht="73.5" customHeight="1">
      <c r="A35" s="200"/>
      <c r="B35" s="130"/>
      <c r="C35" s="8"/>
      <c r="D35" s="132"/>
      <c r="E35" s="132"/>
      <c r="F35" s="179"/>
      <c r="G35" s="205"/>
      <c r="H35" s="180"/>
      <c r="I35" s="56"/>
      <c r="J35" s="56"/>
      <c r="K35" s="202"/>
      <c r="L35" s="27"/>
    </row>
    <row r="36" ht="73.5" customHeight="1">
      <c r="A36" s="200"/>
      <c r="B36" s="130"/>
      <c r="C36" s="8"/>
      <c r="D36" s="132"/>
      <c r="E36" s="132"/>
      <c r="F36" s="179"/>
      <c r="G36" s="205"/>
      <c r="H36" s="180"/>
      <c r="I36" s="56"/>
      <c r="J36" s="56"/>
      <c r="K36" s="202"/>
      <c r="L36" s="27"/>
    </row>
    <row r="37" ht="73.5" customHeight="1">
      <c r="A37" s="200"/>
      <c r="B37" s="130"/>
      <c r="C37" s="8"/>
      <c r="D37" s="132"/>
      <c r="E37" s="132"/>
      <c r="F37" s="179"/>
      <c r="G37" s="205"/>
      <c r="H37" s="34"/>
      <c r="I37" s="56"/>
      <c r="J37" s="56"/>
      <c r="K37" s="202"/>
      <c r="L37" s="27"/>
    </row>
    <row r="38" ht="73.5" customHeight="1">
      <c r="A38" s="200"/>
      <c r="B38" s="130"/>
      <c r="C38" s="8"/>
      <c r="D38" s="132"/>
      <c r="E38" s="132"/>
      <c r="F38" s="179"/>
      <c r="G38" s="205"/>
      <c r="H38" s="180"/>
      <c r="I38" s="56"/>
      <c r="J38" s="56"/>
      <c r="K38" s="202"/>
      <c r="L38" s="27"/>
    </row>
    <row r="39">
      <c r="G39" s="186"/>
    </row>
    <row r="40">
      <c r="G40" s="187"/>
    </row>
    <row r="41">
      <c r="G41" s="187"/>
    </row>
    <row r="42">
      <c r="G42" s="187"/>
    </row>
    <row r="43">
      <c r="G43" s="187"/>
    </row>
    <row r="44">
      <c r="G44" s="187"/>
    </row>
    <row r="45">
      <c r="G45" s="187"/>
    </row>
    <row r="46">
      <c r="G46" s="187"/>
    </row>
    <row r="47">
      <c r="G47" s="187"/>
    </row>
    <row r="48">
      <c r="G48" s="187"/>
    </row>
    <row r="49">
      <c r="G49" s="187"/>
    </row>
    <row r="50">
      <c r="G50" s="187"/>
    </row>
    <row r="51">
      <c r="G51" s="187"/>
    </row>
    <row r="52">
      <c r="G52" s="187"/>
    </row>
    <row r="53">
      <c r="G53" s="187"/>
    </row>
    <row r="54">
      <c r="G54" s="187"/>
    </row>
    <row r="55">
      <c r="G55" s="187"/>
    </row>
    <row r="56">
      <c r="G56" s="187"/>
    </row>
    <row r="57">
      <c r="G57" s="187"/>
    </row>
    <row r="58">
      <c r="G58" s="187"/>
    </row>
    <row r="59">
      <c r="G59" s="187"/>
    </row>
    <row r="60">
      <c r="G60" s="187"/>
    </row>
    <row r="61">
      <c r="G61" s="187"/>
    </row>
    <row r="62">
      <c r="G62" s="187"/>
    </row>
    <row r="63">
      <c r="G63" s="187"/>
    </row>
    <row r="64">
      <c r="G64" s="187"/>
    </row>
    <row r="65">
      <c r="G65" s="187"/>
    </row>
    <row r="66">
      <c r="G66" s="187"/>
    </row>
    <row r="67">
      <c r="G67" s="187"/>
    </row>
    <row r="68">
      <c r="G68" s="187"/>
    </row>
    <row r="69">
      <c r="G69" s="187"/>
    </row>
    <row r="70">
      <c r="G70" s="187"/>
    </row>
    <row r="71">
      <c r="G71" s="187"/>
    </row>
    <row r="72">
      <c r="G72" s="187"/>
    </row>
    <row r="73">
      <c r="G73" s="187"/>
    </row>
    <row r="74">
      <c r="G74" s="187"/>
    </row>
    <row r="75">
      <c r="G75" s="187"/>
    </row>
    <row r="76">
      <c r="G76" s="187"/>
    </row>
    <row r="77">
      <c r="G77" s="187"/>
    </row>
    <row r="78">
      <c r="G78" s="187"/>
    </row>
    <row r="79">
      <c r="G79" s="187"/>
    </row>
    <row r="80">
      <c r="G80" s="187"/>
    </row>
    <row r="81">
      <c r="G81" s="187"/>
    </row>
    <row r="82">
      <c r="G82" s="187"/>
    </row>
    <row r="83">
      <c r="G83" s="187"/>
    </row>
    <row r="84">
      <c r="G84" s="187"/>
    </row>
    <row r="85">
      <c r="G85" s="187"/>
    </row>
    <row r="86">
      <c r="G86" s="187"/>
    </row>
    <row r="87">
      <c r="G87" s="187"/>
    </row>
    <row r="88">
      <c r="G88" s="187"/>
    </row>
    <row r="89">
      <c r="G89" s="187"/>
    </row>
    <row r="90">
      <c r="G90" s="187"/>
    </row>
    <row r="91">
      <c r="G91" s="187"/>
    </row>
    <row r="92">
      <c r="G92" s="187"/>
    </row>
    <row r="93">
      <c r="G93" s="187"/>
    </row>
    <row r="94">
      <c r="G94" s="187"/>
    </row>
    <row r="95">
      <c r="G95" s="187"/>
    </row>
    <row r="96">
      <c r="G96" s="187"/>
    </row>
    <row r="97">
      <c r="G97" s="187"/>
    </row>
    <row r="98">
      <c r="G98" s="187"/>
    </row>
    <row r="99">
      <c r="G99" s="187"/>
    </row>
    <row r="100">
      <c r="G100" s="187"/>
    </row>
    <row r="101">
      <c r="G101" s="187"/>
    </row>
    <row r="102">
      <c r="G102" s="187"/>
    </row>
    <row r="103">
      <c r="G103" s="187"/>
    </row>
    <row r="104">
      <c r="G104" s="187"/>
    </row>
    <row r="105">
      <c r="G105" s="187"/>
    </row>
    <row r="106">
      <c r="G106" s="187"/>
    </row>
    <row r="107">
      <c r="G107" s="187"/>
    </row>
    <row r="108">
      <c r="G108" s="187"/>
    </row>
    <row r="109">
      <c r="G109" s="187"/>
    </row>
    <row r="110">
      <c r="G110" s="187"/>
    </row>
    <row r="111">
      <c r="G111" s="187"/>
    </row>
    <row r="112">
      <c r="G112" s="187"/>
    </row>
    <row r="113">
      <c r="G113" s="187"/>
    </row>
    <row r="114">
      <c r="G114" s="187"/>
    </row>
    <row r="115">
      <c r="G115" s="187"/>
    </row>
    <row r="116">
      <c r="G116" s="187"/>
    </row>
    <row r="117">
      <c r="G117" s="187"/>
    </row>
    <row r="118">
      <c r="G118" s="187"/>
    </row>
    <row r="119">
      <c r="G119" s="187"/>
    </row>
    <row r="120">
      <c r="G120" s="187"/>
    </row>
    <row r="121">
      <c r="G121" s="187"/>
    </row>
    <row r="122">
      <c r="G122" s="187"/>
    </row>
    <row r="123">
      <c r="G123" s="187"/>
    </row>
    <row r="124">
      <c r="G124" s="187"/>
    </row>
    <row r="125">
      <c r="G125" s="187"/>
    </row>
    <row r="126">
      <c r="G126" s="187"/>
    </row>
    <row r="127">
      <c r="G127" s="187"/>
    </row>
    <row r="128">
      <c r="G128" s="187"/>
    </row>
    <row r="129">
      <c r="G129" s="187"/>
    </row>
    <row r="130">
      <c r="G130" s="187"/>
    </row>
    <row r="131">
      <c r="G131" s="187"/>
    </row>
    <row r="132">
      <c r="G132" s="187"/>
    </row>
    <row r="133">
      <c r="G133" s="187"/>
    </row>
    <row r="134">
      <c r="G134" s="187"/>
    </row>
    <row r="135">
      <c r="G135" s="187"/>
    </row>
    <row r="136">
      <c r="G136" s="187"/>
    </row>
    <row r="137">
      <c r="G137" s="187"/>
    </row>
    <row r="138">
      <c r="G138" s="187"/>
    </row>
    <row r="139">
      <c r="G139" s="187"/>
    </row>
    <row r="140">
      <c r="G140" s="187"/>
    </row>
    <row r="141">
      <c r="G141" s="187"/>
    </row>
    <row r="142">
      <c r="G142" s="187"/>
    </row>
    <row r="143">
      <c r="G143" s="187"/>
    </row>
    <row r="144">
      <c r="G144" s="187"/>
    </row>
    <row r="145">
      <c r="G145" s="187"/>
    </row>
    <row r="146">
      <c r="G146" s="187"/>
    </row>
    <row r="147">
      <c r="G147" s="187"/>
    </row>
    <row r="148">
      <c r="G148" s="187"/>
    </row>
    <row r="149">
      <c r="G149" s="187"/>
    </row>
    <row r="150">
      <c r="G150" s="187"/>
    </row>
    <row r="151">
      <c r="G151" s="187"/>
    </row>
    <row r="152">
      <c r="G152" s="187"/>
    </row>
    <row r="153">
      <c r="G153" s="187"/>
    </row>
    <row r="154">
      <c r="G154" s="187"/>
    </row>
    <row r="155">
      <c r="G155" s="187"/>
    </row>
    <row r="156">
      <c r="G156" s="187"/>
    </row>
    <row r="157">
      <c r="G157" s="187"/>
    </row>
    <row r="158">
      <c r="G158" s="187"/>
    </row>
    <row r="159">
      <c r="G159" s="187"/>
    </row>
    <row r="160">
      <c r="G160" s="187"/>
    </row>
    <row r="161">
      <c r="G161" s="187"/>
    </row>
    <row r="162">
      <c r="G162" s="187"/>
    </row>
    <row r="163">
      <c r="G163" s="187"/>
    </row>
    <row r="164">
      <c r="G164" s="187"/>
    </row>
    <row r="165">
      <c r="G165" s="187"/>
    </row>
    <row r="166">
      <c r="G166" s="187"/>
    </row>
    <row r="167">
      <c r="G167" s="187"/>
    </row>
    <row r="168">
      <c r="G168" s="187"/>
    </row>
    <row r="169">
      <c r="G169" s="187"/>
    </row>
    <row r="170">
      <c r="G170" s="187"/>
    </row>
    <row r="171">
      <c r="G171" s="187"/>
    </row>
    <row r="172">
      <c r="G172" s="187"/>
    </row>
    <row r="173">
      <c r="G173" s="187"/>
    </row>
    <row r="174">
      <c r="G174" s="187"/>
    </row>
    <row r="175">
      <c r="G175" s="187"/>
    </row>
    <row r="176">
      <c r="G176" s="187"/>
    </row>
    <row r="177">
      <c r="G177" s="187"/>
    </row>
    <row r="178">
      <c r="G178" s="187"/>
    </row>
    <row r="179">
      <c r="G179" s="187"/>
    </row>
    <row r="180">
      <c r="G180" s="187"/>
    </row>
    <row r="181">
      <c r="G181" s="187"/>
    </row>
    <row r="182">
      <c r="G182" s="187"/>
    </row>
    <row r="183">
      <c r="G183" s="187"/>
    </row>
    <row r="184">
      <c r="G184" s="187"/>
    </row>
    <row r="185">
      <c r="G185" s="187"/>
    </row>
    <row r="186">
      <c r="G186" s="187"/>
    </row>
    <row r="187">
      <c r="G187" s="187"/>
    </row>
    <row r="188">
      <c r="G188" s="187"/>
    </row>
    <row r="189">
      <c r="G189" s="187"/>
    </row>
    <row r="190">
      <c r="G190" s="187"/>
    </row>
    <row r="191">
      <c r="G191" s="187"/>
    </row>
    <row r="192">
      <c r="G192" s="187"/>
    </row>
    <row r="193">
      <c r="G193" s="187"/>
    </row>
    <row r="194">
      <c r="G194" s="187"/>
    </row>
    <row r="195">
      <c r="G195" s="187"/>
    </row>
    <row r="196">
      <c r="G196" s="187"/>
    </row>
    <row r="197">
      <c r="G197" s="187"/>
    </row>
    <row r="198">
      <c r="G198" s="187"/>
    </row>
    <row r="199">
      <c r="G199" s="187"/>
    </row>
    <row r="200">
      <c r="G200" s="187"/>
    </row>
    <row r="201">
      <c r="G201" s="187"/>
    </row>
    <row r="202">
      <c r="G202" s="187"/>
    </row>
    <row r="203">
      <c r="G203" s="187"/>
    </row>
    <row r="204">
      <c r="G204" s="187"/>
    </row>
    <row r="205">
      <c r="G205" s="187"/>
    </row>
    <row r="206">
      <c r="G206" s="187"/>
    </row>
    <row r="207">
      <c r="G207" s="187"/>
    </row>
    <row r="208">
      <c r="G208" s="187"/>
    </row>
    <row r="209">
      <c r="G209" s="187"/>
    </row>
    <row r="210">
      <c r="G210" s="187"/>
    </row>
    <row r="211">
      <c r="G211" s="187"/>
    </row>
    <row r="212">
      <c r="G212" s="187"/>
    </row>
    <row r="213">
      <c r="G213" s="187"/>
    </row>
    <row r="214">
      <c r="G214" s="187"/>
    </row>
    <row r="215">
      <c r="G215" s="187"/>
    </row>
    <row r="216">
      <c r="G216" s="187"/>
    </row>
    <row r="217">
      <c r="G217" s="187"/>
    </row>
    <row r="218">
      <c r="G218" s="187"/>
    </row>
    <row r="219">
      <c r="G219" s="187"/>
    </row>
    <row r="220">
      <c r="G220" s="187"/>
    </row>
    <row r="221">
      <c r="G221" s="187"/>
    </row>
    <row r="222">
      <c r="G222" s="187"/>
    </row>
    <row r="223">
      <c r="G223" s="187"/>
    </row>
    <row r="224">
      <c r="G224" s="187"/>
    </row>
    <row r="225">
      <c r="G225" s="187"/>
    </row>
    <row r="226">
      <c r="G226" s="187"/>
    </row>
    <row r="227">
      <c r="G227" s="187"/>
    </row>
    <row r="228">
      <c r="G228" s="187"/>
    </row>
    <row r="229">
      <c r="G229" s="187"/>
    </row>
    <row r="230">
      <c r="G230" s="187"/>
    </row>
    <row r="231">
      <c r="G231" s="187"/>
    </row>
    <row r="232">
      <c r="G232" s="187"/>
    </row>
    <row r="233">
      <c r="G233" s="187"/>
    </row>
    <row r="234">
      <c r="G234" s="187"/>
    </row>
    <row r="235">
      <c r="G235" s="187"/>
    </row>
    <row r="236">
      <c r="G236" s="187"/>
    </row>
    <row r="237">
      <c r="G237" s="187"/>
    </row>
    <row r="238">
      <c r="G238" s="187"/>
    </row>
    <row r="239">
      <c r="G239" s="187"/>
    </row>
    <row r="240">
      <c r="G240" s="187"/>
    </row>
    <row r="241">
      <c r="G241" s="187"/>
    </row>
    <row r="242">
      <c r="G242" s="187"/>
    </row>
    <row r="243">
      <c r="G243" s="187"/>
    </row>
    <row r="244">
      <c r="G244" s="187"/>
    </row>
    <row r="245">
      <c r="G245" s="187"/>
    </row>
    <row r="246">
      <c r="G246" s="187"/>
    </row>
    <row r="247">
      <c r="G247" s="187"/>
    </row>
    <row r="248">
      <c r="G248" s="187"/>
    </row>
    <row r="249">
      <c r="G249" s="187"/>
    </row>
    <row r="250">
      <c r="G250" s="187"/>
    </row>
    <row r="251">
      <c r="G251" s="187"/>
    </row>
    <row r="252">
      <c r="G252" s="187"/>
    </row>
    <row r="253">
      <c r="G253" s="187"/>
    </row>
    <row r="254">
      <c r="G254" s="187"/>
    </row>
    <row r="255">
      <c r="G255" s="187"/>
    </row>
    <row r="256">
      <c r="G256" s="187"/>
    </row>
    <row r="257">
      <c r="G257" s="187"/>
    </row>
    <row r="258">
      <c r="G258" s="187"/>
    </row>
    <row r="259">
      <c r="G259" s="187"/>
    </row>
    <row r="260">
      <c r="G260" s="187"/>
    </row>
    <row r="261">
      <c r="G261" s="187"/>
    </row>
    <row r="262">
      <c r="G262" s="187"/>
    </row>
    <row r="263">
      <c r="G263" s="187"/>
    </row>
    <row r="264">
      <c r="G264" s="187"/>
    </row>
    <row r="265">
      <c r="G265" s="187"/>
    </row>
    <row r="266">
      <c r="G266" s="187"/>
    </row>
    <row r="267">
      <c r="G267" s="187"/>
    </row>
    <row r="268">
      <c r="G268" s="187"/>
    </row>
    <row r="269">
      <c r="G269" s="187"/>
    </row>
    <row r="270">
      <c r="G270" s="187"/>
    </row>
    <row r="271">
      <c r="G271" s="187"/>
    </row>
    <row r="272">
      <c r="G272" s="187"/>
    </row>
    <row r="273">
      <c r="G273" s="187"/>
    </row>
    <row r="274">
      <c r="G274" s="187"/>
    </row>
    <row r="275">
      <c r="G275" s="187"/>
    </row>
    <row r="276">
      <c r="G276" s="187"/>
    </row>
    <row r="277">
      <c r="G277" s="187"/>
    </row>
    <row r="278">
      <c r="G278" s="187"/>
    </row>
    <row r="279">
      <c r="G279" s="187"/>
    </row>
    <row r="280">
      <c r="G280" s="187"/>
    </row>
    <row r="281">
      <c r="G281" s="187"/>
    </row>
    <row r="282">
      <c r="G282" s="187"/>
    </row>
    <row r="283">
      <c r="G283" s="187"/>
    </row>
    <row r="284">
      <c r="G284" s="187"/>
    </row>
    <row r="285">
      <c r="G285" s="187"/>
    </row>
    <row r="286">
      <c r="G286" s="187"/>
    </row>
    <row r="287">
      <c r="G287" s="187"/>
    </row>
    <row r="288">
      <c r="G288" s="187"/>
    </row>
    <row r="289">
      <c r="G289" s="187"/>
    </row>
    <row r="290">
      <c r="G290" s="187"/>
    </row>
    <row r="291">
      <c r="G291" s="187"/>
    </row>
    <row r="292">
      <c r="G292" s="187"/>
    </row>
    <row r="293">
      <c r="G293" s="187"/>
    </row>
    <row r="294">
      <c r="G294" s="187"/>
    </row>
    <row r="295">
      <c r="G295" s="187"/>
    </row>
    <row r="296">
      <c r="G296" s="187"/>
    </row>
    <row r="297">
      <c r="G297" s="187"/>
    </row>
    <row r="298">
      <c r="G298" s="187"/>
    </row>
    <row r="299">
      <c r="G299" s="187"/>
    </row>
    <row r="300">
      <c r="G300" s="187"/>
    </row>
    <row r="301">
      <c r="G301" s="187"/>
    </row>
    <row r="302">
      <c r="G302" s="187"/>
    </row>
    <row r="303">
      <c r="G303" s="187"/>
    </row>
    <row r="304">
      <c r="G304" s="187"/>
    </row>
    <row r="305">
      <c r="G305" s="187"/>
    </row>
    <row r="306">
      <c r="G306" s="187"/>
    </row>
    <row r="307">
      <c r="G307" s="187"/>
    </row>
    <row r="308">
      <c r="G308" s="187"/>
    </row>
    <row r="309">
      <c r="G309" s="187"/>
    </row>
    <row r="310">
      <c r="G310" s="187"/>
    </row>
    <row r="311">
      <c r="G311" s="187"/>
    </row>
    <row r="312">
      <c r="G312" s="187"/>
    </row>
    <row r="313">
      <c r="G313" s="187"/>
    </row>
    <row r="314">
      <c r="G314" s="187"/>
    </row>
    <row r="315">
      <c r="G315" s="187"/>
    </row>
    <row r="316">
      <c r="G316" s="187"/>
    </row>
    <row r="317">
      <c r="G317" s="187"/>
    </row>
    <row r="318">
      <c r="G318" s="187"/>
    </row>
    <row r="319">
      <c r="G319" s="187"/>
    </row>
    <row r="320">
      <c r="G320" s="187"/>
    </row>
    <row r="321">
      <c r="G321" s="187"/>
    </row>
    <row r="322">
      <c r="G322" s="187"/>
    </row>
    <row r="323">
      <c r="G323" s="187"/>
    </row>
    <row r="324">
      <c r="G324" s="187"/>
    </row>
    <row r="325">
      <c r="G325" s="187"/>
    </row>
    <row r="326">
      <c r="G326" s="187"/>
    </row>
    <row r="327">
      <c r="G327" s="187"/>
    </row>
    <row r="328">
      <c r="G328" s="187"/>
    </row>
    <row r="329">
      <c r="G329" s="187"/>
    </row>
    <row r="330">
      <c r="G330" s="187"/>
    </row>
    <row r="331">
      <c r="G331" s="187"/>
    </row>
    <row r="332">
      <c r="G332" s="187"/>
    </row>
    <row r="333">
      <c r="G333" s="187"/>
    </row>
    <row r="334">
      <c r="G334" s="187"/>
    </row>
    <row r="335">
      <c r="G335" s="187"/>
    </row>
    <row r="336">
      <c r="G336" s="187"/>
    </row>
    <row r="337">
      <c r="G337" s="187"/>
    </row>
    <row r="338">
      <c r="G338" s="187"/>
    </row>
    <row r="339">
      <c r="G339" s="187"/>
    </row>
    <row r="340">
      <c r="G340" s="187"/>
    </row>
    <row r="341">
      <c r="G341" s="187"/>
    </row>
    <row r="342">
      <c r="G342" s="187"/>
    </row>
    <row r="343">
      <c r="G343" s="187"/>
    </row>
    <row r="344">
      <c r="G344" s="187"/>
    </row>
    <row r="345">
      <c r="G345" s="187"/>
    </row>
    <row r="346">
      <c r="G346" s="187"/>
    </row>
    <row r="347">
      <c r="G347" s="187"/>
    </row>
    <row r="348">
      <c r="G348" s="187"/>
    </row>
    <row r="349">
      <c r="G349" s="187"/>
    </row>
    <row r="350">
      <c r="G350" s="187"/>
    </row>
    <row r="351">
      <c r="G351" s="187"/>
    </row>
    <row r="352">
      <c r="G352" s="187"/>
    </row>
    <row r="353">
      <c r="G353" s="187"/>
    </row>
    <row r="354">
      <c r="G354" s="187"/>
    </row>
    <row r="355">
      <c r="G355" s="187"/>
    </row>
    <row r="356">
      <c r="G356" s="187"/>
    </row>
    <row r="357">
      <c r="G357" s="187"/>
    </row>
    <row r="358">
      <c r="G358" s="187"/>
    </row>
    <row r="359">
      <c r="G359" s="187"/>
    </row>
    <row r="360">
      <c r="G360" s="187"/>
    </row>
    <row r="361">
      <c r="G361" s="187"/>
    </row>
    <row r="362">
      <c r="G362" s="187"/>
    </row>
    <row r="363">
      <c r="G363" s="187"/>
    </row>
    <row r="364">
      <c r="G364" s="187"/>
    </row>
    <row r="365">
      <c r="G365" s="187"/>
    </row>
    <row r="366">
      <c r="G366" s="187"/>
    </row>
    <row r="367">
      <c r="G367" s="187"/>
    </row>
    <row r="368">
      <c r="G368" s="187"/>
    </row>
    <row r="369">
      <c r="G369" s="187"/>
    </row>
    <row r="370">
      <c r="G370" s="187"/>
    </row>
    <row r="371">
      <c r="G371" s="187"/>
    </row>
    <row r="372">
      <c r="G372" s="187"/>
    </row>
    <row r="373">
      <c r="G373" s="187"/>
    </row>
    <row r="374">
      <c r="G374" s="187"/>
    </row>
    <row r="375">
      <c r="G375" s="187"/>
    </row>
    <row r="376">
      <c r="G376" s="187"/>
    </row>
    <row r="377">
      <c r="G377" s="187"/>
    </row>
    <row r="378">
      <c r="G378" s="187"/>
    </row>
    <row r="379">
      <c r="G379" s="187"/>
    </row>
    <row r="380">
      <c r="G380" s="187"/>
    </row>
    <row r="381">
      <c r="G381" s="187"/>
    </row>
    <row r="382">
      <c r="G382" s="187"/>
    </row>
    <row r="383">
      <c r="G383" s="187"/>
    </row>
    <row r="384">
      <c r="G384" s="187"/>
    </row>
    <row r="385">
      <c r="G385" s="187"/>
    </row>
    <row r="386">
      <c r="G386" s="187"/>
    </row>
    <row r="387">
      <c r="G387" s="187"/>
    </row>
    <row r="388">
      <c r="G388" s="187"/>
    </row>
    <row r="389">
      <c r="G389" s="187"/>
    </row>
    <row r="390">
      <c r="G390" s="187"/>
    </row>
    <row r="391">
      <c r="G391" s="187"/>
    </row>
    <row r="392">
      <c r="G392" s="187"/>
    </row>
    <row r="393">
      <c r="G393" s="187"/>
    </row>
    <row r="394">
      <c r="G394" s="187"/>
    </row>
    <row r="395">
      <c r="G395" s="187"/>
    </row>
    <row r="396">
      <c r="G396" s="187"/>
    </row>
    <row r="397">
      <c r="G397" s="187"/>
    </row>
    <row r="398">
      <c r="G398" s="187"/>
    </row>
    <row r="399">
      <c r="G399" s="187"/>
    </row>
    <row r="400">
      <c r="G400" s="187"/>
    </row>
    <row r="401">
      <c r="G401" s="187"/>
    </row>
    <row r="402">
      <c r="G402" s="187"/>
    </row>
    <row r="403">
      <c r="G403" s="187"/>
    </row>
    <row r="404">
      <c r="G404" s="187"/>
    </row>
    <row r="405">
      <c r="G405" s="187"/>
    </row>
    <row r="406">
      <c r="G406" s="187"/>
    </row>
    <row r="407">
      <c r="G407" s="187"/>
    </row>
    <row r="408">
      <c r="G408" s="187"/>
    </row>
    <row r="409">
      <c r="G409" s="187"/>
    </row>
    <row r="410">
      <c r="G410" s="187"/>
    </row>
    <row r="411">
      <c r="G411" s="187"/>
    </row>
    <row r="412">
      <c r="G412" s="187"/>
    </row>
    <row r="413">
      <c r="G413" s="187"/>
    </row>
    <row r="414">
      <c r="G414" s="187"/>
    </row>
    <row r="415">
      <c r="G415" s="187"/>
    </row>
    <row r="416">
      <c r="G416" s="187"/>
    </row>
    <row r="417">
      <c r="G417" s="187"/>
    </row>
    <row r="418">
      <c r="G418" s="187"/>
    </row>
    <row r="419">
      <c r="G419" s="187"/>
    </row>
    <row r="420">
      <c r="G420" s="187"/>
    </row>
    <row r="421">
      <c r="G421" s="187"/>
    </row>
    <row r="422">
      <c r="G422" s="187"/>
    </row>
    <row r="423">
      <c r="G423" s="187"/>
    </row>
    <row r="424">
      <c r="G424" s="187"/>
    </row>
    <row r="425">
      <c r="G425" s="187"/>
    </row>
    <row r="426">
      <c r="G426" s="187"/>
    </row>
    <row r="427">
      <c r="G427" s="187"/>
    </row>
    <row r="428">
      <c r="G428" s="187"/>
    </row>
    <row r="429">
      <c r="G429" s="187"/>
    </row>
    <row r="430">
      <c r="G430" s="187"/>
    </row>
    <row r="431">
      <c r="G431" s="187"/>
    </row>
    <row r="432">
      <c r="G432" s="187"/>
    </row>
    <row r="433">
      <c r="G433" s="187"/>
    </row>
    <row r="434">
      <c r="G434" s="187"/>
    </row>
    <row r="435">
      <c r="G435" s="187"/>
    </row>
    <row r="436">
      <c r="G436" s="187"/>
    </row>
    <row r="437">
      <c r="G437" s="187"/>
    </row>
    <row r="438">
      <c r="G438" s="187"/>
    </row>
    <row r="439">
      <c r="G439" s="187"/>
    </row>
    <row r="440">
      <c r="G440" s="187"/>
    </row>
    <row r="441">
      <c r="G441" s="187"/>
    </row>
    <row r="442">
      <c r="G442" s="187"/>
    </row>
    <row r="443">
      <c r="G443" s="187"/>
    </row>
    <row r="444">
      <c r="G444" s="187"/>
    </row>
    <row r="445">
      <c r="G445" s="187"/>
    </row>
    <row r="446">
      <c r="G446" s="187"/>
    </row>
    <row r="447">
      <c r="G447" s="187"/>
    </row>
    <row r="448">
      <c r="G448" s="187"/>
    </row>
    <row r="449">
      <c r="G449" s="187"/>
    </row>
    <row r="450">
      <c r="G450" s="187"/>
    </row>
    <row r="451">
      <c r="G451" s="187"/>
    </row>
    <row r="452">
      <c r="G452" s="187"/>
    </row>
    <row r="453">
      <c r="G453" s="187"/>
    </row>
    <row r="454">
      <c r="G454" s="187"/>
    </row>
    <row r="455">
      <c r="G455" s="187"/>
    </row>
    <row r="456">
      <c r="G456" s="187"/>
    </row>
    <row r="457">
      <c r="G457" s="187"/>
    </row>
    <row r="458">
      <c r="G458" s="187"/>
    </row>
    <row r="459">
      <c r="G459" s="187"/>
    </row>
    <row r="460">
      <c r="G460" s="187"/>
    </row>
    <row r="461">
      <c r="G461" s="187"/>
    </row>
    <row r="462">
      <c r="G462" s="187"/>
    </row>
    <row r="463">
      <c r="G463" s="187"/>
    </row>
    <row r="464">
      <c r="G464" s="187"/>
    </row>
    <row r="465">
      <c r="G465" s="187"/>
    </row>
    <row r="466">
      <c r="G466" s="187"/>
    </row>
    <row r="467">
      <c r="G467" s="187"/>
    </row>
    <row r="468">
      <c r="G468" s="187"/>
    </row>
    <row r="469">
      <c r="G469" s="187"/>
    </row>
    <row r="470">
      <c r="G470" s="187"/>
    </row>
    <row r="471">
      <c r="G471" s="187"/>
    </row>
    <row r="472">
      <c r="G472" s="187"/>
    </row>
    <row r="473">
      <c r="G473" s="187"/>
    </row>
    <row r="474">
      <c r="G474" s="187"/>
    </row>
    <row r="475">
      <c r="G475" s="187"/>
    </row>
    <row r="476">
      <c r="G476" s="187"/>
    </row>
    <row r="477">
      <c r="G477" s="187"/>
    </row>
    <row r="478">
      <c r="G478" s="187"/>
    </row>
    <row r="479">
      <c r="G479" s="187"/>
    </row>
    <row r="480">
      <c r="G480" s="187"/>
    </row>
    <row r="481">
      <c r="G481" s="187"/>
    </row>
    <row r="482">
      <c r="G482" s="187"/>
    </row>
    <row r="483">
      <c r="G483" s="187"/>
    </row>
    <row r="484">
      <c r="G484" s="187"/>
    </row>
    <row r="485">
      <c r="G485" s="187"/>
    </row>
    <row r="486">
      <c r="G486" s="187"/>
    </row>
    <row r="487">
      <c r="G487" s="187"/>
    </row>
    <row r="488">
      <c r="G488" s="187"/>
    </row>
    <row r="489">
      <c r="G489" s="187"/>
    </row>
    <row r="490">
      <c r="G490" s="187"/>
    </row>
    <row r="491">
      <c r="G491" s="187"/>
    </row>
    <row r="492">
      <c r="G492" s="187"/>
    </row>
    <row r="493">
      <c r="G493" s="187"/>
    </row>
    <row r="494">
      <c r="G494" s="187"/>
    </row>
    <row r="495">
      <c r="G495" s="187"/>
    </row>
    <row r="496">
      <c r="G496" s="187"/>
    </row>
    <row r="497">
      <c r="G497" s="187"/>
    </row>
    <row r="498">
      <c r="G498" s="187"/>
    </row>
    <row r="499">
      <c r="G499" s="187"/>
    </row>
    <row r="500">
      <c r="G500" s="187"/>
    </row>
    <row r="501">
      <c r="G501" s="187"/>
    </row>
    <row r="502">
      <c r="G502" s="187"/>
    </row>
    <row r="503">
      <c r="G503" s="187"/>
    </row>
    <row r="504">
      <c r="G504" s="187"/>
    </row>
    <row r="505">
      <c r="G505" s="187"/>
    </row>
    <row r="506">
      <c r="G506" s="187"/>
    </row>
    <row r="507">
      <c r="G507" s="187"/>
    </row>
    <row r="508">
      <c r="G508" s="187"/>
    </row>
    <row r="509">
      <c r="G509" s="187"/>
    </row>
    <row r="510">
      <c r="G510" s="187"/>
    </row>
    <row r="511">
      <c r="G511" s="187"/>
    </row>
    <row r="512">
      <c r="G512" s="187"/>
    </row>
    <row r="513">
      <c r="G513" s="187"/>
    </row>
    <row r="514">
      <c r="G514" s="187"/>
    </row>
    <row r="515">
      <c r="G515" s="187"/>
    </row>
    <row r="516">
      <c r="G516" s="187"/>
    </row>
    <row r="517">
      <c r="G517" s="187"/>
    </row>
    <row r="518">
      <c r="G518" s="187"/>
    </row>
    <row r="519">
      <c r="G519" s="187"/>
    </row>
    <row r="520">
      <c r="G520" s="187"/>
    </row>
    <row r="521">
      <c r="G521" s="187"/>
    </row>
    <row r="522">
      <c r="G522" s="187"/>
    </row>
    <row r="523">
      <c r="G523" s="187"/>
    </row>
    <row r="524">
      <c r="G524" s="187"/>
    </row>
    <row r="525">
      <c r="G525" s="187"/>
    </row>
    <row r="526">
      <c r="G526" s="187"/>
    </row>
    <row r="527">
      <c r="G527" s="187"/>
    </row>
    <row r="528">
      <c r="G528" s="187"/>
    </row>
    <row r="529">
      <c r="G529" s="187"/>
    </row>
    <row r="530">
      <c r="G530" s="187"/>
    </row>
    <row r="531">
      <c r="G531" s="187"/>
    </row>
    <row r="532">
      <c r="G532" s="187"/>
    </row>
    <row r="533">
      <c r="G533" s="187"/>
    </row>
    <row r="534">
      <c r="G534" s="187"/>
    </row>
    <row r="535">
      <c r="G535" s="187"/>
    </row>
    <row r="536">
      <c r="G536" s="187"/>
    </row>
    <row r="537">
      <c r="G537" s="187"/>
    </row>
    <row r="538">
      <c r="G538" s="187"/>
    </row>
    <row r="539">
      <c r="G539" s="187"/>
    </row>
    <row r="540">
      <c r="G540" s="187"/>
    </row>
    <row r="541">
      <c r="G541" s="187"/>
    </row>
    <row r="542">
      <c r="G542" s="187"/>
    </row>
    <row r="543">
      <c r="G543" s="187"/>
    </row>
    <row r="544">
      <c r="G544" s="187"/>
    </row>
    <row r="545">
      <c r="G545" s="187"/>
    </row>
    <row r="546">
      <c r="G546" s="187"/>
    </row>
    <row r="547">
      <c r="G547" s="187"/>
    </row>
    <row r="548">
      <c r="G548" s="187"/>
    </row>
    <row r="549">
      <c r="G549" s="187"/>
    </row>
    <row r="550">
      <c r="G550" s="187"/>
    </row>
    <row r="551">
      <c r="G551" s="187"/>
    </row>
    <row r="552">
      <c r="G552" s="187"/>
    </row>
    <row r="553">
      <c r="G553" s="187"/>
    </row>
    <row r="554">
      <c r="G554" s="187"/>
    </row>
    <row r="555">
      <c r="G555" s="187"/>
    </row>
    <row r="556">
      <c r="G556" s="187"/>
    </row>
    <row r="557">
      <c r="G557" s="187"/>
    </row>
    <row r="558">
      <c r="G558" s="187"/>
    </row>
    <row r="559">
      <c r="G559" s="187"/>
    </row>
    <row r="560">
      <c r="G560" s="187"/>
    </row>
    <row r="561">
      <c r="G561" s="187"/>
    </row>
    <row r="562">
      <c r="G562" s="187"/>
    </row>
    <row r="563">
      <c r="G563" s="187"/>
    </row>
    <row r="564">
      <c r="G564" s="187"/>
    </row>
    <row r="565">
      <c r="G565" s="187"/>
    </row>
    <row r="566">
      <c r="G566" s="187"/>
    </row>
    <row r="567">
      <c r="G567" s="187"/>
    </row>
    <row r="568">
      <c r="G568" s="187"/>
    </row>
    <row r="569">
      <c r="G569" s="187"/>
    </row>
    <row r="570">
      <c r="G570" s="187"/>
    </row>
    <row r="571">
      <c r="G571" s="187"/>
    </row>
    <row r="572">
      <c r="G572" s="187"/>
    </row>
    <row r="573">
      <c r="G573" s="187"/>
    </row>
    <row r="574">
      <c r="G574" s="187"/>
    </row>
    <row r="575">
      <c r="G575" s="187"/>
    </row>
    <row r="576">
      <c r="G576" s="187"/>
    </row>
    <row r="577">
      <c r="G577" s="187"/>
    </row>
    <row r="578">
      <c r="G578" s="187"/>
    </row>
    <row r="579">
      <c r="G579" s="187"/>
    </row>
    <row r="580">
      <c r="G580" s="187"/>
    </row>
    <row r="581">
      <c r="G581" s="187"/>
    </row>
    <row r="582">
      <c r="G582" s="187"/>
    </row>
    <row r="583">
      <c r="G583" s="187"/>
    </row>
    <row r="584">
      <c r="G584" s="187"/>
    </row>
    <row r="585">
      <c r="G585" s="187"/>
    </row>
    <row r="586">
      <c r="G586" s="187"/>
    </row>
    <row r="587">
      <c r="G587" s="187"/>
    </row>
    <row r="588">
      <c r="G588" s="187"/>
    </row>
    <row r="589">
      <c r="G589" s="187"/>
    </row>
    <row r="590">
      <c r="G590" s="187"/>
    </row>
    <row r="591">
      <c r="G591" s="187"/>
    </row>
    <row r="592">
      <c r="G592" s="187"/>
    </row>
    <row r="593">
      <c r="G593" s="187"/>
    </row>
    <row r="594">
      <c r="G594" s="187"/>
    </row>
    <row r="595">
      <c r="G595" s="187"/>
    </row>
    <row r="596">
      <c r="G596" s="187"/>
    </row>
    <row r="597">
      <c r="G597" s="187"/>
    </row>
    <row r="598">
      <c r="G598" s="187"/>
    </row>
    <row r="599">
      <c r="G599" s="187"/>
    </row>
    <row r="600">
      <c r="G600" s="187"/>
    </row>
    <row r="601">
      <c r="G601" s="187"/>
    </row>
    <row r="602">
      <c r="G602" s="187"/>
    </row>
    <row r="603">
      <c r="G603" s="187"/>
    </row>
    <row r="604">
      <c r="G604" s="187"/>
    </row>
    <row r="605">
      <c r="G605" s="187"/>
    </row>
    <row r="606">
      <c r="G606" s="187"/>
    </row>
    <row r="607">
      <c r="G607" s="187"/>
    </row>
    <row r="608">
      <c r="G608" s="187"/>
    </row>
    <row r="609">
      <c r="G609" s="187"/>
    </row>
    <row r="610">
      <c r="G610" s="187"/>
    </row>
    <row r="611">
      <c r="G611" s="187"/>
    </row>
    <row r="612">
      <c r="G612" s="187"/>
    </row>
    <row r="613">
      <c r="G613" s="187"/>
    </row>
    <row r="614">
      <c r="G614" s="187"/>
    </row>
    <row r="615">
      <c r="G615" s="187"/>
    </row>
    <row r="616">
      <c r="G616" s="187"/>
    </row>
    <row r="617">
      <c r="G617" s="187"/>
    </row>
    <row r="618">
      <c r="G618" s="187"/>
    </row>
    <row r="619">
      <c r="G619" s="187"/>
    </row>
    <row r="620">
      <c r="G620" s="187"/>
    </row>
    <row r="621">
      <c r="G621" s="187"/>
    </row>
    <row r="622">
      <c r="G622" s="187"/>
    </row>
    <row r="623">
      <c r="G623" s="187"/>
    </row>
    <row r="624">
      <c r="G624" s="187"/>
    </row>
    <row r="625">
      <c r="G625" s="187"/>
    </row>
    <row r="626">
      <c r="G626" s="187"/>
    </row>
    <row r="627">
      <c r="G627" s="187"/>
    </row>
    <row r="628">
      <c r="G628" s="187"/>
    </row>
    <row r="629">
      <c r="G629" s="187"/>
    </row>
    <row r="630">
      <c r="G630" s="187"/>
    </row>
    <row r="631">
      <c r="G631" s="187"/>
    </row>
    <row r="632">
      <c r="G632" s="187"/>
    </row>
    <row r="633">
      <c r="G633" s="187"/>
    </row>
    <row r="634">
      <c r="G634" s="187"/>
    </row>
    <row r="635">
      <c r="G635" s="187"/>
    </row>
    <row r="636">
      <c r="G636" s="187"/>
    </row>
    <row r="637">
      <c r="G637" s="187"/>
    </row>
    <row r="638">
      <c r="G638" s="187"/>
    </row>
    <row r="639">
      <c r="G639" s="187"/>
    </row>
    <row r="640">
      <c r="G640" s="187"/>
    </row>
    <row r="641">
      <c r="G641" s="187"/>
    </row>
    <row r="642">
      <c r="G642" s="187"/>
    </row>
    <row r="643">
      <c r="G643" s="187"/>
    </row>
    <row r="644">
      <c r="G644" s="187"/>
    </row>
    <row r="645">
      <c r="G645" s="187"/>
    </row>
    <row r="646">
      <c r="G646" s="187"/>
    </row>
    <row r="647">
      <c r="G647" s="187"/>
    </row>
    <row r="648">
      <c r="G648" s="187"/>
    </row>
    <row r="649">
      <c r="G649" s="187"/>
    </row>
    <row r="650">
      <c r="G650" s="187"/>
    </row>
    <row r="651">
      <c r="G651" s="187"/>
    </row>
    <row r="652">
      <c r="G652" s="187"/>
    </row>
    <row r="653">
      <c r="G653" s="187"/>
    </row>
    <row r="654">
      <c r="G654" s="187"/>
    </row>
    <row r="655">
      <c r="G655" s="187"/>
    </row>
    <row r="656">
      <c r="G656" s="187"/>
    </row>
    <row r="657">
      <c r="G657" s="187"/>
    </row>
    <row r="658">
      <c r="G658" s="187"/>
    </row>
    <row r="659">
      <c r="G659" s="187"/>
    </row>
    <row r="660">
      <c r="G660" s="187"/>
    </row>
    <row r="661">
      <c r="G661" s="187"/>
    </row>
    <row r="662">
      <c r="G662" s="187"/>
    </row>
    <row r="663">
      <c r="G663" s="187"/>
    </row>
    <row r="664">
      <c r="G664" s="187"/>
    </row>
    <row r="665">
      <c r="G665" s="187"/>
    </row>
    <row r="666">
      <c r="G666" s="187"/>
    </row>
    <row r="667">
      <c r="G667" s="187"/>
    </row>
    <row r="668">
      <c r="G668" s="187"/>
    </row>
    <row r="669">
      <c r="G669" s="187"/>
    </row>
    <row r="670">
      <c r="G670" s="187"/>
    </row>
    <row r="671">
      <c r="G671" s="187"/>
    </row>
    <row r="672">
      <c r="G672" s="187"/>
    </row>
    <row r="673">
      <c r="G673" s="187"/>
    </row>
    <row r="674">
      <c r="G674" s="187"/>
    </row>
    <row r="675">
      <c r="G675" s="187"/>
    </row>
    <row r="676">
      <c r="G676" s="187"/>
    </row>
    <row r="677">
      <c r="G677" s="187"/>
    </row>
    <row r="678">
      <c r="G678" s="187"/>
    </row>
    <row r="679">
      <c r="G679" s="187"/>
    </row>
    <row r="680">
      <c r="G680" s="187"/>
    </row>
    <row r="681">
      <c r="G681" s="187"/>
    </row>
    <row r="682">
      <c r="G682" s="187"/>
    </row>
    <row r="683">
      <c r="G683" s="187"/>
    </row>
    <row r="684">
      <c r="G684" s="187"/>
    </row>
    <row r="685">
      <c r="G685" s="187"/>
    </row>
    <row r="686">
      <c r="G686" s="187"/>
    </row>
    <row r="687">
      <c r="G687" s="187"/>
    </row>
    <row r="688">
      <c r="G688" s="187"/>
    </row>
    <row r="689">
      <c r="G689" s="187"/>
    </row>
    <row r="690">
      <c r="G690" s="187"/>
    </row>
    <row r="691">
      <c r="G691" s="187"/>
    </row>
    <row r="692">
      <c r="G692" s="187"/>
    </row>
    <row r="693">
      <c r="G693" s="187"/>
    </row>
    <row r="694">
      <c r="G694" s="187"/>
    </row>
    <row r="695">
      <c r="G695" s="187"/>
    </row>
    <row r="696">
      <c r="G696" s="187"/>
    </row>
    <row r="697">
      <c r="G697" s="187"/>
    </row>
    <row r="698">
      <c r="G698" s="187"/>
    </row>
    <row r="699">
      <c r="G699" s="187"/>
    </row>
    <row r="700">
      <c r="G700" s="187"/>
    </row>
    <row r="701">
      <c r="G701" s="187"/>
    </row>
    <row r="702">
      <c r="G702" s="187"/>
    </row>
    <row r="703">
      <c r="G703" s="187"/>
    </row>
    <row r="704">
      <c r="G704" s="187"/>
    </row>
    <row r="705">
      <c r="G705" s="187"/>
    </row>
    <row r="706">
      <c r="G706" s="187"/>
    </row>
    <row r="707">
      <c r="G707" s="187"/>
    </row>
    <row r="708">
      <c r="G708" s="187"/>
    </row>
    <row r="709">
      <c r="G709" s="187"/>
    </row>
    <row r="710">
      <c r="G710" s="187"/>
    </row>
    <row r="711">
      <c r="G711" s="187"/>
    </row>
    <row r="712">
      <c r="G712" s="187"/>
    </row>
    <row r="713">
      <c r="G713" s="187"/>
    </row>
    <row r="714">
      <c r="G714" s="187"/>
    </row>
    <row r="715">
      <c r="G715" s="187"/>
    </row>
    <row r="716">
      <c r="G716" s="187"/>
    </row>
    <row r="717">
      <c r="G717" s="187"/>
    </row>
    <row r="718">
      <c r="G718" s="187"/>
    </row>
    <row r="719">
      <c r="G719" s="187"/>
    </row>
    <row r="720">
      <c r="G720" s="187"/>
    </row>
    <row r="721">
      <c r="G721" s="187"/>
    </row>
    <row r="722">
      <c r="G722" s="187"/>
    </row>
    <row r="723">
      <c r="G723" s="187"/>
    </row>
    <row r="724">
      <c r="G724" s="187"/>
    </row>
    <row r="725">
      <c r="G725" s="187"/>
    </row>
    <row r="726">
      <c r="G726" s="187"/>
    </row>
    <row r="727">
      <c r="G727" s="187"/>
    </row>
    <row r="728">
      <c r="G728" s="187"/>
    </row>
    <row r="729">
      <c r="G729" s="187"/>
    </row>
    <row r="730">
      <c r="G730" s="187"/>
    </row>
    <row r="731">
      <c r="G731" s="187"/>
    </row>
    <row r="732">
      <c r="G732" s="187"/>
    </row>
    <row r="733">
      <c r="G733" s="187"/>
    </row>
    <row r="734">
      <c r="G734" s="187"/>
    </row>
    <row r="735">
      <c r="G735" s="187"/>
    </row>
    <row r="736">
      <c r="G736" s="187"/>
    </row>
    <row r="737">
      <c r="G737" s="187"/>
    </row>
    <row r="738">
      <c r="G738" s="187"/>
    </row>
    <row r="739">
      <c r="G739" s="187"/>
    </row>
    <row r="740">
      <c r="G740" s="187"/>
    </row>
    <row r="741">
      <c r="G741" s="187"/>
    </row>
    <row r="742">
      <c r="G742" s="187"/>
    </row>
    <row r="743">
      <c r="G743" s="187"/>
    </row>
    <row r="744">
      <c r="G744" s="187"/>
    </row>
    <row r="745">
      <c r="G745" s="187"/>
    </row>
    <row r="746">
      <c r="G746" s="187"/>
    </row>
    <row r="747">
      <c r="G747" s="187"/>
    </row>
    <row r="748">
      <c r="G748" s="187"/>
    </row>
    <row r="749">
      <c r="G749" s="187"/>
    </row>
    <row r="750">
      <c r="G750" s="187"/>
    </row>
    <row r="751">
      <c r="G751" s="187"/>
    </row>
    <row r="752">
      <c r="G752" s="187"/>
    </row>
    <row r="753">
      <c r="G753" s="187"/>
    </row>
    <row r="754">
      <c r="G754" s="187"/>
    </row>
    <row r="755">
      <c r="G755" s="187"/>
    </row>
    <row r="756">
      <c r="G756" s="187"/>
    </row>
    <row r="757">
      <c r="G757" s="187"/>
    </row>
    <row r="758">
      <c r="G758" s="187"/>
    </row>
    <row r="759">
      <c r="G759" s="187"/>
    </row>
    <row r="760">
      <c r="G760" s="187"/>
    </row>
    <row r="761">
      <c r="G761" s="187"/>
    </row>
    <row r="762">
      <c r="G762" s="187"/>
    </row>
    <row r="763">
      <c r="G763" s="187"/>
    </row>
    <row r="764">
      <c r="G764" s="187"/>
    </row>
    <row r="765">
      <c r="G765" s="187"/>
    </row>
    <row r="766">
      <c r="G766" s="187"/>
    </row>
    <row r="767">
      <c r="G767" s="187"/>
    </row>
    <row r="768">
      <c r="G768" s="187"/>
    </row>
    <row r="769">
      <c r="G769" s="187"/>
    </row>
    <row r="770">
      <c r="G770" s="187"/>
    </row>
    <row r="771">
      <c r="G771" s="187"/>
    </row>
    <row r="772">
      <c r="G772" s="187"/>
    </row>
    <row r="773">
      <c r="G773" s="187"/>
    </row>
    <row r="774">
      <c r="G774" s="187"/>
    </row>
    <row r="775">
      <c r="G775" s="187"/>
    </row>
    <row r="776">
      <c r="G776" s="187"/>
    </row>
    <row r="777">
      <c r="G777" s="187"/>
    </row>
    <row r="778">
      <c r="G778" s="187"/>
    </row>
    <row r="779">
      <c r="G779" s="187"/>
    </row>
    <row r="780">
      <c r="G780" s="187"/>
    </row>
    <row r="781">
      <c r="G781" s="187"/>
    </row>
    <row r="782">
      <c r="G782" s="187"/>
    </row>
    <row r="783">
      <c r="G783" s="187"/>
    </row>
    <row r="784">
      <c r="G784" s="187"/>
    </row>
    <row r="785">
      <c r="G785" s="187"/>
    </row>
    <row r="786">
      <c r="G786" s="187"/>
    </row>
    <row r="787">
      <c r="G787" s="187"/>
    </row>
    <row r="788">
      <c r="G788" s="187"/>
    </row>
    <row r="789">
      <c r="G789" s="187"/>
    </row>
    <row r="790">
      <c r="G790" s="187"/>
    </row>
    <row r="791">
      <c r="G791" s="187"/>
    </row>
    <row r="792">
      <c r="G792" s="187"/>
    </row>
    <row r="793">
      <c r="G793" s="187"/>
    </row>
    <row r="794">
      <c r="G794" s="187"/>
    </row>
    <row r="795">
      <c r="G795" s="187"/>
    </row>
    <row r="796">
      <c r="G796" s="187"/>
    </row>
    <row r="797">
      <c r="G797" s="187"/>
    </row>
    <row r="798">
      <c r="G798" s="187"/>
    </row>
    <row r="799">
      <c r="G799" s="187"/>
    </row>
    <row r="800">
      <c r="G800" s="187"/>
    </row>
    <row r="801">
      <c r="G801" s="187"/>
    </row>
    <row r="802">
      <c r="G802" s="187"/>
    </row>
    <row r="803">
      <c r="G803" s="187"/>
    </row>
    <row r="804">
      <c r="G804" s="187"/>
    </row>
    <row r="805">
      <c r="G805" s="187"/>
    </row>
    <row r="806">
      <c r="G806" s="187"/>
    </row>
    <row r="807">
      <c r="G807" s="187"/>
    </row>
    <row r="808">
      <c r="G808" s="187"/>
    </row>
    <row r="809">
      <c r="G809" s="187"/>
    </row>
    <row r="810">
      <c r="G810" s="187"/>
    </row>
    <row r="811">
      <c r="G811" s="187"/>
    </row>
    <row r="812">
      <c r="G812" s="187"/>
    </row>
    <row r="813">
      <c r="G813" s="187"/>
    </row>
    <row r="814">
      <c r="G814" s="187"/>
    </row>
    <row r="815">
      <c r="G815" s="187"/>
    </row>
    <row r="816">
      <c r="G816" s="187"/>
    </row>
    <row r="817">
      <c r="G817" s="187"/>
    </row>
    <row r="818">
      <c r="G818" s="187"/>
    </row>
    <row r="819">
      <c r="G819" s="187"/>
    </row>
    <row r="820">
      <c r="G820" s="187"/>
    </row>
    <row r="821">
      <c r="G821" s="187"/>
    </row>
    <row r="822">
      <c r="G822" s="187"/>
    </row>
    <row r="823">
      <c r="G823" s="187"/>
    </row>
    <row r="824">
      <c r="G824" s="187"/>
    </row>
    <row r="825">
      <c r="G825" s="187"/>
    </row>
    <row r="826">
      <c r="G826" s="187"/>
    </row>
    <row r="827">
      <c r="G827" s="187"/>
    </row>
    <row r="828">
      <c r="G828" s="187"/>
    </row>
    <row r="829">
      <c r="G829" s="187"/>
    </row>
    <row r="830">
      <c r="G830" s="187"/>
    </row>
    <row r="831">
      <c r="G831" s="187"/>
    </row>
    <row r="832">
      <c r="G832" s="187"/>
    </row>
    <row r="833">
      <c r="G833" s="187"/>
    </row>
    <row r="834">
      <c r="G834" s="187"/>
    </row>
    <row r="835">
      <c r="G835" s="187"/>
    </row>
    <row r="836">
      <c r="G836" s="187"/>
    </row>
    <row r="837">
      <c r="G837" s="187"/>
    </row>
    <row r="838">
      <c r="G838" s="187"/>
    </row>
    <row r="839">
      <c r="G839" s="187"/>
    </row>
    <row r="840">
      <c r="G840" s="187"/>
    </row>
    <row r="841">
      <c r="G841" s="187"/>
    </row>
    <row r="842">
      <c r="G842" s="187"/>
    </row>
    <row r="843">
      <c r="G843" s="187"/>
    </row>
    <row r="844">
      <c r="G844" s="187"/>
    </row>
    <row r="845">
      <c r="G845" s="187"/>
    </row>
    <row r="846">
      <c r="G846" s="187"/>
    </row>
    <row r="847">
      <c r="G847" s="187"/>
    </row>
    <row r="848">
      <c r="G848" s="187"/>
    </row>
    <row r="849">
      <c r="G849" s="187"/>
    </row>
    <row r="850">
      <c r="G850" s="187"/>
    </row>
    <row r="851">
      <c r="G851" s="187"/>
    </row>
    <row r="852">
      <c r="G852" s="187"/>
    </row>
    <row r="853">
      <c r="G853" s="187"/>
    </row>
    <row r="854">
      <c r="G854" s="187"/>
    </row>
    <row r="855">
      <c r="G855" s="187"/>
    </row>
    <row r="856">
      <c r="G856" s="187"/>
    </row>
    <row r="857">
      <c r="G857" s="187"/>
    </row>
    <row r="858">
      <c r="G858" s="187"/>
    </row>
    <row r="859">
      <c r="G859" s="187"/>
    </row>
    <row r="860">
      <c r="G860" s="187"/>
    </row>
    <row r="861">
      <c r="G861" s="187"/>
    </row>
    <row r="862">
      <c r="G862" s="187"/>
    </row>
    <row r="863">
      <c r="G863" s="187"/>
    </row>
    <row r="864">
      <c r="G864" s="187"/>
    </row>
    <row r="865">
      <c r="G865" s="187"/>
    </row>
    <row r="866">
      <c r="G866" s="187"/>
    </row>
    <row r="867">
      <c r="G867" s="187"/>
    </row>
    <row r="868">
      <c r="G868" s="187"/>
    </row>
    <row r="869">
      <c r="G869" s="187"/>
    </row>
    <row r="870">
      <c r="G870" s="187"/>
    </row>
    <row r="871">
      <c r="G871" s="187"/>
    </row>
    <row r="872">
      <c r="G872" s="187"/>
    </row>
    <row r="873">
      <c r="G873" s="187"/>
    </row>
    <row r="874">
      <c r="G874" s="187"/>
    </row>
    <row r="875">
      <c r="G875" s="187"/>
    </row>
    <row r="876">
      <c r="G876" s="187"/>
    </row>
    <row r="877">
      <c r="G877" s="187"/>
    </row>
    <row r="878">
      <c r="G878" s="187"/>
    </row>
    <row r="879">
      <c r="G879" s="187"/>
    </row>
    <row r="880">
      <c r="G880" s="187"/>
    </row>
    <row r="881">
      <c r="G881" s="187"/>
    </row>
    <row r="882">
      <c r="G882" s="187"/>
    </row>
    <row r="883">
      <c r="G883" s="187"/>
    </row>
    <row r="884">
      <c r="G884" s="187"/>
    </row>
    <row r="885">
      <c r="G885" s="187"/>
    </row>
    <row r="886">
      <c r="G886" s="187"/>
    </row>
    <row r="887">
      <c r="G887" s="187"/>
    </row>
    <row r="888">
      <c r="G888" s="187"/>
    </row>
    <row r="889">
      <c r="G889" s="187"/>
    </row>
    <row r="890">
      <c r="G890" s="187"/>
    </row>
    <row r="891">
      <c r="G891" s="187"/>
    </row>
    <row r="892">
      <c r="G892" s="187"/>
    </row>
    <row r="893">
      <c r="G893" s="187"/>
    </row>
    <row r="894">
      <c r="G894" s="187"/>
    </row>
    <row r="895">
      <c r="G895" s="187"/>
    </row>
    <row r="896">
      <c r="G896" s="187"/>
    </row>
    <row r="897">
      <c r="G897" s="187"/>
    </row>
    <row r="898">
      <c r="G898" s="187"/>
    </row>
    <row r="899">
      <c r="G899" s="187"/>
    </row>
    <row r="900">
      <c r="G900" s="187"/>
    </row>
    <row r="901">
      <c r="G901" s="187"/>
    </row>
    <row r="902">
      <c r="G902" s="187"/>
    </row>
    <row r="903">
      <c r="G903" s="187"/>
    </row>
    <row r="904">
      <c r="G904" s="187"/>
    </row>
    <row r="905">
      <c r="G905" s="187"/>
    </row>
    <row r="906">
      <c r="G906" s="187"/>
    </row>
    <row r="907">
      <c r="G907" s="187"/>
    </row>
    <row r="908">
      <c r="G908" s="187"/>
    </row>
    <row r="909">
      <c r="G909" s="187"/>
    </row>
    <row r="910">
      <c r="G910" s="187"/>
    </row>
    <row r="911">
      <c r="G911" s="187"/>
    </row>
    <row r="912">
      <c r="G912" s="187"/>
    </row>
    <row r="913">
      <c r="G913" s="187"/>
    </row>
    <row r="914">
      <c r="G914" s="187"/>
    </row>
    <row r="915">
      <c r="G915" s="187"/>
    </row>
    <row r="916">
      <c r="G916" s="187"/>
    </row>
    <row r="917">
      <c r="G917" s="187"/>
    </row>
    <row r="918">
      <c r="G918" s="187"/>
    </row>
    <row r="919">
      <c r="G919" s="187"/>
    </row>
    <row r="920">
      <c r="G920" s="187"/>
    </row>
    <row r="921">
      <c r="G921" s="187"/>
    </row>
    <row r="922">
      <c r="G922" s="187"/>
    </row>
    <row r="923">
      <c r="G923" s="187"/>
    </row>
    <row r="924">
      <c r="G924" s="187"/>
    </row>
    <row r="925">
      <c r="G925" s="187"/>
    </row>
    <row r="926">
      <c r="G926" s="187"/>
    </row>
    <row r="927">
      <c r="G927" s="187"/>
    </row>
    <row r="928">
      <c r="G928" s="187"/>
    </row>
    <row r="929">
      <c r="G929" s="187"/>
    </row>
    <row r="930">
      <c r="G930" s="187"/>
    </row>
    <row r="931">
      <c r="G931" s="187"/>
    </row>
    <row r="932">
      <c r="G932" s="187"/>
    </row>
    <row r="933">
      <c r="G933" s="187"/>
    </row>
    <row r="934">
      <c r="G934" s="187"/>
    </row>
    <row r="935">
      <c r="G935" s="187"/>
    </row>
    <row r="936">
      <c r="G936" s="187"/>
    </row>
    <row r="937">
      <c r="G937" s="187"/>
    </row>
    <row r="938">
      <c r="G938" s="187"/>
    </row>
    <row r="939">
      <c r="G939" s="187"/>
    </row>
    <row r="940">
      <c r="G940" s="187"/>
    </row>
    <row r="941">
      <c r="G941" s="187"/>
    </row>
    <row r="942">
      <c r="G942" s="187"/>
    </row>
    <row r="943">
      <c r="G943" s="187"/>
    </row>
    <row r="944">
      <c r="G944" s="187"/>
    </row>
    <row r="945">
      <c r="G945" s="187"/>
    </row>
    <row r="946">
      <c r="G946" s="187"/>
    </row>
    <row r="947">
      <c r="G947" s="187"/>
    </row>
    <row r="948">
      <c r="G948" s="187"/>
    </row>
    <row r="949">
      <c r="G949" s="187"/>
    </row>
    <row r="950">
      <c r="G950" s="187"/>
    </row>
    <row r="951">
      <c r="G951" s="187"/>
    </row>
    <row r="952">
      <c r="G952" s="187"/>
    </row>
    <row r="953">
      <c r="G953" s="187"/>
    </row>
    <row r="954">
      <c r="G954" s="187"/>
    </row>
    <row r="955">
      <c r="G955" s="187"/>
    </row>
    <row r="956">
      <c r="G956" s="187"/>
    </row>
    <row r="957">
      <c r="G957" s="187"/>
    </row>
    <row r="958">
      <c r="G958" s="187"/>
    </row>
    <row r="959">
      <c r="G959" s="187"/>
    </row>
    <row r="960">
      <c r="G960" s="187"/>
    </row>
    <row r="961">
      <c r="G961" s="187"/>
    </row>
    <row r="962">
      <c r="G962" s="187"/>
    </row>
    <row r="963">
      <c r="G963" s="187"/>
    </row>
    <row r="964">
      <c r="G964" s="187"/>
    </row>
    <row r="965">
      <c r="G965" s="187"/>
    </row>
    <row r="966">
      <c r="G966" s="187"/>
    </row>
    <row r="967">
      <c r="G967" s="187"/>
    </row>
    <row r="968">
      <c r="G968" s="187"/>
    </row>
    <row r="969">
      <c r="G969" s="187"/>
    </row>
    <row r="970">
      <c r="G970" s="187"/>
    </row>
    <row r="971">
      <c r="G971" s="187"/>
    </row>
    <row r="972">
      <c r="G972" s="187"/>
    </row>
    <row r="973">
      <c r="G973" s="187"/>
    </row>
    <row r="974">
      <c r="G974" s="187"/>
    </row>
    <row r="975">
      <c r="G975" s="187"/>
    </row>
    <row r="976">
      <c r="G976" s="187"/>
    </row>
    <row r="977">
      <c r="G977" s="187"/>
    </row>
    <row r="978">
      <c r="G978" s="187"/>
    </row>
    <row r="979">
      <c r="G979" s="187"/>
    </row>
    <row r="980">
      <c r="G980" s="187"/>
    </row>
    <row r="981">
      <c r="G981" s="187"/>
    </row>
    <row r="982">
      <c r="G982" s="187"/>
    </row>
    <row r="983">
      <c r="G983" s="187"/>
    </row>
    <row r="984">
      <c r="G984" s="187"/>
    </row>
    <row r="985">
      <c r="G985" s="187"/>
    </row>
    <row r="986">
      <c r="G986" s="187"/>
    </row>
    <row r="987">
      <c r="G987" s="187"/>
    </row>
    <row r="988">
      <c r="G988" s="187"/>
    </row>
    <row r="989">
      <c r="G989" s="187"/>
    </row>
    <row r="990">
      <c r="G990" s="187"/>
    </row>
    <row r="991">
      <c r="G991" s="187"/>
    </row>
    <row r="992">
      <c r="G992" s="187"/>
    </row>
    <row r="993">
      <c r="G993" s="187"/>
    </row>
    <row r="994">
      <c r="G994" s="187"/>
    </row>
    <row r="995">
      <c r="G995" s="187"/>
    </row>
    <row r="996">
      <c r="G996" s="187"/>
    </row>
    <row r="997">
      <c r="G997" s="187"/>
    </row>
    <row r="998">
      <c r="G998" s="187"/>
    </row>
    <row r="999">
      <c r="G999" s="187"/>
    </row>
    <row r="1000">
      <c r="G1000" s="187"/>
    </row>
    <row r="1001">
      <c r="G1001" s="187"/>
    </row>
    <row r="1002">
      <c r="G1002" s="187"/>
    </row>
    <row r="1003">
      <c r="G1003" s="187"/>
    </row>
    <row r="1004">
      <c r="G1004" s="187"/>
    </row>
    <row r="1005">
      <c r="G1005" s="187"/>
    </row>
    <row r="1006">
      <c r="G1006" s="187"/>
    </row>
    <row r="1007">
      <c r="G1007" s="187"/>
    </row>
    <row r="1008">
      <c r="G1008" s="187"/>
    </row>
    <row r="1009">
      <c r="G1009" s="187"/>
    </row>
    <row r="1010">
      <c r="G1010" s="187"/>
    </row>
    <row r="1011">
      <c r="G1011" s="187"/>
    </row>
    <row r="1012">
      <c r="G1012" s="187"/>
    </row>
    <row r="1013">
      <c r="G1013" s="187"/>
    </row>
    <row r="1014">
      <c r="G1014" s="187"/>
    </row>
    <row r="1015">
      <c r="G1015" s="187"/>
    </row>
    <row r="1016">
      <c r="G1016" s="187"/>
    </row>
    <row r="1017">
      <c r="G1017" s="187"/>
    </row>
    <row r="1018">
      <c r="G1018" s="187"/>
    </row>
    <row r="1019">
      <c r="G1019" s="187"/>
    </row>
    <row r="1020">
      <c r="G1020" s="187"/>
    </row>
    <row r="1021">
      <c r="G1021" s="187"/>
    </row>
    <row r="1022">
      <c r="G1022" s="187"/>
    </row>
    <row r="1023">
      <c r="G1023" s="187"/>
    </row>
    <row r="1024">
      <c r="G1024" s="187"/>
    </row>
    <row r="1025">
      <c r="G1025" s="187"/>
    </row>
    <row r="1026">
      <c r="G1026" s="187"/>
    </row>
    <row r="1027">
      <c r="G1027" s="187"/>
    </row>
    <row r="1028">
      <c r="G1028" s="187"/>
    </row>
    <row r="1029">
      <c r="G1029" s="187"/>
    </row>
    <row r="1030">
      <c r="G1030" s="187"/>
    </row>
    <row r="1031">
      <c r="G1031" s="187"/>
    </row>
    <row r="1032">
      <c r="G1032" s="187"/>
    </row>
    <row r="1033">
      <c r="G1033" s="187"/>
    </row>
    <row r="1034">
      <c r="G1034" s="187"/>
    </row>
    <row r="1035">
      <c r="G1035" s="187"/>
    </row>
    <row r="1036">
      <c r="G1036" s="187"/>
    </row>
  </sheetData>
  <autoFilter ref="$A$1:$Z$1036"/>
  <customSheetViews>
    <customSheetView guid="{7E71B5F7-61AF-4C93-AAAA-D905E381EEB1}" filter="1" showAutoFilter="1">
      <autoFilter ref="$A$1:$Z$1036">
        <filterColumn colId="5">
          <filters>
            <filter val="NA"/>
          </filters>
        </filterColumn>
      </autoFilter>
    </customSheetView>
  </customSheetViews>
  <conditionalFormatting sqref="F2:F38">
    <cfRule type="containsText" dxfId="0" priority="1" operator="containsText" text="Closed">
      <formula>NOT(ISERROR(SEARCH(("Closed"),(F2))))</formula>
    </cfRule>
  </conditionalFormatting>
  <conditionalFormatting sqref="F2:F38">
    <cfRule type="containsText" dxfId="3" priority="2" operator="containsText" text="Monitor">
      <formula>NOT(ISERROR(SEARCH(("Monitor"),(F2))))</formula>
    </cfRule>
  </conditionalFormatting>
  <conditionalFormatting sqref="F2:F38">
    <cfRule type="containsText" dxfId="4" priority="3" operator="containsText" text="Open">
      <formula>NOT(ISERROR(SEARCH(("Open"),(F2))))</formula>
    </cfRule>
  </conditionalFormatting>
  <dataValidations>
    <dataValidation type="list" allowBlank="1" sqref="B2:B38">
      <formula1>Option!$C$2:$C$16</formula1>
    </dataValidation>
    <dataValidation type="list" allowBlank="1" sqref="I2:J38">
      <formula1>Option!$K$2:$K$17</formula1>
    </dataValidation>
    <dataValidation type="list" allowBlank="1" sqref="C2:C38">
      <formula1>Option!$E$2:$E$13</formula1>
    </dataValidation>
    <dataValidation type="list" allowBlank="1" sqref="D2:D38">
      <formula1>Option!$D$2:$D$15</formula1>
    </dataValidation>
    <dataValidation type="list" allowBlank="1" sqref="F2:F38">
      <formula1>Option!$F$2:$F$5</formula1>
    </dataValidation>
    <dataValidation type="list" allowBlank="1" sqref="L2:L38">
      <formula1>"1.SCH,2.PCB,3.BOM,4.Parameter,5.SW/ME/RF/ANT/Component/MFG/Vendor,6.No Change"</formula1>
    </dataValidation>
    <dataValidation type="list" allowBlank="1" sqref="E2:E38">
      <formula1>Option!$G$2:$G$5</formula1>
    </dataValidation>
  </dataValidations>
  <hyperlinks>
    <hyperlink r:id="rId4" location="gid=218393949" ref="H8"/>
    <hyperlink r:id="rId5" location="gid=218393949" ref="H9"/>
    <hyperlink r:id="rId6" location="slide=id.g4057557fca_0_46" ref="H11"/>
    <hyperlink r:id="rId7" ref="H13"/>
    <hyperlink r:id="rId8" location="slide=id.gb64ace9a67_0_0" ref="H14"/>
    <hyperlink r:id="rId9" location="slide=id.gdd8024f5fc_0_8" ref="H15"/>
    <hyperlink r:id="rId10" location="slide=id.gcdfff00ac2_0_70" ref="H18"/>
    <hyperlink r:id="rId11" location="slide=id.g8acd691200_0_858" ref="H19"/>
    <hyperlink r:id="rId12" location="slide=id.g8acd691200_0_858" ref="H20"/>
    <hyperlink r:id="rId13" location="slide=id.g8acd691200_0_667" ref="H21"/>
    <hyperlink r:id="rId14" location="slide=id.g4057557fca_0_46" ref="H22"/>
    <hyperlink r:id="rId15" location="slide=id.p" ref="H23"/>
    <hyperlink r:id="rId16" location="slide=id.p" ref="H24"/>
    <hyperlink r:id="rId17" ref="H25"/>
    <hyperlink r:id="rId18" location="slide=id.gcf4d2903b0_0_1" ref="H27"/>
    <hyperlink r:id="rId19" location="slide=id.gbb0a74dc25_0_0" ref="L29"/>
    <hyperlink r:id="rId20" location="slide=id.gb45eb4b698_0_0" ref="L30"/>
    <hyperlink r:id="rId21" location="slide=id.gb5b4993ef5_1_0" ref="L31"/>
    <hyperlink r:id="rId22" location="slide=id.gb87cd27a84_1_0" ref="L32"/>
  </hyperlinks>
  <drawing r:id="rId23"/>
  <legacyDrawing r:id="rId24"/>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5.13" defaultRowHeight="15.0"/>
  <cols>
    <col customWidth="1" min="2" max="2" width="11.38"/>
    <col customWidth="1" min="5" max="5" width="12.38"/>
    <col customWidth="1" min="7" max="7" width="97.75"/>
    <col customWidth="1" min="9" max="9" width="10.88"/>
    <col customWidth="1" min="10" max="10" width="10.38"/>
  </cols>
  <sheetData>
    <row r="1">
      <c r="A1" s="4" t="s">
        <v>54</v>
      </c>
      <c r="B1" s="4" t="s">
        <v>1</v>
      </c>
      <c r="C1" s="4" t="s">
        <v>2</v>
      </c>
      <c r="D1" s="4" t="s">
        <v>3</v>
      </c>
      <c r="E1" s="4" t="s">
        <v>4</v>
      </c>
      <c r="F1" s="4" t="s">
        <v>5</v>
      </c>
      <c r="G1" s="4" t="s">
        <v>6</v>
      </c>
      <c r="H1" s="4" t="s">
        <v>7</v>
      </c>
      <c r="I1" s="3" t="s">
        <v>8</v>
      </c>
      <c r="J1" s="3" t="s">
        <v>9</v>
      </c>
      <c r="K1" s="4" t="s">
        <v>10</v>
      </c>
      <c r="L1" s="213" t="s">
        <v>11</v>
      </c>
    </row>
    <row r="2" ht="59.25" customHeight="1">
      <c r="A2" s="200">
        <v>44292.0</v>
      </c>
      <c r="B2" s="130" t="s">
        <v>25</v>
      </c>
      <c r="C2" s="8" t="s">
        <v>30</v>
      </c>
      <c r="D2" s="132" t="s">
        <v>95</v>
      </c>
      <c r="E2" s="133" t="s">
        <v>22</v>
      </c>
      <c r="F2" s="179" t="s">
        <v>16</v>
      </c>
      <c r="G2" s="207" t="s">
        <v>697</v>
      </c>
      <c r="H2" s="180" t="s">
        <v>112</v>
      </c>
      <c r="I2" s="56" t="s">
        <v>127</v>
      </c>
      <c r="J2" s="56" t="s">
        <v>127</v>
      </c>
      <c r="K2" s="180"/>
      <c r="L2" s="27" t="s">
        <v>71</v>
      </c>
    </row>
    <row r="3" ht="186.0" customHeight="1">
      <c r="A3" s="200">
        <v>44269.0</v>
      </c>
      <c r="B3" s="130" t="s">
        <v>25</v>
      </c>
      <c r="C3" s="8" t="s">
        <v>49</v>
      </c>
      <c r="D3" s="132" t="s">
        <v>89</v>
      </c>
      <c r="E3" s="133" t="s">
        <v>15</v>
      </c>
      <c r="F3" s="179" t="s">
        <v>16</v>
      </c>
      <c r="G3" s="214" t="s">
        <v>698</v>
      </c>
      <c r="H3" s="180" t="s">
        <v>112</v>
      </c>
      <c r="I3" s="56" t="s">
        <v>115</v>
      </c>
      <c r="J3" s="56" t="s">
        <v>699</v>
      </c>
      <c r="K3" s="180"/>
      <c r="L3" s="27" t="s">
        <v>71</v>
      </c>
    </row>
    <row r="4" ht="96.75" customHeight="1">
      <c r="A4" s="200">
        <v>44222.0</v>
      </c>
      <c r="B4" s="130" t="s">
        <v>19</v>
      </c>
      <c r="C4" s="8" t="s">
        <v>76</v>
      </c>
      <c r="D4" s="132" t="s">
        <v>700</v>
      </c>
      <c r="E4" s="133" t="s">
        <v>22</v>
      </c>
      <c r="F4" s="179" t="s">
        <v>16</v>
      </c>
      <c r="G4" s="207" t="s">
        <v>701</v>
      </c>
      <c r="H4" s="180" t="s">
        <v>61</v>
      </c>
      <c r="I4" s="56" t="s">
        <v>70</v>
      </c>
      <c r="J4" s="56"/>
      <c r="K4" s="180"/>
      <c r="L4" s="27" t="s">
        <v>71</v>
      </c>
    </row>
    <row r="5" ht="92.25" customHeight="1">
      <c r="A5" s="200">
        <v>44222.0</v>
      </c>
      <c r="B5" s="130" t="s">
        <v>19</v>
      </c>
      <c r="C5" s="8" t="s">
        <v>76</v>
      </c>
      <c r="D5" s="132" t="s">
        <v>700</v>
      </c>
      <c r="E5" s="133" t="s">
        <v>22</v>
      </c>
      <c r="F5" s="179" t="s">
        <v>16</v>
      </c>
      <c r="G5" s="205" t="s">
        <v>702</v>
      </c>
      <c r="H5" s="180" t="s">
        <v>61</v>
      </c>
      <c r="I5" s="56" t="s">
        <v>346</v>
      </c>
      <c r="J5" s="56" t="s">
        <v>699</v>
      </c>
      <c r="K5" s="180"/>
      <c r="L5" s="27" t="s">
        <v>71</v>
      </c>
    </row>
    <row r="6" ht="77.25" customHeight="1">
      <c r="A6" s="200">
        <v>44217.0</v>
      </c>
      <c r="B6" s="130" t="s">
        <v>43</v>
      </c>
      <c r="C6" s="8" t="s">
        <v>49</v>
      </c>
      <c r="D6" s="132" t="s">
        <v>58</v>
      </c>
      <c r="E6" s="133" t="s">
        <v>22</v>
      </c>
      <c r="F6" s="179" t="s">
        <v>16</v>
      </c>
      <c r="G6" s="205" t="s">
        <v>703</v>
      </c>
      <c r="H6" s="180" t="s">
        <v>97</v>
      </c>
      <c r="I6" s="56" t="s">
        <v>115</v>
      </c>
      <c r="J6" s="56"/>
      <c r="K6" s="180"/>
      <c r="L6" s="27" t="s">
        <v>162</v>
      </c>
    </row>
    <row r="7" ht="101.25" customHeight="1">
      <c r="A7" s="200">
        <v>44175.0</v>
      </c>
      <c r="B7" s="130" t="s">
        <v>43</v>
      </c>
      <c r="C7" s="8" t="s">
        <v>26</v>
      </c>
      <c r="D7" s="132" t="s">
        <v>58</v>
      </c>
      <c r="E7" s="132" t="s">
        <v>22</v>
      </c>
      <c r="F7" s="179" t="s">
        <v>16</v>
      </c>
      <c r="G7" s="205" t="s">
        <v>704</v>
      </c>
      <c r="H7" s="180"/>
      <c r="I7" s="56" t="s">
        <v>334</v>
      </c>
      <c r="J7" s="56"/>
      <c r="K7" s="202"/>
      <c r="L7" s="27" t="s">
        <v>68</v>
      </c>
    </row>
    <row r="8" ht="174.75" customHeight="1">
      <c r="A8" s="200">
        <v>44175.0</v>
      </c>
      <c r="B8" s="130" t="s">
        <v>56</v>
      </c>
      <c r="C8" s="8" t="s">
        <v>371</v>
      </c>
      <c r="D8" s="132" t="s">
        <v>58</v>
      </c>
      <c r="E8" s="132" t="s">
        <v>22</v>
      </c>
      <c r="F8" s="179" t="s">
        <v>16</v>
      </c>
      <c r="G8" s="205" t="s">
        <v>705</v>
      </c>
      <c r="H8" s="180" t="s">
        <v>97</v>
      </c>
      <c r="I8" s="56" t="s">
        <v>70</v>
      </c>
      <c r="J8" s="56"/>
      <c r="K8" s="202"/>
      <c r="L8" s="27" t="s">
        <v>71</v>
      </c>
    </row>
    <row r="9" ht="126.75" customHeight="1">
      <c r="A9" s="200">
        <v>44218.0</v>
      </c>
      <c r="B9" s="130" t="s">
        <v>43</v>
      </c>
      <c r="C9" s="8" t="s">
        <v>49</v>
      </c>
      <c r="D9" s="132" t="s">
        <v>58</v>
      </c>
      <c r="E9" s="132" t="s">
        <v>64</v>
      </c>
      <c r="F9" s="179" t="s">
        <v>16</v>
      </c>
      <c r="G9" s="208" t="s">
        <v>706</v>
      </c>
      <c r="H9" s="180" t="s">
        <v>61</v>
      </c>
      <c r="I9" s="56" t="s">
        <v>115</v>
      </c>
      <c r="J9" s="56"/>
      <c r="K9" s="180"/>
      <c r="L9" s="27" t="s">
        <v>68</v>
      </c>
    </row>
    <row r="10" ht="198.75" customHeight="1">
      <c r="A10" s="200">
        <v>44179.0</v>
      </c>
      <c r="B10" s="130" t="s">
        <v>56</v>
      </c>
      <c r="C10" s="8" t="s">
        <v>26</v>
      </c>
      <c r="D10" s="132" t="s">
        <v>14</v>
      </c>
      <c r="E10" s="132" t="s">
        <v>22</v>
      </c>
      <c r="F10" s="179" t="s">
        <v>16</v>
      </c>
      <c r="G10" s="205" t="s">
        <v>707</v>
      </c>
      <c r="H10" s="180" t="s">
        <v>708</v>
      </c>
      <c r="I10" s="56" t="s">
        <v>70</v>
      </c>
      <c r="J10" s="56"/>
      <c r="K10" s="180"/>
      <c r="L10" s="27" t="s">
        <v>68</v>
      </c>
    </row>
    <row r="11" ht="94.5" customHeight="1">
      <c r="A11" s="200">
        <v>44168.0</v>
      </c>
      <c r="B11" s="130" t="s">
        <v>56</v>
      </c>
      <c r="C11" s="8" t="s">
        <v>30</v>
      </c>
      <c r="D11" s="132" t="s">
        <v>44</v>
      </c>
      <c r="E11" s="132" t="s">
        <v>22</v>
      </c>
      <c r="F11" s="179" t="s">
        <v>16</v>
      </c>
      <c r="G11" s="205" t="s">
        <v>709</v>
      </c>
      <c r="H11" s="180"/>
      <c r="I11" s="56" t="s">
        <v>127</v>
      </c>
      <c r="J11" s="56"/>
      <c r="K11" s="202"/>
      <c r="L11" s="27" t="s">
        <v>167</v>
      </c>
    </row>
    <row r="12" ht="75.75" customHeight="1">
      <c r="A12" s="200">
        <v>44168.0</v>
      </c>
      <c r="B12" s="130" t="s">
        <v>56</v>
      </c>
      <c r="C12" s="8" t="s">
        <v>26</v>
      </c>
      <c r="D12" s="132" t="s">
        <v>14</v>
      </c>
      <c r="E12" s="132" t="s">
        <v>64</v>
      </c>
      <c r="F12" s="179" t="s">
        <v>16</v>
      </c>
      <c r="G12" s="205" t="s">
        <v>710</v>
      </c>
      <c r="H12" s="180" t="s">
        <v>61</v>
      </c>
      <c r="I12" s="56"/>
      <c r="J12" s="56"/>
      <c r="K12" s="202"/>
      <c r="L12" s="27" t="s">
        <v>68</v>
      </c>
    </row>
    <row r="13" ht="94.5" customHeight="1">
      <c r="A13" s="200">
        <v>44159.0</v>
      </c>
      <c r="B13" s="130" t="s">
        <v>56</v>
      </c>
      <c r="C13" s="8" t="s">
        <v>26</v>
      </c>
      <c r="D13" s="132" t="s">
        <v>27</v>
      </c>
      <c r="E13" s="132" t="s">
        <v>64</v>
      </c>
      <c r="F13" s="179" t="s">
        <v>16</v>
      </c>
      <c r="G13" s="205" t="s">
        <v>711</v>
      </c>
      <c r="H13" s="34"/>
      <c r="I13" s="56" t="s">
        <v>66</v>
      </c>
      <c r="J13" s="56" t="s">
        <v>67</v>
      </c>
      <c r="K13" s="202"/>
      <c r="L13" s="27" t="s">
        <v>63</v>
      </c>
    </row>
    <row r="14">
      <c r="A14" s="200">
        <v>44166.0</v>
      </c>
      <c r="B14" s="130" t="s">
        <v>56</v>
      </c>
      <c r="C14" s="8" t="s">
        <v>83</v>
      </c>
      <c r="D14" s="132" t="s">
        <v>44</v>
      </c>
      <c r="E14" s="132" t="s">
        <v>64</v>
      </c>
      <c r="F14" s="179" t="s">
        <v>16</v>
      </c>
      <c r="G14" s="205" t="s">
        <v>712</v>
      </c>
      <c r="H14" s="180" t="s">
        <v>61</v>
      </c>
      <c r="I14" s="56" t="s">
        <v>66</v>
      </c>
      <c r="J14" s="56"/>
      <c r="K14" s="202"/>
      <c r="L14" s="27" t="s">
        <v>71</v>
      </c>
    </row>
    <row r="15">
      <c r="A15" s="200">
        <v>43987.0</v>
      </c>
      <c r="B15" s="130" t="s">
        <v>327</v>
      </c>
      <c r="C15" s="8" t="s">
        <v>72</v>
      </c>
      <c r="D15" s="132" t="s">
        <v>27</v>
      </c>
      <c r="E15" s="132" t="s">
        <v>64</v>
      </c>
      <c r="F15" s="179" t="s">
        <v>16</v>
      </c>
      <c r="G15" s="201" t="s">
        <v>713</v>
      </c>
      <c r="H15" s="34"/>
      <c r="I15" s="56" t="s">
        <v>74</v>
      </c>
      <c r="J15" s="56" t="s">
        <v>70</v>
      </c>
      <c r="K15" s="202"/>
      <c r="L15" s="27" t="s">
        <v>71</v>
      </c>
    </row>
    <row r="16">
      <c r="G16" s="186"/>
    </row>
    <row r="17">
      <c r="G17" s="187"/>
    </row>
    <row r="18">
      <c r="G18" s="187"/>
    </row>
    <row r="19">
      <c r="G19" s="187"/>
    </row>
    <row r="20">
      <c r="G20" s="187"/>
    </row>
    <row r="21">
      <c r="G21" s="187"/>
    </row>
    <row r="22">
      <c r="G22" s="187"/>
    </row>
    <row r="23">
      <c r="G23" s="187"/>
    </row>
    <row r="24">
      <c r="G24" s="187"/>
    </row>
    <row r="25">
      <c r="G25" s="187"/>
    </row>
    <row r="26">
      <c r="G26" s="187"/>
    </row>
    <row r="27">
      <c r="G27" s="187"/>
    </row>
    <row r="28">
      <c r="G28" s="187"/>
    </row>
    <row r="29">
      <c r="G29" s="187"/>
    </row>
    <row r="30">
      <c r="G30" s="187"/>
    </row>
    <row r="31">
      <c r="G31" s="187"/>
    </row>
    <row r="32">
      <c r="G32" s="187"/>
    </row>
    <row r="33">
      <c r="G33" s="187"/>
    </row>
    <row r="34">
      <c r="G34" s="187"/>
    </row>
    <row r="35">
      <c r="G35" s="187"/>
    </row>
    <row r="36">
      <c r="G36" s="187"/>
    </row>
    <row r="37">
      <c r="G37" s="187"/>
    </row>
    <row r="38">
      <c r="G38" s="187"/>
    </row>
    <row r="39">
      <c r="G39" s="187"/>
    </row>
    <row r="40">
      <c r="G40" s="187"/>
    </row>
    <row r="41">
      <c r="G41" s="187"/>
    </row>
    <row r="42">
      <c r="G42" s="187"/>
    </row>
    <row r="43">
      <c r="G43" s="187"/>
    </row>
    <row r="44">
      <c r="G44" s="187"/>
    </row>
    <row r="45">
      <c r="G45" s="187"/>
    </row>
    <row r="46">
      <c r="G46" s="187"/>
    </row>
    <row r="47">
      <c r="G47" s="187"/>
    </row>
    <row r="48">
      <c r="G48" s="187"/>
    </row>
    <row r="49">
      <c r="G49" s="187"/>
    </row>
    <row r="50">
      <c r="G50" s="187"/>
    </row>
    <row r="51">
      <c r="G51" s="187"/>
    </row>
    <row r="52">
      <c r="G52" s="187"/>
    </row>
    <row r="53">
      <c r="G53" s="187"/>
    </row>
    <row r="54">
      <c r="G54" s="187"/>
    </row>
    <row r="55">
      <c r="G55" s="187"/>
    </row>
    <row r="56">
      <c r="G56" s="187"/>
    </row>
    <row r="57">
      <c r="G57" s="187"/>
    </row>
    <row r="58">
      <c r="G58" s="187"/>
    </row>
    <row r="59">
      <c r="G59" s="187"/>
    </row>
    <row r="60">
      <c r="G60" s="187"/>
    </row>
    <row r="61">
      <c r="G61" s="187"/>
    </row>
    <row r="62">
      <c r="G62" s="187"/>
    </row>
    <row r="63">
      <c r="G63" s="187"/>
    </row>
    <row r="64">
      <c r="G64" s="187"/>
    </row>
    <row r="65">
      <c r="G65" s="187"/>
    </row>
    <row r="66">
      <c r="G66" s="187"/>
    </row>
    <row r="67">
      <c r="G67" s="187"/>
    </row>
    <row r="68">
      <c r="G68" s="187"/>
    </row>
    <row r="69">
      <c r="G69" s="187"/>
    </row>
    <row r="70">
      <c r="G70" s="187"/>
    </row>
    <row r="71">
      <c r="G71" s="187"/>
    </row>
    <row r="72">
      <c r="G72" s="187"/>
    </row>
    <row r="73">
      <c r="G73" s="187"/>
    </row>
    <row r="74">
      <c r="G74" s="187"/>
    </row>
    <row r="75">
      <c r="G75" s="187"/>
    </row>
    <row r="76">
      <c r="G76" s="187"/>
    </row>
    <row r="77">
      <c r="G77" s="187"/>
    </row>
    <row r="78">
      <c r="G78" s="187"/>
    </row>
    <row r="79">
      <c r="G79" s="187"/>
    </row>
    <row r="80">
      <c r="G80" s="187"/>
    </row>
    <row r="81">
      <c r="G81" s="187"/>
    </row>
    <row r="82">
      <c r="G82" s="187"/>
    </row>
    <row r="83">
      <c r="G83" s="187"/>
    </row>
    <row r="84">
      <c r="G84" s="187"/>
    </row>
    <row r="85">
      <c r="G85" s="187"/>
    </row>
    <row r="86">
      <c r="G86" s="187"/>
    </row>
    <row r="87">
      <c r="G87" s="187"/>
    </row>
    <row r="88">
      <c r="G88" s="187"/>
    </row>
    <row r="89">
      <c r="G89" s="187"/>
    </row>
    <row r="90">
      <c r="G90" s="187"/>
    </row>
    <row r="91">
      <c r="G91" s="187"/>
    </row>
    <row r="92">
      <c r="G92" s="187"/>
    </row>
    <row r="93">
      <c r="G93" s="187"/>
    </row>
    <row r="94">
      <c r="G94" s="187"/>
    </row>
    <row r="95">
      <c r="G95" s="187"/>
    </row>
    <row r="96">
      <c r="G96" s="187"/>
    </row>
    <row r="97">
      <c r="G97" s="187"/>
    </row>
    <row r="98">
      <c r="G98" s="187"/>
    </row>
    <row r="99">
      <c r="G99" s="187"/>
    </row>
    <row r="100">
      <c r="G100" s="187"/>
    </row>
    <row r="101">
      <c r="G101" s="187"/>
    </row>
    <row r="102">
      <c r="G102" s="187"/>
    </row>
    <row r="103">
      <c r="G103" s="187"/>
    </row>
    <row r="104">
      <c r="G104" s="187"/>
    </row>
    <row r="105">
      <c r="G105" s="187"/>
    </row>
    <row r="106">
      <c r="G106" s="187"/>
    </row>
    <row r="107">
      <c r="G107" s="187"/>
    </row>
    <row r="108">
      <c r="G108" s="187"/>
    </row>
    <row r="109">
      <c r="G109" s="187"/>
    </row>
    <row r="110">
      <c r="G110" s="187"/>
    </row>
    <row r="111">
      <c r="G111" s="187"/>
    </row>
    <row r="112">
      <c r="G112" s="187"/>
    </row>
    <row r="113">
      <c r="G113" s="187"/>
    </row>
    <row r="114">
      <c r="G114" s="187"/>
    </row>
    <row r="115">
      <c r="G115" s="187"/>
    </row>
    <row r="116">
      <c r="G116" s="187"/>
    </row>
    <row r="117">
      <c r="G117" s="187"/>
    </row>
    <row r="118">
      <c r="G118" s="187"/>
    </row>
    <row r="119">
      <c r="G119" s="187"/>
    </row>
    <row r="120">
      <c r="G120" s="187"/>
    </row>
    <row r="121">
      <c r="G121" s="187"/>
    </row>
    <row r="122">
      <c r="G122" s="187"/>
    </row>
    <row r="123">
      <c r="G123" s="187"/>
    </row>
    <row r="124">
      <c r="G124" s="187"/>
    </row>
    <row r="125">
      <c r="G125" s="187"/>
    </row>
    <row r="126">
      <c r="G126" s="187"/>
    </row>
    <row r="127">
      <c r="G127" s="187"/>
    </row>
    <row r="128">
      <c r="G128" s="187"/>
    </row>
    <row r="129">
      <c r="G129" s="187"/>
    </row>
    <row r="130">
      <c r="G130" s="187"/>
    </row>
    <row r="131">
      <c r="G131" s="187"/>
    </row>
    <row r="132">
      <c r="G132" s="187"/>
    </row>
    <row r="133">
      <c r="G133" s="187"/>
    </row>
    <row r="134">
      <c r="G134" s="187"/>
    </row>
    <row r="135">
      <c r="G135" s="187"/>
    </row>
    <row r="136">
      <c r="G136" s="187"/>
    </row>
    <row r="137">
      <c r="G137" s="187"/>
    </row>
    <row r="138">
      <c r="G138" s="187"/>
    </row>
    <row r="139">
      <c r="G139" s="187"/>
    </row>
    <row r="140">
      <c r="G140" s="187"/>
    </row>
    <row r="141">
      <c r="G141" s="187"/>
    </row>
    <row r="142">
      <c r="G142" s="187"/>
    </row>
    <row r="143">
      <c r="G143" s="187"/>
    </row>
    <row r="144">
      <c r="G144" s="187"/>
    </row>
    <row r="145">
      <c r="G145" s="187"/>
    </row>
    <row r="146">
      <c r="G146" s="187"/>
    </row>
    <row r="147">
      <c r="G147" s="187"/>
    </row>
    <row r="148">
      <c r="G148" s="187"/>
    </row>
    <row r="149">
      <c r="G149" s="187"/>
    </row>
    <row r="150">
      <c r="G150" s="187"/>
    </row>
    <row r="151">
      <c r="G151" s="187"/>
    </row>
    <row r="152">
      <c r="G152" s="187"/>
    </row>
    <row r="153">
      <c r="G153" s="187"/>
    </row>
    <row r="154">
      <c r="G154" s="187"/>
    </row>
    <row r="155">
      <c r="G155" s="187"/>
    </row>
    <row r="156">
      <c r="G156" s="187"/>
    </row>
    <row r="157">
      <c r="G157" s="187"/>
    </row>
    <row r="158">
      <c r="G158" s="187"/>
    </row>
    <row r="159">
      <c r="G159" s="187"/>
    </row>
    <row r="160">
      <c r="G160" s="187"/>
    </row>
    <row r="161">
      <c r="G161" s="187"/>
    </row>
    <row r="162">
      <c r="G162" s="187"/>
    </row>
    <row r="163">
      <c r="G163" s="187"/>
    </row>
    <row r="164">
      <c r="G164" s="187"/>
    </row>
    <row r="165">
      <c r="G165" s="187"/>
    </row>
    <row r="166">
      <c r="G166" s="187"/>
    </row>
    <row r="167">
      <c r="G167" s="187"/>
    </row>
    <row r="168">
      <c r="G168" s="187"/>
    </row>
    <row r="169">
      <c r="G169" s="187"/>
    </row>
    <row r="170">
      <c r="G170" s="187"/>
    </row>
    <row r="171">
      <c r="G171" s="187"/>
    </row>
    <row r="172">
      <c r="G172" s="187"/>
    </row>
    <row r="173">
      <c r="G173" s="187"/>
    </row>
    <row r="174">
      <c r="G174" s="187"/>
    </row>
    <row r="175">
      <c r="G175" s="187"/>
    </row>
    <row r="176">
      <c r="G176" s="187"/>
    </row>
    <row r="177">
      <c r="G177" s="187"/>
    </row>
    <row r="178">
      <c r="G178" s="187"/>
    </row>
    <row r="179">
      <c r="G179" s="187"/>
    </row>
    <row r="180">
      <c r="G180" s="187"/>
    </row>
    <row r="181">
      <c r="G181" s="187"/>
    </row>
    <row r="182">
      <c r="G182" s="187"/>
    </row>
    <row r="183">
      <c r="G183" s="187"/>
    </row>
    <row r="184">
      <c r="G184" s="187"/>
    </row>
    <row r="185">
      <c r="G185" s="187"/>
    </row>
    <row r="186">
      <c r="G186" s="187"/>
    </row>
    <row r="187">
      <c r="G187" s="187"/>
    </row>
    <row r="188">
      <c r="G188" s="187"/>
    </row>
    <row r="189">
      <c r="G189" s="187"/>
    </row>
    <row r="190">
      <c r="G190" s="187"/>
    </row>
    <row r="191">
      <c r="G191" s="187"/>
    </row>
    <row r="192">
      <c r="G192" s="187"/>
    </row>
    <row r="193">
      <c r="G193" s="187"/>
    </row>
    <row r="194">
      <c r="G194" s="187"/>
    </row>
    <row r="195">
      <c r="G195" s="187"/>
    </row>
    <row r="196">
      <c r="G196" s="187"/>
    </row>
    <row r="197">
      <c r="G197" s="187"/>
    </row>
    <row r="198">
      <c r="G198" s="187"/>
    </row>
    <row r="199">
      <c r="G199" s="187"/>
    </row>
    <row r="200">
      <c r="G200" s="187"/>
    </row>
    <row r="201">
      <c r="G201" s="187"/>
    </row>
    <row r="202">
      <c r="G202" s="187"/>
    </row>
    <row r="203">
      <c r="G203" s="187"/>
    </row>
    <row r="204">
      <c r="G204" s="187"/>
    </row>
    <row r="205">
      <c r="G205" s="187"/>
    </row>
    <row r="206">
      <c r="G206" s="187"/>
    </row>
    <row r="207">
      <c r="G207" s="187"/>
    </row>
    <row r="208">
      <c r="G208" s="187"/>
    </row>
    <row r="209">
      <c r="G209" s="187"/>
    </row>
    <row r="210">
      <c r="G210" s="187"/>
    </row>
    <row r="211">
      <c r="G211" s="187"/>
    </row>
    <row r="212">
      <c r="G212" s="187"/>
    </row>
    <row r="213">
      <c r="G213" s="187"/>
    </row>
    <row r="214">
      <c r="G214" s="187"/>
    </row>
    <row r="215">
      <c r="G215" s="187"/>
    </row>
    <row r="216">
      <c r="G216" s="187"/>
    </row>
    <row r="217">
      <c r="G217" s="187"/>
    </row>
    <row r="218">
      <c r="G218" s="187"/>
    </row>
    <row r="219">
      <c r="G219" s="187"/>
    </row>
    <row r="220">
      <c r="G220" s="187"/>
    </row>
    <row r="221">
      <c r="G221" s="187"/>
    </row>
    <row r="222">
      <c r="G222" s="187"/>
    </row>
    <row r="223">
      <c r="G223" s="187"/>
    </row>
    <row r="224">
      <c r="G224" s="187"/>
    </row>
    <row r="225">
      <c r="G225" s="187"/>
    </row>
    <row r="226">
      <c r="G226" s="187"/>
    </row>
    <row r="227">
      <c r="G227" s="187"/>
    </row>
    <row r="228">
      <c r="G228" s="187"/>
    </row>
    <row r="229">
      <c r="G229" s="187"/>
    </row>
    <row r="230">
      <c r="G230" s="187"/>
    </row>
    <row r="231">
      <c r="G231" s="187"/>
    </row>
    <row r="232">
      <c r="G232" s="187"/>
    </row>
    <row r="233">
      <c r="G233" s="187"/>
    </row>
    <row r="234">
      <c r="G234" s="187"/>
    </row>
    <row r="235">
      <c r="G235" s="187"/>
    </row>
    <row r="236">
      <c r="G236" s="187"/>
    </row>
    <row r="237">
      <c r="G237" s="187"/>
    </row>
    <row r="238">
      <c r="G238" s="187"/>
    </row>
    <row r="239">
      <c r="G239" s="187"/>
    </row>
    <row r="240">
      <c r="G240" s="187"/>
    </row>
    <row r="241">
      <c r="G241" s="187"/>
    </row>
    <row r="242">
      <c r="G242" s="187"/>
    </row>
    <row r="243">
      <c r="G243" s="187"/>
    </row>
    <row r="244">
      <c r="G244" s="187"/>
    </row>
    <row r="245">
      <c r="G245" s="187"/>
    </row>
    <row r="246">
      <c r="G246" s="187"/>
    </row>
    <row r="247">
      <c r="G247" s="187"/>
    </row>
    <row r="248">
      <c r="G248" s="187"/>
    </row>
    <row r="249">
      <c r="G249" s="187"/>
    </row>
    <row r="250">
      <c r="G250" s="187"/>
    </row>
    <row r="251">
      <c r="G251" s="187"/>
    </row>
    <row r="252">
      <c r="G252" s="187"/>
    </row>
    <row r="253">
      <c r="G253" s="187"/>
    </row>
    <row r="254">
      <c r="G254" s="187"/>
    </row>
    <row r="255">
      <c r="G255" s="187"/>
    </row>
    <row r="256">
      <c r="G256" s="187"/>
    </row>
    <row r="257">
      <c r="G257" s="187"/>
    </row>
    <row r="258">
      <c r="G258" s="187"/>
    </row>
    <row r="259">
      <c r="G259" s="187"/>
    </row>
    <row r="260">
      <c r="G260" s="187"/>
    </row>
    <row r="261">
      <c r="G261" s="187"/>
    </row>
    <row r="262">
      <c r="G262" s="187"/>
    </row>
    <row r="263">
      <c r="G263" s="187"/>
    </row>
    <row r="264">
      <c r="G264" s="187"/>
    </row>
    <row r="265">
      <c r="G265" s="187"/>
    </row>
    <row r="266">
      <c r="G266" s="187"/>
    </row>
    <row r="267">
      <c r="G267" s="187"/>
    </row>
    <row r="268">
      <c r="G268" s="187"/>
    </row>
    <row r="269">
      <c r="G269" s="187"/>
    </row>
    <row r="270">
      <c r="G270" s="187"/>
    </row>
    <row r="271">
      <c r="G271" s="187"/>
    </row>
    <row r="272">
      <c r="G272" s="187"/>
    </row>
    <row r="273">
      <c r="G273" s="187"/>
    </row>
    <row r="274">
      <c r="G274" s="187"/>
    </row>
    <row r="275">
      <c r="G275" s="187"/>
    </row>
    <row r="276">
      <c r="G276" s="187"/>
    </row>
    <row r="277">
      <c r="G277" s="187"/>
    </row>
    <row r="278">
      <c r="G278" s="187"/>
    </row>
    <row r="279">
      <c r="G279" s="187"/>
    </row>
    <row r="280">
      <c r="G280" s="187"/>
    </row>
    <row r="281">
      <c r="G281" s="187"/>
    </row>
    <row r="282">
      <c r="G282" s="187"/>
    </row>
    <row r="283">
      <c r="G283" s="187"/>
    </row>
    <row r="284">
      <c r="G284" s="187"/>
    </row>
    <row r="285">
      <c r="G285" s="187"/>
    </row>
    <row r="286">
      <c r="G286" s="187"/>
    </row>
    <row r="287">
      <c r="G287" s="187"/>
    </row>
    <row r="288">
      <c r="G288" s="187"/>
    </row>
    <row r="289">
      <c r="G289" s="187"/>
    </row>
    <row r="290">
      <c r="G290" s="187"/>
    </row>
    <row r="291">
      <c r="G291" s="187"/>
    </row>
    <row r="292">
      <c r="G292" s="187"/>
    </row>
    <row r="293">
      <c r="G293" s="187"/>
    </row>
    <row r="294">
      <c r="G294" s="187"/>
    </row>
    <row r="295">
      <c r="G295" s="187"/>
    </row>
    <row r="296">
      <c r="G296" s="187"/>
    </row>
    <row r="297">
      <c r="G297" s="187"/>
    </row>
    <row r="298">
      <c r="G298" s="187"/>
    </row>
    <row r="299">
      <c r="G299" s="187"/>
    </row>
    <row r="300">
      <c r="G300" s="187"/>
    </row>
    <row r="301">
      <c r="G301" s="187"/>
    </row>
    <row r="302">
      <c r="G302" s="187"/>
    </row>
    <row r="303">
      <c r="G303" s="187"/>
    </row>
    <row r="304">
      <c r="G304" s="187"/>
    </row>
    <row r="305">
      <c r="G305" s="187"/>
    </row>
    <row r="306">
      <c r="G306" s="187"/>
    </row>
    <row r="307">
      <c r="G307" s="187"/>
    </row>
    <row r="308">
      <c r="G308" s="187"/>
    </row>
    <row r="309">
      <c r="G309" s="187"/>
    </row>
    <row r="310">
      <c r="G310" s="187"/>
    </row>
    <row r="311">
      <c r="G311" s="187"/>
    </row>
    <row r="312">
      <c r="G312" s="187"/>
    </row>
    <row r="313">
      <c r="G313" s="187"/>
    </row>
    <row r="314">
      <c r="G314" s="187"/>
    </row>
    <row r="315">
      <c r="G315" s="187"/>
    </row>
    <row r="316">
      <c r="G316" s="187"/>
    </row>
    <row r="317">
      <c r="G317" s="187"/>
    </row>
    <row r="318">
      <c r="G318" s="187"/>
    </row>
    <row r="319">
      <c r="G319" s="187"/>
    </row>
    <row r="320">
      <c r="G320" s="187"/>
    </row>
    <row r="321">
      <c r="G321" s="187"/>
    </row>
    <row r="322">
      <c r="G322" s="187"/>
    </row>
    <row r="323">
      <c r="G323" s="187"/>
    </row>
    <row r="324">
      <c r="G324" s="187"/>
    </row>
    <row r="325">
      <c r="G325" s="187"/>
    </row>
    <row r="326">
      <c r="G326" s="187"/>
    </row>
    <row r="327">
      <c r="G327" s="187"/>
    </row>
    <row r="328">
      <c r="G328" s="187"/>
    </row>
    <row r="329">
      <c r="G329" s="187"/>
    </row>
    <row r="330">
      <c r="G330" s="187"/>
    </row>
    <row r="331">
      <c r="G331" s="187"/>
    </row>
    <row r="332">
      <c r="G332" s="187"/>
    </row>
    <row r="333">
      <c r="G333" s="187"/>
    </row>
    <row r="334">
      <c r="G334" s="187"/>
    </row>
    <row r="335">
      <c r="G335" s="187"/>
    </row>
    <row r="336">
      <c r="G336" s="187"/>
    </row>
    <row r="337">
      <c r="G337" s="187"/>
    </row>
    <row r="338">
      <c r="G338" s="187"/>
    </row>
    <row r="339">
      <c r="G339" s="187"/>
    </row>
    <row r="340">
      <c r="G340" s="187"/>
    </row>
    <row r="341">
      <c r="G341" s="187"/>
    </row>
    <row r="342">
      <c r="G342" s="187"/>
    </row>
    <row r="343">
      <c r="G343" s="187"/>
    </row>
    <row r="344">
      <c r="G344" s="187"/>
    </row>
    <row r="345">
      <c r="G345" s="187"/>
    </row>
    <row r="346">
      <c r="G346" s="187"/>
    </row>
    <row r="347">
      <c r="G347" s="187"/>
    </row>
    <row r="348">
      <c r="G348" s="187"/>
    </row>
    <row r="349">
      <c r="G349" s="187"/>
    </row>
    <row r="350">
      <c r="G350" s="187"/>
    </row>
    <row r="351">
      <c r="G351" s="187"/>
    </row>
    <row r="352">
      <c r="G352" s="187"/>
    </row>
    <row r="353">
      <c r="G353" s="187"/>
    </row>
    <row r="354">
      <c r="G354" s="187"/>
    </row>
    <row r="355">
      <c r="G355" s="187"/>
    </row>
    <row r="356">
      <c r="G356" s="187"/>
    </row>
    <row r="357">
      <c r="G357" s="187"/>
    </row>
    <row r="358">
      <c r="G358" s="187"/>
    </row>
    <row r="359">
      <c r="G359" s="187"/>
    </row>
    <row r="360">
      <c r="G360" s="187"/>
    </row>
    <row r="361">
      <c r="G361" s="187"/>
    </row>
    <row r="362">
      <c r="G362" s="187"/>
    </row>
    <row r="363">
      <c r="G363" s="187"/>
    </row>
    <row r="364">
      <c r="G364" s="187"/>
    </row>
    <row r="365">
      <c r="G365" s="187"/>
    </row>
    <row r="366">
      <c r="G366" s="187"/>
    </row>
    <row r="367">
      <c r="G367" s="187"/>
    </row>
    <row r="368">
      <c r="G368" s="187"/>
    </row>
    <row r="369">
      <c r="G369" s="187"/>
    </row>
    <row r="370">
      <c r="G370" s="187"/>
    </row>
    <row r="371">
      <c r="G371" s="187"/>
    </row>
    <row r="372">
      <c r="G372" s="187"/>
    </row>
    <row r="373">
      <c r="G373" s="187"/>
    </row>
    <row r="374">
      <c r="G374" s="187"/>
    </row>
    <row r="375">
      <c r="G375" s="187"/>
    </row>
    <row r="376">
      <c r="G376" s="187"/>
    </row>
    <row r="377">
      <c r="G377" s="187"/>
    </row>
    <row r="378">
      <c r="G378" s="187"/>
    </row>
    <row r="379">
      <c r="G379" s="187"/>
    </row>
    <row r="380">
      <c r="G380" s="187"/>
    </row>
    <row r="381">
      <c r="G381" s="187"/>
    </row>
    <row r="382">
      <c r="G382" s="187"/>
    </row>
    <row r="383">
      <c r="G383" s="187"/>
    </row>
    <row r="384">
      <c r="G384" s="187"/>
    </row>
    <row r="385">
      <c r="G385" s="187"/>
    </row>
    <row r="386">
      <c r="G386" s="187"/>
    </row>
    <row r="387">
      <c r="G387" s="187"/>
    </row>
    <row r="388">
      <c r="G388" s="187"/>
    </row>
    <row r="389">
      <c r="G389" s="187"/>
    </row>
    <row r="390">
      <c r="G390" s="187"/>
    </row>
    <row r="391">
      <c r="G391" s="187"/>
    </row>
    <row r="392">
      <c r="G392" s="187"/>
    </row>
    <row r="393">
      <c r="G393" s="187"/>
    </row>
    <row r="394">
      <c r="G394" s="187"/>
    </row>
    <row r="395">
      <c r="G395" s="187"/>
    </row>
    <row r="396">
      <c r="G396" s="187"/>
    </row>
    <row r="397">
      <c r="G397" s="187"/>
    </row>
    <row r="398">
      <c r="G398" s="187"/>
    </row>
    <row r="399">
      <c r="G399" s="187"/>
    </row>
    <row r="400">
      <c r="G400" s="187"/>
    </row>
    <row r="401">
      <c r="G401" s="187"/>
    </row>
    <row r="402">
      <c r="G402" s="187"/>
    </row>
    <row r="403">
      <c r="G403" s="187"/>
    </row>
    <row r="404">
      <c r="G404" s="187"/>
    </row>
    <row r="405">
      <c r="G405" s="187"/>
    </row>
    <row r="406">
      <c r="G406" s="187"/>
    </row>
    <row r="407">
      <c r="G407" s="187"/>
    </row>
    <row r="408">
      <c r="G408" s="187"/>
    </row>
    <row r="409">
      <c r="G409" s="187"/>
    </row>
    <row r="410">
      <c r="G410" s="187"/>
    </row>
    <row r="411">
      <c r="G411" s="187"/>
    </row>
    <row r="412">
      <c r="G412" s="187"/>
    </row>
    <row r="413">
      <c r="G413" s="187"/>
    </row>
    <row r="414">
      <c r="G414" s="187"/>
    </row>
    <row r="415">
      <c r="G415" s="187"/>
    </row>
    <row r="416">
      <c r="G416" s="187"/>
    </row>
    <row r="417">
      <c r="G417" s="187"/>
    </row>
    <row r="418">
      <c r="G418" s="187"/>
    </row>
    <row r="419">
      <c r="G419" s="187"/>
    </row>
    <row r="420">
      <c r="G420" s="187"/>
    </row>
    <row r="421">
      <c r="G421" s="187"/>
    </row>
    <row r="422">
      <c r="G422" s="187"/>
    </row>
    <row r="423">
      <c r="G423" s="187"/>
    </row>
    <row r="424">
      <c r="G424" s="187"/>
    </row>
    <row r="425">
      <c r="G425" s="187"/>
    </row>
    <row r="426">
      <c r="G426" s="187"/>
    </row>
    <row r="427">
      <c r="G427" s="187"/>
    </row>
    <row r="428">
      <c r="G428" s="187"/>
    </row>
    <row r="429">
      <c r="G429" s="187"/>
    </row>
    <row r="430">
      <c r="G430" s="187"/>
    </row>
    <row r="431">
      <c r="G431" s="187"/>
    </row>
    <row r="432">
      <c r="G432" s="187"/>
    </row>
    <row r="433">
      <c r="G433" s="187"/>
    </row>
    <row r="434">
      <c r="G434" s="187"/>
    </row>
    <row r="435">
      <c r="G435" s="187"/>
    </row>
    <row r="436">
      <c r="G436" s="187"/>
    </row>
    <row r="437">
      <c r="G437" s="187"/>
    </row>
    <row r="438">
      <c r="G438" s="187"/>
    </row>
    <row r="439">
      <c r="G439" s="187"/>
    </row>
    <row r="440">
      <c r="G440" s="187"/>
    </row>
    <row r="441">
      <c r="G441" s="187"/>
    </row>
    <row r="442">
      <c r="G442" s="187"/>
    </row>
    <row r="443">
      <c r="G443" s="187"/>
    </row>
    <row r="444">
      <c r="G444" s="187"/>
    </row>
    <row r="445">
      <c r="G445" s="187"/>
    </row>
    <row r="446">
      <c r="G446" s="187"/>
    </row>
    <row r="447">
      <c r="G447" s="187"/>
    </row>
    <row r="448">
      <c r="G448" s="187"/>
    </row>
    <row r="449">
      <c r="G449" s="187"/>
    </row>
    <row r="450">
      <c r="G450" s="187"/>
    </row>
    <row r="451">
      <c r="G451" s="187"/>
    </row>
    <row r="452">
      <c r="G452" s="187"/>
    </row>
    <row r="453">
      <c r="G453" s="187"/>
    </row>
    <row r="454">
      <c r="G454" s="187"/>
    </row>
    <row r="455">
      <c r="G455" s="187"/>
    </row>
    <row r="456">
      <c r="G456" s="187"/>
    </row>
    <row r="457">
      <c r="G457" s="187"/>
    </row>
    <row r="458">
      <c r="G458" s="187"/>
    </row>
    <row r="459">
      <c r="G459" s="187"/>
    </row>
    <row r="460">
      <c r="G460" s="187"/>
    </row>
    <row r="461">
      <c r="G461" s="187"/>
    </row>
    <row r="462">
      <c r="G462" s="187"/>
    </row>
    <row r="463">
      <c r="G463" s="187"/>
    </row>
    <row r="464">
      <c r="G464" s="187"/>
    </row>
    <row r="465">
      <c r="G465" s="187"/>
    </row>
    <row r="466">
      <c r="G466" s="187"/>
    </row>
    <row r="467">
      <c r="G467" s="187"/>
    </row>
    <row r="468">
      <c r="G468" s="187"/>
    </row>
    <row r="469">
      <c r="G469" s="187"/>
    </row>
    <row r="470">
      <c r="G470" s="187"/>
    </row>
    <row r="471">
      <c r="G471" s="187"/>
    </row>
    <row r="472">
      <c r="G472" s="187"/>
    </row>
    <row r="473">
      <c r="G473" s="187"/>
    </row>
    <row r="474">
      <c r="G474" s="187"/>
    </row>
    <row r="475">
      <c r="G475" s="187"/>
    </row>
    <row r="476">
      <c r="G476" s="187"/>
    </row>
    <row r="477">
      <c r="G477" s="187"/>
    </row>
    <row r="478">
      <c r="G478" s="187"/>
    </row>
    <row r="479">
      <c r="G479" s="187"/>
    </row>
    <row r="480">
      <c r="G480" s="187"/>
    </row>
    <row r="481">
      <c r="G481" s="187"/>
    </row>
    <row r="482">
      <c r="G482" s="187"/>
    </row>
    <row r="483">
      <c r="G483" s="187"/>
    </row>
    <row r="484">
      <c r="G484" s="187"/>
    </row>
    <row r="485">
      <c r="G485" s="187"/>
    </row>
    <row r="486">
      <c r="G486" s="187"/>
    </row>
    <row r="487">
      <c r="G487" s="187"/>
    </row>
    <row r="488">
      <c r="G488" s="187"/>
    </row>
    <row r="489">
      <c r="G489" s="187"/>
    </row>
    <row r="490">
      <c r="G490" s="187"/>
    </row>
    <row r="491">
      <c r="G491" s="187"/>
    </row>
    <row r="492">
      <c r="G492" s="187"/>
    </row>
    <row r="493">
      <c r="G493" s="187"/>
    </row>
    <row r="494">
      <c r="G494" s="187"/>
    </row>
    <row r="495">
      <c r="G495" s="187"/>
    </row>
    <row r="496">
      <c r="G496" s="187"/>
    </row>
    <row r="497">
      <c r="G497" s="187"/>
    </row>
    <row r="498">
      <c r="G498" s="187"/>
    </row>
    <row r="499">
      <c r="G499" s="187"/>
    </row>
    <row r="500">
      <c r="G500" s="187"/>
    </row>
    <row r="501">
      <c r="G501" s="187"/>
    </row>
    <row r="502">
      <c r="G502" s="187"/>
    </row>
    <row r="503">
      <c r="G503" s="187"/>
    </row>
    <row r="504">
      <c r="G504" s="187"/>
    </row>
    <row r="505">
      <c r="G505" s="187"/>
    </row>
    <row r="506">
      <c r="G506" s="187"/>
    </row>
    <row r="507">
      <c r="G507" s="187"/>
    </row>
    <row r="508">
      <c r="G508" s="187"/>
    </row>
    <row r="509">
      <c r="G509" s="187"/>
    </row>
    <row r="510">
      <c r="G510" s="187"/>
    </row>
    <row r="511">
      <c r="G511" s="187"/>
    </row>
    <row r="512">
      <c r="G512" s="187"/>
    </row>
    <row r="513">
      <c r="G513" s="187"/>
    </row>
    <row r="514">
      <c r="G514" s="187"/>
    </row>
    <row r="515">
      <c r="G515" s="187"/>
    </row>
    <row r="516">
      <c r="G516" s="187"/>
    </row>
    <row r="517">
      <c r="G517" s="187"/>
    </row>
    <row r="518">
      <c r="G518" s="187"/>
    </row>
    <row r="519">
      <c r="G519" s="187"/>
    </row>
    <row r="520">
      <c r="G520" s="187"/>
    </row>
    <row r="521">
      <c r="G521" s="187"/>
    </row>
    <row r="522">
      <c r="G522" s="187"/>
    </row>
    <row r="523">
      <c r="G523" s="187"/>
    </row>
    <row r="524">
      <c r="G524" s="187"/>
    </row>
    <row r="525">
      <c r="G525" s="187"/>
    </row>
    <row r="526">
      <c r="G526" s="187"/>
    </row>
    <row r="527">
      <c r="G527" s="187"/>
    </row>
    <row r="528">
      <c r="G528" s="187"/>
    </row>
    <row r="529">
      <c r="G529" s="187"/>
    </row>
    <row r="530">
      <c r="G530" s="187"/>
    </row>
    <row r="531">
      <c r="G531" s="187"/>
    </row>
    <row r="532">
      <c r="G532" s="187"/>
    </row>
    <row r="533">
      <c r="G533" s="187"/>
    </row>
    <row r="534">
      <c r="G534" s="187"/>
    </row>
    <row r="535">
      <c r="G535" s="187"/>
    </row>
    <row r="536">
      <c r="G536" s="187"/>
    </row>
    <row r="537">
      <c r="G537" s="187"/>
    </row>
    <row r="538">
      <c r="G538" s="187"/>
    </row>
    <row r="539">
      <c r="G539" s="187"/>
    </row>
    <row r="540">
      <c r="G540" s="187"/>
    </row>
    <row r="541">
      <c r="G541" s="187"/>
    </row>
    <row r="542">
      <c r="G542" s="187"/>
    </row>
    <row r="543">
      <c r="G543" s="187"/>
    </row>
    <row r="544">
      <c r="G544" s="187"/>
    </row>
    <row r="545">
      <c r="G545" s="187"/>
    </row>
    <row r="546">
      <c r="G546" s="187"/>
    </row>
    <row r="547">
      <c r="G547" s="187"/>
    </row>
    <row r="548">
      <c r="G548" s="187"/>
    </row>
    <row r="549">
      <c r="G549" s="187"/>
    </row>
    <row r="550">
      <c r="G550" s="187"/>
    </row>
    <row r="551">
      <c r="G551" s="187"/>
    </row>
    <row r="552">
      <c r="G552" s="187"/>
    </row>
    <row r="553">
      <c r="G553" s="187"/>
    </row>
    <row r="554">
      <c r="G554" s="187"/>
    </row>
    <row r="555">
      <c r="G555" s="187"/>
    </row>
    <row r="556">
      <c r="G556" s="187"/>
    </row>
    <row r="557">
      <c r="G557" s="187"/>
    </row>
    <row r="558">
      <c r="G558" s="187"/>
    </row>
    <row r="559">
      <c r="G559" s="187"/>
    </row>
    <row r="560">
      <c r="G560" s="187"/>
    </row>
    <row r="561">
      <c r="G561" s="187"/>
    </row>
    <row r="562">
      <c r="G562" s="187"/>
    </row>
    <row r="563">
      <c r="G563" s="187"/>
    </row>
    <row r="564">
      <c r="G564" s="187"/>
    </row>
    <row r="565">
      <c r="G565" s="187"/>
    </row>
    <row r="566">
      <c r="G566" s="187"/>
    </row>
    <row r="567">
      <c r="G567" s="187"/>
    </row>
    <row r="568">
      <c r="G568" s="187"/>
    </row>
    <row r="569">
      <c r="G569" s="187"/>
    </row>
    <row r="570">
      <c r="G570" s="187"/>
    </row>
    <row r="571">
      <c r="G571" s="187"/>
    </row>
    <row r="572">
      <c r="G572" s="187"/>
    </row>
    <row r="573">
      <c r="G573" s="187"/>
    </row>
    <row r="574">
      <c r="G574" s="187"/>
    </row>
    <row r="575">
      <c r="G575" s="187"/>
    </row>
    <row r="576">
      <c r="G576" s="187"/>
    </row>
    <row r="577">
      <c r="G577" s="187"/>
    </row>
    <row r="578">
      <c r="G578" s="187"/>
    </row>
    <row r="579">
      <c r="G579" s="187"/>
    </row>
    <row r="580">
      <c r="G580" s="187"/>
    </row>
    <row r="581">
      <c r="G581" s="187"/>
    </row>
    <row r="582">
      <c r="G582" s="187"/>
    </row>
    <row r="583">
      <c r="G583" s="187"/>
    </row>
    <row r="584">
      <c r="G584" s="187"/>
    </row>
    <row r="585">
      <c r="G585" s="187"/>
    </row>
    <row r="586">
      <c r="G586" s="187"/>
    </row>
    <row r="587">
      <c r="G587" s="187"/>
    </row>
    <row r="588">
      <c r="G588" s="187"/>
    </row>
    <row r="589">
      <c r="G589" s="187"/>
    </row>
    <row r="590">
      <c r="G590" s="187"/>
    </row>
    <row r="591">
      <c r="G591" s="187"/>
    </row>
    <row r="592">
      <c r="G592" s="187"/>
    </row>
    <row r="593">
      <c r="G593" s="187"/>
    </row>
    <row r="594">
      <c r="G594" s="187"/>
    </row>
    <row r="595">
      <c r="G595" s="187"/>
    </row>
    <row r="596">
      <c r="G596" s="187"/>
    </row>
    <row r="597">
      <c r="G597" s="187"/>
    </row>
    <row r="598">
      <c r="G598" s="187"/>
    </row>
    <row r="599">
      <c r="G599" s="187"/>
    </row>
    <row r="600">
      <c r="G600" s="187"/>
    </row>
    <row r="601">
      <c r="G601" s="187"/>
    </row>
    <row r="602">
      <c r="G602" s="187"/>
    </row>
    <row r="603">
      <c r="G603" s="187"/>
    </row>
    <row r="604">
      <c r="G604" s="187"/>
    </row>
    <row r="605">
      <c r="G605" s="187"/>
    </row>
    <row r="606">
      <c r="G606" s="187"/>
    </row>
    <row r="607">
      <c r="G607" s="187"/>
    </row>
    <row r="608">
      <c r="G608" s="187"/>
    </row>
    <row r="609">
      <c r="G609" s="187"/>
    </row>
    <row r="610">
      <c r="G610" s="187"/>
    </row>
    <row r="611">
      <c r="G611" s="187"/>
    </row>
    <row r="612">
      <c r="G612" s="187"/>
    </row>
    <row r="613">
      <c r="G613" s="187"/>
    </row>
    <row r="614">
      <c r="G614" s="187"/>
    </row>
    <row r="615">
      <c r="G615" s="187"/>
    </row>
    <row r="616">
      <c r="G616" s="187"/>
    </row>
    <row r="617">
      <c r="G617" s="187"/>
    </row>
    <row r="618">
      <c r="G618" s="187"/>
    </row>
    <row r="619">
      <c r="G619" s="187"/>
    </row>
    <row r="620">
      <c r="G620" s="187"/>
    </row>
    <row r="621">
      <c r="G621" s="187"/>
    </row>
    <row r="622">
      <c r="G622" s="187"/>
    </row>
    <row r="623">
      <c r="G623" s="187"/>
    </row>
    <row r="624">
      <c r="G624" s="187"/>
    </row>
    <row r="625">
      <c r="G625" s="187"/>
    </row>
    <row r="626">
      <c r="G626" s="187"/>
    </row>
    <row r="627">
      <c r="G627" s="187"/>
    </row>
    <row r="628">
      <c r="G628" s="187"/>
    </row>
    <row r="629">
      <c r="G629" s="187"/>
    </row>
    <row r="630">
      <c r="G630" s="187"/>
    </row>
    <row r="631">
      <c r="G631" s="187"/>
    </row>
    <row r="632">
      <c r="G632" s="187"/>
    </row>
    <row r="633">
      <c r="G633" s="187"/>
    </row>
    <row r="634">
      <c r="G634" s="187"/>
    </row>
    <row r="635">
      <c r="G635" s="187"/>
    </row>
    <row r="636">
      <c r="G636" s="187"/>
    </row>
    <row r="637">
      <c r="G637" s="187"/>
    </row>
    <row r="638">
      <c r="G638" s="187"/>
    </row>
    <row r="639">
      <c r="G639" s="187"/>
    </row>
    <row r="640">
      <c r="G640" s="187"/>
    </row>
    <row r="641">
      <c r="G641" s="187"/>
    </row>
    <row r="642">
      <c r="G642" s="187"/>
    </row>
    <row r="643">
      <c r="G643" s="187"/>
    </row>
    <row r="644">
      <c r="G644" s="187"/>
    </row>
    <row r="645">
      <c r="G645" s="187"/>
    </row>
    <row r="646">
      <c r="G646" s="187"/>
    </row>
    <row r="647">
      <c r="G647" s="187"/>
    </row>
    <row r="648">
      <c r="G648" s="187"/>
    </row>
    <row r="649">
      <c r="G649" s="187"/>
    </row>
    <row r="650">
      <c r="G650" s="187"/>
    </row>
    <row r="651">
      <c r="G651" s="187"/>
    </row>
    <row r="652">
      <c r="G652" s="187"/>
    </row>
    <row r="653">
      <c r="G653" s="187"/>
    </row>
    <row r="654">
      <c r="G654" s="187"/>
    </row>
    <row r="655">
      <c r="G655" s="187"/>
    </row>
    <row r="656">
      <c r="G656" s="187"/>
    </row>
    <row r="657">
      <c r="G657" s="187"/>
    </row>
    <row r="658">
      <c r="G658" s="187"/>
    </row>
    <row r="659">
      <c r="G659" s="187"/>
    </row>
    <row r="660">
      <c r="G660" s="187"/>
    </row>
    <row r="661">
      <c r="G661" s="187"/>
    </row>
    <row r="662">
      <c r="G662" s="187"/>
    </row>
    <row r="663">
      <c r="G663" s="187"/>
    </row>
    <row r="664">
      <c r="G664" s="187"/>
    </row>
    <row r="665">
      <c r="G665" s="187"/>
    </row>
    <row r="666">
      <c r="G666" s="187"/>
    </row>
    <row r="667">
      <c r="G667" s="187"/>
    </row>
    <row r="668">
      <c r="G668" s="187"/>
    </row>
    <row r="669">
      <c r="G669" s="187"/>
    </row>
    <row r="670">
      <c r="G670" s="187"/>
    </row>
    <row r="671">
      <c r="G671" s="187"/>
    </row>
    <row r="672">
      <c r="G672" s="187"/>
    </row>
    <row r="673">
      <c r="G673" s="187"/>
    </row>
    <row r="674">
      <c r="G674" s="187"/>
    </row>
    <row r="675">
      <c r="G675" s="187"/>
    </row>
    <row r="676">
      <c r="G676" s="187"/>
    </row>
    <row r="677">
      <c r="G677" s="187"/>
    </row>
    <row r="678">
      <c r="G678" s="187"/>
    </row>
    <row r="679">
      <c r="G679" s="187"/>
    </row>
    <row r="680">
      <c r="G680" s="187"/>
    </row>
    <row r="681">
      <c r="G681" s="187"/>
    </row>
    <row r="682">
      <c r="G682" s="187"/>
    </row>
    <row r="683">
      <c r="G683" s="187"/>
    </row>
    <row r="684">
      <c r="G684" s="187"/>
    </row>
    <row r="685">
      <c r="G685" s="187"/>
    </row>
    <row r="686">
      <c r="G686" s="187"/>
    </row>
    <row r="687">
      <c r="G687" s="187"/>
    </row>
    <row r="688">
      <c r="G688" s="187"/>
    </row>
    <row r="689">
      <c r="G689" s="187"/>
    </row>
    <row r="690">
      <c r="G690" s="187"/>
    </row>
    <row r="691">
      <c r="G691" s="187"/>
    </row>
    <row r="692">
      <c r="G692" s="187"/>
    </row>
    <row r="693">
      <c r="G693" s="187"/>
    </row>
    <row r="694">
      <c r="G694" s="187"/>
    </row>
    <row r="695">
      <c r="G695" s="187"/>
    </row>
    <row r="696">
      <c r="G696" s="187"/>
    </row>
    <row r="697">
      <c r="G697" s="187"/>
    </row>
    <row r="698">
      <c r="G698" s="187"/>
    </row>
    <row r="699">
      <c r="G699" s="187"/>
    </row>
    <row r="700">
      <c r="G700" s="187"/>
    </row>
    <row r="701">
      <c r="G701" s="187"/>
    </row>
    <row r="702">
      <c r="G702" s="187"/>
    </row>
    <row r="703">
      <c r="G703" s="187"/>
    </row>
    <row r="704">
      <c r="G704" s="187"/>
    </row>
    <row r="705">
      <c r="G705" s="187"/>
    </row>
    <row r="706">
      <c r="G706" s="187"/>
    </row>
    <row r="707">
      <c r="G707" s="187"/>
    </row>
    <row r="708">
      <c r="G708" s="187"/>
    </row>
    <row r="709">
      <c r="G709" s="187"/>
    </row>
    <row r="710">
      <c r="G710" s="187"/>
    </row>
    <row r="711">
      <c r="G711" s="187"/>
    </row>
    <row r="712">
      <c r="G712" s="187"/>
    </row>
    <row r="713">
      <c r="G713" s="187"/>
    </row>
    <row r="714">
      <c r="G714" s="187"/>
    </row>
    <row r="715">
      <c r="G715" s="187"/>
    </row>
    <row r="716">
      <c r="G716" s="187"/>
    </row>
    <row r="717">
      <c r="G717" s="187"/>
    </row>
    <row r="718">
      <c r="G718" s="187"/>
    </row>
    <row r="719">
      <c r="G719" s="187"/>
    </row>
    <row r="720">
      <c r="G720" s="187"/>
    </row>
    <row r="721">
      <c r="G721" s="187"/>
    </row>
    <row r="722">
      <c r="G722" s="187"/>
    </row>
    <row r="723">
      <c r="G723" s="187"/>
    </row>
    <row r="724">
      <c r="G724" s="187"/>
    </row>
    <row r="725">
      <c r="G725" s="187"/>
    </row>
    <row r="726">
      <c r="G726" s="187"/>
    </row>
    <row r="727">
      <c r="G727" s="187"/>
    </row>
    <row r="728">
      <c r="G728" s="187"/>
    </row>
    <row r="729">
      <c r="G729" s="187"/>
    </row>
    <row r="730">
      <c r="G730" s="187"/>
    </row>
    <row r="731">
      <c r="G731" s="187"/>
    </row>
    <row r="732">
      <c r="G732" s="187"/>
    </row>
    <row r="733">
      <c r="G733" s="187"/>
    </row>
    <row r="734">
      <c r="G734" s="187"/>
    </row>
    <row r="735">
      <c r="G735" s="187"/>
    </row>
    <row r="736">
      <c r="G736" s="187"/>
    </row>
    <row r="737">
      <c r="G737" s="187"/>
    </row>
    <row r="738">
      <c r="G738" s="187"/>
    </row>
    <row r="739">
      <c r="G739" s="187"/>
    </row>
    <row r="740">
      <c r="G740" s="187"/>
    </row>
    <row r="741">
      <c r="G741" s="187"/>
    </row>
    <row r="742">
      <c r="G742" s="187"/>
    </row>
    <row r="743">
      <c r="G743" s="187"/>
    </row>
    <row r="744">
      <c r="G744" s="187"/>
    </row>
    <row r="745">
      <c r="G745" s="187"/>
    </row>
    <row r="746">
      <c r="G746" s="187"/>
    </row>
    <row r="747">
      <c r="G747" s="187"/>
    </row>
    <row r="748">
      <c r="G748" s="187"/>
    </row>
    <row r="749">
      <c r="G749" s="187"/>
    </row>
    <row r="750">
      <c r="G750" s="187"/>
    </row>
    <row r="751">
      <c r="G751" s="187"/>
    </row>
    <row r="752">
      <c r="G752" s="187"/>
    </row>
    <row r="753">
      <c r="G753" s="187"/>
    </row>
    <row r="754">
      <c r="G754" s="187"/>
    </row>
    <row r="755">
      <c r="G755" s="187"/>
    </row>
    <row r="756">
      <c r="G756" s="187"/>
    </row>
    <row r="757">
      <c r="G757" s="187"/>
    </row>
    <row r="758">
      <c r="G758" s="187"/>
    </row>
    <row r="759">
      <c r="G759" s="187"/>
    </row>
    <row r="760">
      <c r="G760" s="187"/>
    </row>
    <row r="761">
      <c r="G761" s="187"/>
    </row>
    <row r="762">
      <c r="G762" s="187"/>
    </row>
    <row r="763">
      <c r="G763" s="187"/>
    </row>
    <row r="764">
      <c r="G764" s="187"/>
    </row>
    <row r="765">
      <c r="G765" s="187"/>
    </row>
    <row r="766">
      <c r="G766" s="187"/>
    </row>
    <row r="767">
      <c r="G767" s="187"/>
    </row>
    <row r="768">
      <c r="G768" s="187"/>
    </row>
    <row r="769">
      <c r="G769" s="187"/>
    </row>
    <row r="770">
      <c r="G770" s="187"/>
    </row>
    <row r="771">
      <c r="G771" s="187"/>
    </row>
    <row r="772">
      <c r="G772" s="187"/>
    </row>
    <row r="773">
      <c r="G773" s="187"/>
    </row>
    <row r="774">
      <c r="G774" s="187"/>
    </row>
    <row r="775">
      <c r="G775" s="187"/>
    </row>
    <row r="776">
      <c r="G776" s="187"/>
    </row>
    <row r="777">
      <c r="G777" s="187"/>
    </row>
    <row r="778">
      <c r="G778" s="187"/>
    </row>
    <row r="779">
      <c r="G779" s="187"/>
    </row>
    <row r="780">
      <c r="G780" s="187"/>
    </row>
    <row r="781">
      <c r="G781" s="187"/>
    </row>
    <row r="782">
      <c r="G782" s="187"/>
    </row>
    <row r="783">
      <c r="G783" s="187"/>
    </row>
    <row r="784">
      <c r="G784" s="187"/>
    </row>
    <row r="785">
      <c r="G785" s="187"/>
    </row>
    <row r="786">
      <c r="G786" s="187"/>
    </row>
    <row r="787">
      <c r="G787" s="187"/>
    </row>
    <row r="788">
      <c r="G788" s="187"/>
    </row>
    <row r="789">
      <c r="G789" s="187"/>
    </row>
    <row r="790">
      <c r="G790" s="187"/>
    </row>
    <row r="791">
      <c r="G791" s="187"/>
    </row>
    <row r="792">
      <c r="G792" s="187"/>
    </row>
    <row r="793">
      <c r="G793" s="187"/>
    </row>
    <row r="794">
      <c r="G794" s="187"/>
    </row>
    <row r="795">
      <c r="G795" s="187"/>
    </row>
    <row r="796">
      <c r="G796" s="187"/>
    </row>
    <row r="797">
      <c r="G797" s="187"/>
    </row>
    <row r="798">
      <c r="G798" s="187"/>
    </row>
    <row r="799">
      <c r="G799" s="187"/>
    </row>
    <row r="800">
      <c r="G800" s="187"/>
    </row>
    <row r="801">
      <c r="G801" s="187"/>
    </row>
    <row r="802">
      <c r="G802" s="187"/>
    </row>
    <row r="803">
      <c r="G803" s="187"/>
    </row>
    <row r="804">
      <c r="G804" s="187"/>
    </row>
    <row r="805">
      <c r="G805" s="187"/>
    </row>
    <row r="806">
      <c r="G806" s="187"/>
    </row>
    <row r="807">
      <c r="G807" s="187"/>
    </row>
    <row r="808">
      <c r="G808" s="187"/>
    </row>
    <row r="809">
      <c r="G809" s="187"/>
    </row>
    <row r="810">
      <c r="G810" s="187"/>
    </row>
    <row r="811">
      <c r="G811" s="187"/>
    </row>
    <row r="812">
      <c r="G812" s="187"/>
    </row>
    <row r="813">
      <c r="G813" s="187"/>
    </row>
    <row r="814">
      <c r="G814" s="187"/>
    </row>
    <row r="815">
      <c r="G815" s="187"/>
    </row>
    <row r="816">
      <c r="G816" s="187"/>
    </row>
    <row r="817">
      <c r="G817" s="187"/>
    </row>
    <row r="818">
      <c r="G818" s="187"/>
    </row>
    <row r="819">
      <c r="G819" s="187"/>
    </row>
    <row r="820">
      <c r="G820" s="187"/>
    </row>
    <row r="821">
      <c r="G821" s="187"/>
    </row>
    <row r="822">
      <c r="G822" s="187"/>
    </row>
    <row r="823">
      <c r="G823" s="187"/>
    </row>
    <row r="824">
      <c r="G824" s="187"/>
    </row>
    <row r="825">
      <c r="G825" s="187"/>
    </row>
    <row r="826">
      <c r="G826" s="187"/>
    </row>
    <row r="827">
      <c r="G827" s="187"/>
    </row>
    <row r="828">
      <c r="G828" s="187"/>
    </row>
    <row r="829">
      <c r="G829" s="187"/>
    </row>
    <row r="830">
      <c r="G830" s="187"/>
    </row>
    <row r="831">
      <c r="G831" s="187"/>
    </row>
    <row r="832">
      <c r="G832" s="187"/>
    </row>
    <row r="833">
      <c r="G833" s="187"/>
    </row>
    <row r="834">
      <c r="G834" s="187"/>
    </row>
    <row r="835">
      <c r="G835" s="187"/>
    </row>
    <row r="836">
      <c r="G836" s="187"/>
    </row>
    <row r="837">
      <c r="G837" s="187"/>
    </row>
    <row r="838">
      <c r="G838" s="187"/>
    </row>
    <row r="839">
      <c r="G839" s="187"/>
    </row>
    <row r="840">
      <c r="G840" s="187"/>
    </row>
    <row r="841">
      <c r="G841" s="187"/>
    </row>
    <row r="842">
      <c r="G842" s="187"/>
    </row>
    <row r="843">
      <c r="G843" s="187"/>
    </row>
    <row r="844">
      <c r="G844" s="187"/>
    </row>
    <row r="845">
      <c r="G845" s="187"/>
    </row>
    <row r="846">
      <c r="G846" s="187"/>
    </row>
    <row r="847">
      <c r="G847" s="187"/>
    </row>
    <row r="848">
      <c r="G848" s="187"/>
    </row>
    <row r="849">
      <c r="G849" s="187"/>
    </row>
    <row r="850">
      <c r="G850" s="187"/>
    </row>
    <row r="851">
      <c r="G851" s="187"/>
    </row>
    <row r="852">
      <c r="G852" s="187"/>
    </row>
    <row r="853">
      <c r="G853" s="187"/>
    </row>
    <row r="854">
      <c r="G854" s="187"/>
    </row>
    <row r="855">
      <c r="G855" s="187"/>
    </row>
    <row r="856">
      <c r="G856" s="187"/>
    </row>
    <row r="857">
      <c r="G857" s="187"/>
    </row>
    <row r="858">
      <c r="G858" s="187"/>
    </row>
    <row r="859">
      <c r="G859" s="187"/>
    </row>
    <row r="860">
      <c r="G860" s="187"/>
    </row>
    <row r="861">
      <c r="G861" s="187"/>
    </row>
    <row r="862">
      <c r="G862" s="187"/>
    </row>
    <row r="863">
      <c r="G863" s="187"/>
    </row>
    <row r="864">
      <c r="G864" s="187"/>
    </row>
    <row r="865">
      <c r="G865" s="187"/>
    </row>
    <row r="866">
      <c r="G866" s="187"/>
    </row>
    <row r="867">
      <c r="G867" s="187"/>
    </row>
    <row r="868">
      <c r="G868" s="187"/>
    </row>
    <row r="869">
      <c r="G869" s="187"/>
    </row>
    <row r="870">
      <c r="G870" s="187"/>
    </row>
    <row r="871">
      <c r="G871" s="187"/>
    </row>
    <row r="872">
      <c r="G872" s="187"/>
    </row>
    <row r="873">
      <c r="G873" s="187"/>
    </row>
    <row r="874">
      <c r="G874" s="187"/>
    </row>
    <row r="875">
      <c r="G875" s="187"/>
    </row>
    <row r="876">
      <c r="G876" s="187"/>
    </row>
    <row r="877">
      <c r="G877" s="187"/>
    </row>
    <row r="878">
      <c r="G878" s="187"/>
    </row>
    <row r="879">
      <c r="G879" s="187"/>
    </row>
    <row r="880">
      <c r="G880" s="187"/>
    </row>
    <row r="881">
      <c r="G881" s="187"/>
    </row>
    <row r="882">
      <c r="G882" s="187"/>
    </row>
    <row r="883">
      <c r="G883" s="187"/>
    </row>
    <row r="884">
      <c r="G884" s="187"/>
    </row>
    <row r="885">
      <c r="G885" s="187"/>
    </row>
    <row r="886">
      <c r="G886" s="187"/>
    </row>
    <row r="887">
      <c r="G887" s="187"/>
    </row>
    <row r="888">
      <c r="G888" s="187"/>
    </row>
    <row r="889">
      <c r="G889" s="187"/>
    </row>
    <row r="890">
      <c r="G890" s="187"/>
    </row>
    <row r="891">
      <c r="G891" s="187"/>
    </row>
    <row r="892">
      <c r="G892" s="187"/>
    </row>
    <row r="893">
      <c r="G893" s="187"/>
    </row>
    <row r="894">
      <c r="G894" s="187"/>
    </row>
    <row r="895">
      <c r="G895" s="187"/>
    </row>
    <row r="896">
      <c r="G896" s="187"/>
    </row>
    <row r="897">
      <c r="G897" s="187"/>
    </row>
    <row r="898">
      <c r="G898" s="187"/>
    </row>
    <row r="899">
      <c r="G899" s="187"/>
    </row>
    <row r="900">
      <c r="G900" s="187"/>
    </row>
    <row r="901">
      <c r="G901" s="187"/>
    </row>
    <row r="902">
      <c r="G902" s="187"/>
    </row>
    <row r="903">
      <c r="G903" s="187"/>
    </row>
    <row r="904">
      <c r="G904" s="187"/>
    </row>
    <row r="905">
      <c r="G905" s="187"/>
    </row>
    <row r="906">
      <c r="G906" s="187"/>
    </row>
    <row r="907">
      <c r="G907" s="187"/>
    </row>
    <row r="908">
      <c r="G908" s="187"/>
    </row>
    <row r="909">
      <c r="G909" s="187"/>
    </row>
    <row r="910">
      <c r="G910" s="187"/>
    </row>
    <row r="911">
      <c r="G911" s="187"/>
    </row>
    <row r="912">
      <c r="G912" s="187"/>
    </row>
    <row r="913">
      <c r="G913" s="187"/>
    </row>
    <row r="914">
      <c r="G914" s="187"/>
    </row>
    <row r="915">
      <c r="G915" s="187"/>
    </row>
    <row r="916">
      <c r="G916" s="187"/>
    </row>
    <row r="917">
      <c r="G917" s="187"/>
    </row>
    <row r="918">
      <c r="G918" s="187"/>
    </row>
    <row r="919">
      <c r="G919" s="187"/>
    </row>
    <row r="920">
      <c r="G920" s="187"/>
    </row>
    <row r="921">
      <c r="G921" s="187"/>
    </row>
    <row r="922">
      <c r="G922" s="187"/>
    </row>
    <row r="923">
      <c r="G923" s="187"/>
    </row>
    <row r="924">
      <c r="G924" s="187"/>
    </row>
    <row r="925">
      <c r="G925" s="187"/>
    </row>
    <row r="926">
      <c r="G926" s="187"/>
    </row>
    <row r="927">
      <c r="G927" s="187"/>
    </row>
    <row r="928">
      <c r="G928" s="187"/>
    </row>
    <row r="929">
      <c r="G929" s="187"/>
    </row>
    <row r="930">
      <c r="G930" s="187"/>
    </row>
    <row r="931">
      <c r="G931" s="187"/>
    </row>
    <row r="932">
      <c r="G932" s="187"/>
    </row>
    <row r="933">
      <c r="G933" s="187"/>
    </row>
    <row r="934">
      <c r="G934" s="187"/>
    </row>
    <row r="935">
      <c r="G935" s="187"/>
    </row>
    <row r="936">
      <c r="G936" s="187"/>
    </row>
    <row r="937">
      <c r="G937" s="187"/>
    </row>
    <row r="938">
      <c r="G938" s="187"/>
    </row>
    <row r="939">
      <c r="G939" s="187"/>
    </row>
    <row r="940">
      <c r="G940" s="187"/>
    </row>
    <row r="941">
      <c r="G941" s="187"/>
    </row>
    <row r="942">
      <c r="G942" s="187"/>
    </row>
    <row r="943">
      <c r="G943" s="187"/>
    </row>
    <row r="944">
      <c r="G944" s="187"/>
    </row>
    <row r="945">
      <c r="G945" s="187"/>
    </row>
    <row r="946">
      <c r="G946" s="187"/>
    </row>
    <row r="947">
      <c r="G947" s="187"/>
    </row>
    <row r="948">
      <c r="G948" s="187"/>
    </row>
    <row r="949">
      <c r="G949" s="187"/>
    </row>
    <row r="950">
      <c r="G950" s="187"/>
    </row>
    <row r="951">
      <c r="G951" s="187"/>
    </row>
    <row r="952">
      <c r="G952" s="187"/>
    </row>
    <row r="953">
      <c r="G953" s="187"/>
    </row>
    <row r="954">
      <c r="G954" s="187"/>
    </row>
    <row r="955">
      <c r="G955" s="187"/>
    </row>
    <row r="956">
      <c r="G956" s="187"/>
    </row>
    <row r="957">
      <c r="G957" s="187"/>
    </row>
    <row r="958">
      <c r="G958" s="187"/>
    </row>
    <row r="959">
      <c r="G959" s="187"/>
    </row>
    <row r="960">
      <c r="G960" s="187"/>
    </row>
    <row r="961">
      <c r="G961" s="187"/>
    </row>
    <row r="962">
      <c r="G962" s="187"/>
    </row>
    <row r="963">
      <c r="G963" s="187"/>
    </row>
    <row r="964">
      <c r="G964" s="187"/>
    </row>
    <row r="965">
      <c r="G965" s="187"/>
    </row>
    <row r="966">
      <c r="G966" s="187"/>
    </row>
    <row r="967">
      <c r="G967" s="187"/>
    </row>
    <row r="968">
      <c r="G968" s="187"/>
    </row>
    <row r="969">
      <c r="G969" s="187"/>
    </row>
    <row r="970">
      <c r="G970" s="187"/>
    </row>
    <row r="971">
      <c r="G971" s="187"/>
    </row>
    <row r="972">
      <c r="G972" s="187"/>
    </row>
    <row r="973">
      <c r="G973" s="187"/>
    </row>
    <row r="974">
      <c r="G974" s="187"/>
    </row>
    <row r="975">
      <c r="G975" s="187"/>
    </row>
    <row r="976">
      <c r="G976" s="187"/>
    </row>
    <row r="977">
      <c r="G977" s="187"/>
    </row>
    <row r="978">
      <c r="G978" s="187"/>
    </row>
    <row r="979">
      <c r="G979" s="187"/>
    </row>
    <row r="980">
      <c r="G980" s="187"/>
    </row>
    <row r="981">
      <c r="G981" s="187"/>
    </row>
    <row r="982">
      <c r="G982" s="187"/>
    </row>
    <row r="983">
      <c r="G983" s="187"/>
    </row>
    <row r="984">
      <c r="G984" s="187"/>
    </row>
    <row r="985">
      <c r="G985" s="187"/>
    </row>
    <row r="986">
      <c r="G986" s="187"/>
    </row>
    <row r="987">
      <c r="G987" s="187"/>
    </row>
    <row r="988">
      <c r="G988" s="187"/>
    </row>
    <row r="989">
      <c r="G989" s="187"/>
    </row>
    <row r="990">
      <c r="G990" s="187"/>
    </row>
    <row r="991">
      <c r="G991" s="187"/>
    </row>
    <row r="992">
      <c r="G992" s="187"/>
    </row>
    <row r="993">
      <c r="G993" s="187"/>
    </row>
    <row r="994">
      <c r="G994" s="187"/>
    </row>
    <row r="995">
      <c r="G995" s="187"/>
    </row>
    <row r="996">
      <c r="G996" s="187"/>
    </row>
    <row r="997">
      <c r="G997" s="187"/>
    </row>
    <row r="998">
      <c r="G998" s="187"/>
    </row>
    <row r="999">
      <c r="G999" s="187"/>
    </row>
    <row r="1000">
      <c r="G1000" s="187"/>
    </row>
    <row r="1001">
      <c r="G1001" s="187"/>
    </row>
    <row r="1002">
      <c r="G1002" s="187"/>
    </row>
    <row r="1003">
      <c r="G1003" s="187"/>
    </row>
    <row r="1004">
      <c r="G1004" s="187"/>
    </row>
    <row r="1005">
      <c r="G1005" s="187"/>
    </row>
    <row r="1006">
      <c r="G1006" s="187"/>
    </row>
    <row r="1007">
      <c r="G1007" s="187"/>
    </row>
    <row r="1008">
      <c r="G1008" s="187"/>
    </row>
    <row r="1009">
      <c r="G1009" s="187"/>
    </row>
    <row r="1010">
      <c r="G1010" s="187"/>
    </row>
    <row r="1011">
      <c r="G1011" s="187"/>
    </row>
    <row r="1012">
      <c r="G1012" s="187"/>
    </row>
    <row r="1013">
      <c r="G1013" s="187"/>
    </row>
  </sheetData>
  <conditionalFormatting sqref="F2:F15">
    <cfRule type="containsText" dxfId="0" priority="1" operator="containsText" text="Closed">
      <formula>NOT(ISERROR(SEARCH(("Closed"),(F2))))</formula>
    </cfRule>
  </conditionalFormatting>
  <conditionalFormatting sqref="F2:F15">
    <cfRule type="containsText" dxfId="3" priority="2" operator="containsText" text="Monitor">
      <formula>NOT(ISERROR(SEARCH(("Monitor"),(F2))))</formula>
    </cfRule>
  </conditionalFormatting>
  <conditionalFormatting sqref="F2:F15">
    <cfRule type="containsText" dxfId="4" priority="3" operator="containsText" text="Open">
      <formula>NOT(ISERROR(SEARCH(("Open"),(F2))))</formula>
    </cfRule>
  </conditionalFormatting>
  <dataValidations>
    <dataValidation type="list" allowBlank="1" sqref="B2:B15">
      <formula1>Option!$C$2:$C$16</formula1>
    </dataValidation>
    <dataValidation type="list" allowBlank="1" sqref="I2:J15">
      <formula1>Option!$K$2:$K$17</formula1>
    </dataValidation>
    <dataValidation type="list" allowBlank="1" sqref="C2:C15">
      <formula1>Option!$E$2:$E$13</formula1>
    </dataValidation>
    <dataValidation type="list" allowBlank="1" sqref="D2:D15">
      <formula1>Option!$D$2:$D$15</formula1>
    </dataValidation>
    <dataValidation type="list" allowBlank="1" sqref="F2:F15">
      <formula1>Option!$F$2:$F$5</formula1>
    </dataValidation>
    <dataValidation type="list" allowBlank="1" sqref="L2:L15">
      <formula1>"1.SCH,2.PCB,3.BOM,4.Parameter,5.SW/ME/RF/ANT/Component/MFG/Vendor,6.No Change"</formula1>
    </dataValidation>
    <dataValidation type="list" allowBlank="1" sqref="E2:E15">
      <formula1>Option!$G$2:$G$5</formula1>
    </dataValidation>
  </dataValidations>
  <hyperlinks>
    <hyperlink r:id="rId4" location="slide=id.gceb5a100a2_0_1" ref="H2"/>
    <hyperlink r:id="rId5" ref="G3"/>
    <hyperlink r:id="rId6" ref="H3"/>
    <hyperlink r:id="rId7" location="slide=id.gb7d80916c1_0_21" ref="H4"/>
    <hyperlink r:id="rId8" location="slide=id.gb7d80916c1_0_21" ref="H5"/>
    <hyperlink r:id="rId9" location="slide=id.gb0b87e0c75_0_1" ref="H8"/>
    <hyperlink r:id="rId10" location="slide=id.gb3f70d46b5_2_0" ref="H9"/>
    <hyperlink r:id="rId11" ref="H10"/>
    <hyperlink r:id="rId12" ref="H12"/>
    <hyperlink r:id="rId13" location="slide=id.g817f647ff0_0_38" ref="H14"/>
  </hyperlinks>
  <drawing r:id="rId14"/>
  <legacyDrawing r:id="rId15"/>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5.13" defaultRowHeight="15.0"/>
  <cols>
    <col customWidth="1" min="1" max="1" width="10.25"/>
    <col customWidth="1" min="2" max="2" width="10.75"/>
    <col customWidth="1" min="3" max="3" width="11.88"/>
    <col customWidth="1" min="4" max="4" width="12.0"/>
    <col customWidth="1" min="5" max="5" width="12.25"/>
    <col customWidth="1" min="6" max="6" width="11.25"/>
    <col customWidth="1" min="7" max="7" width="108.38"/>
    <col customWidth="1" min="8" max="8" width="8.38"/>
    <col customWidth="1" min="9" max="9" width="9.88"/>
    <col customWidth="1" min="10" max="10" width="12.13"/>
    <col customWidth="1" min="11" max="11" width="9.63"/>
    <col customWidth="1" min="12" max="12" width="13.13"/>
    <col customWidth="1" hidden="1" min="13" max="13" width="12.88"/>
  </cols>
  <sheetData>
    <row r="1" ht="24.0" customHeight="1">
      <c r="A1" s="1"/>
      <c r="B1" s="1" t="s">
        <v>1</v>
      </c>
      <c r="C1" s="1" t="s">
        <v>2</v>
      </c>
      <c r="D1" s="1" t="s">
        <v>3</v>
      </c>
      <c r="E1" s="1" t="s">
        <v>4</v>
      </c>
      <c r="F1" s="1" t="s">
        <v>5</v>
      </c>
      <c r="G1" s="1" t="s">
        <v>6</v>
      </c>
      <c r="H1" s="1" t="s">
        <v>7</v>
      </c>
      <c r="I1" s="2" t="s">
        <v>8</v>
      </c>
      <c r="J1" s="2" t="s">
        <v>9</v>
      </c>
      <c r="K1" s="1" t="s">
        <v>10</v>
      </c>
      <c r="L1" s="1" t="s">
        <v>11</v>
      </c>
      <c r="M1" s="215" t="s">
        <v>714</v>
      </c>
    </row>
    <row r="2" ht="213.0" hidden="1" customHeight="1">
      <c r="A2" s="216">
        <v>43705.0</v>
      </c>
      <c r="B2" s="130" t="s">
        <v>172</v>
      </c>
      <c r="C2" s="8" t="s">
        <v>49</v>
      </c>
      <c r="D2" s="132" t="s">
        <v>14</v>
      </c>
      <c r="E2" s="132" t="s">
        <v>22</v>
      </c>
      <c r="F2" s="134" t="s">
        <v>16</v>
      </c>
      <c r="G2" s="130" t="s">
        <v>715</v>
      </c>
      <c r="H2" s="146" t="str">
        <f>HYPERLINK("https://docs.google.com/presentation/d/1Yl8lRzrxLFsfUejh6jc_-xDlvR2PtdgG_Oh1gBjY_FM/edit#slide=id.g5ea70c7c0c_0_7","link")</f>
        <v>link</v>
      </c>
      <c r="I2" s="217"/>
      <c r="J2" s="217"/>
      <c r="K2" s="218"/>
      <c r="L2" s="218" t="s">
        <v>71</v>
      </c>
      <c r="M2" s="219"/>
    </row>
    <row r="3" ht="426.0" hidden="1" customHeight="1">
      <c r="A3" s="216">
        <v>43697.0</v>
      </c>
      <c r="B3" s="130" t="s">
        <v>172</v>
      </c>
      <c r="C3" s="8" t="s">
        <v>13</v>
      </c>
      <c r="D3" s="132" t="s">
        <v>14</v>
      </c>
      <c r="E3" s="132" t="s">
        <v>22</v>
      </c>
      <c r="F3" s="134" t="s">
        <v>16</v>
      </c>
      <c r="G3" s="130" t="s">
        <v>716</v>
      </c>
      <c r="H3" s="146" t="str">
        <f>HYPERLINK("https://docs.google.com/presentation/d/1gKj2NMIFZAUMEp8Qq6kXHIw21SuXItHHD5lY36glZOU/edit?usp=sharing","Link")</f>
        <v>Link</v>
      </c>
      <c r="I3" s="217" t="s">
        <v>717</v>
      </c>
      <c r="J3" s="217" t="s">
        <v>66</v>
      </c>
      <c r="K3" s="218"/>
      <c r="L3" s="218" t="s">
        <v>71</v>
      </c>
      <c r="M3" s="219"/>
    </row>
    <row r="4" ht="145.5" hidden="1" customHeight="1">
      <c r="A4" s="216">
        <v>43686.0</v>
      </c>
      <c r="B4" s="130" t="s">
        <v>172</v>
      </c>
      <c r="C4" s="8" t="s">
        <v>49</v>
      </c>
      <c r="D4" s="132" t="s">
        <v>14</v>
      </c>
      <c r="E4" s="132" t="s">
        <v>15</v>
      </c>
      <c r="F4" s="134" t="s">
        <v>16</v>
      </c>
      <c r="G4" s="130" t="s">
        <v>718</v>
      </c>
      <c r="H4" s="146" t="str">
        <f>HYPERLINK("https://docs.google.com/spreadsheets/d/1wlBTYzEl1OtD_GwArnss5iOjVm-b3ZtM6upcZL5h7JQ/edit?ts=5d54cfb4#gid=0","Link")</f>
        <v>Link</v>
      </c>
      <c r="I4" s="217" t="s">
        <v>66</v>
      </c>
      <c r="J4" s="217" t="s">
        <v>115</v>
      </c>
      <c r="K4" s="218"/>
      <c r="L4" s="218" t="s">
        <v>71</v>
      </c>
      <c r="M4" s="219"/>
    </row>
    <row r="5" ht="145.5" hidden="1" customHeight="1">
      <c r="A5" s="216">
        <v>43686.0</v>
      </c>
      <c r="B5" s="130" t="s">
        <v>172</v>
      </c>
      <c r="C5" s="8" t="s">
        <v>49</v>
      </c>
      <c r="D5" s="132" t="s">
        <v>14</v>
      </c>
      <c r="E5" s="132" t="s">
        <v>22</v>
      </c>
      <c r="F5" s="134" t="s">
        <v>16</v>
      </c>
      <c r="G5" s="130" t="s">
        <v>719</v>
      </c>
      <c r="H5" s="146" t="str">
        <f>HYPERLINK("https://docs.google.com/presentation/d/12iQN4zeg3DDYmV8UZqbjYiPysd5jL4RSnprH0FK4vG8/edit#slide=id.p2","link")</f>
        <v>link</v>
      </c>
      <c r="I5" s="217" t="s">
        <v>66</v>
      </c>
      <c r="J5" s="217" t="s">
        <v>720</v>
      </c>
      <c r="K5" s="218"/>
      <c r="L5" s="218" t="s">
        <v>71</v>
      </c>
      <c r="M5" s="219"/>
    </row>
    <row r="6" hidden="1">
      <c r="A6" s="216">
        <v>43686.0</v>
      </c>
      <c r="B6" s="130" t="s">
        <v>172</v>
      </c>
      <c r="C6" s="8" t="s">
        <v>20</v>
      </c>
      <c r="D6" s="132" t="s">
        <v>14</v>
      </c>
      <c r="E6" s="132" t="s">
        <v>22</v>
      </c>
      <c r="F6" s="134" t="s">
        <v>64</v>
      </c>
      <c r="G6" s="130" t="s">
        <v>721</v>
      </c>
      <c r="H6" s="220"/>
      <c r="I6" s="217" t="s">
        <v>67</v>
      </c>
      <c r="J6" s="217"/>
      <c r="K6" s="55"/>
      <c r="L6" s="218" t="s">
        <v>68</v>
      </c>
      <c r="M6" s="219"/>
    </row>
    <row r="7" hidden="1">
      <c r="A7" s="216">
        <v>43686.0</v>
      </c>
      <c r="B7" s="130" t="s">
        <v>172</v>
      </c>
      <c r="C7" s="8" t="s">
        <v>72</v>
      </c>
      <c r="D7" s="132" t="s">
        <v>14</v>
      </c>
      <c r="E7" s="132" t="s">
        <v>22</v>
      </c>
      <c r="F7" s="134" t="s">
        <v>16</v>
      </c>
      <c r="G7" s="130" t="s">
        <v>722</v>
      </c>
      <c r="H7" s="220" t="str">
        <f>HYPERLINK("https://docs.google.com/presentation/d/1FYKDCw6942tPXm_em9po0WZ3HsWLaL8NyWWClYsm7QM/edit#slide=id.p2","Link")</f>
        <v>Link</v>
      </c>
      <c r="I7" s="217" t="s">
        <v>74</v>
      </c>
      <c r="J7" s="217"/>
      <c r="K7" s="55"/>
      <c r="L7" s="218" t="s">
        <v>68</v>
      </c>
      <c r="M7" s="219"/>
    </row>
    <row r="8" hidden="1">
      <c r="A8" s="216">
        <v>43686.0</v>
      </c>
      <c r="B8" s="130" t="s">
        <v>172</v>
      </c>
      <c r="C8" s="8" t="s">
        <v>723</v>
      </c>
      <c r="D8" s="132" t="s">
        <v>14</v>
      </c>
      <c r="E8" s="132" t="s">
        <v>22</v>
      </c>
      <c r="F8" s="134" t="s">
        <v>16</v>
      </c>
      <c r="G8" s="130" t="s">
        <v>724</v>
      </c>
      <c r="H8" s="221" t="str">
        <f>HYPERLINK("https://docs.google.com/presentation/d/1Ns5H5fSX7Te4M0KrDvxBofBg0S9xraaHsolEy8tzToI/edit#slide=id.p2","Link")</f>
        <v>Link</v>
      </c>
      <c r="I8" s="217" t="s">
        <v>346</v>
      </c>
      <c r="J8" s="217"/>
      <c r="K8" s="55"/>
      <c r="L8" s="218" t="s">
        <v>68</v>
      </c>
      <c r="M8" s="219"/>
    </row>
    <row r="9" hidden="1">
      <c r="A9" s="216">
        <v>43686.0</v>
      </c>
      <c r="B9" s="130" t="s">
        <v>172</v>
      </c>
      <c r="C9" s="8" t="s">
        <v>13</v>
      </c>
      <c r="D9" s="132" t="s">
        <v>14</v>
      </c>
      <c r="E9" s="132" t="s">
        <v>22</v>
      </c>
      <c r="F9" s="134" t="s">
        <v>16</v>
      </c>
      <c r="G9" s="130" t="s">
        <v>725</v>
      </c>
      <c r="H9" s="221" t="str">
        <f>HYPERLINK("https://docs.google.com/presentation/d/1BIIdcbtr5I52O6uAe-TIEKKG3Sl8DHaPNgYkrbsA1ps/edit#slide=id.p1","Link")</f>
        <v>Link</v>
      </c>
      <c r="I9" s="217" t="s">
        <v>79</v>
      </c>
      <c r="J9" s="217"/>
      <c r="K9" s="55"/>
      <c r="L9" s="218" t="s">
        <v>68</v>
      </c>
      <c r="M9" s="219"/>
    </row>
    <row r="10" hidden="1">
      <c r="A10" s="216">
        <v>43686.0</v>
      </c>
      <c r="B10" s="130" t="s">
        <v>172</v>
      </c>
      <c r="C10" s="8" t="s">
        <v>30</v>
      </c>
      <c r="D10" s="132" t="s">
        <v>14</v>
      </c>
      <c r="E10" s="132" t="s">
        <v>22</v>
      </c>
      <c r="F10" s="134" t="s">
        <v>16</v>
      </c>
      <c r="G10" s="130" t="s">
        <v>726</v>
      </c>
      <c r="H10" s="221" t="str">
        <f>HYPERLINK("https://docs.google.com/presentation/d/1eUeyrMq51kjMC_hntnO8H3vHPnnMpSBwz3PnoOycMH4/edit#slide=id.p1","Link")</f>
        <v>Link</v>
      </c>
      <c r="I10" s="217" t="s">
        <v>127</v>
      </c>
      <c r="J10" s="217"/>
      <c r="K10" s="55"/>
      <c r="L10" s="218" t="s">
        <v>71</v>
      </c>
      <c r="M10" s="219"/>
    </row>
    <row r="11" ht="103.5" hidden="1" customHeight="1">
      <c r="A11" s="216">
        <v>43667.0</v>
      </c>
      <c r="B11" s="130" t="s">
        <v>172</v>
      </c>
      <c r="C11" s="8" t="s">
        <v>49</v>
      </c>
      <c r="D11" s="132" t="s">
        <v>14</v>
      </c>
      <c r="E11" s="132" t="s">
        <v>22</v>
      </c>
      <c r="F11" s="134" t="s">
        <v>16</v>
      </c>
      <c r="G11" s="130" t="s">
        <v>727</v>
      </c>
      <c r="H11" s="146" t="str">
        <f>HYPERLINK("https://idart.mot.com/browse/IKSWP-99509","Link")</f>
        <v>Link</v>
      </c>
      <c r="I11" s="217" t="s">
        <v>66</v>
      </c>
      <c r="J11" s="217" t="s">
        <v>720</v>
      </c>
      <c r="K11" s="218"/>
      <c r="L11" s="218" t="s">
        <v>71</v>
      </c>
      <c r="M11" s="219"/>
    </row>
    <row r="12" ht="159.0" hidden="1" customHeight="1">
      <c r="A12" s="216">
        <v>43665.0</v>
      </c>
      <c r="B12" s="130" t="s">
        <v>172</v>
      </c>
      <c r="C12" s="8" t="s">
        <v>30</v>
      </c>
      <c r="D12" s="132" t="s">
        <v>27</v>
      </c>
      <c r="E12" s="132" t="s">
        <v>22</v>
      </c>
      <c r="F12" s="134" t="s">
        <v>16</v>
      </c>
      <c r="G12" s="130" t="s">
        <v>728</v>
      </c>
      <c r="H12" s="146" t="str">
        <f>HYPERLINK("https://docs.google.com/presentation/d/1x5tiol9UsFHUSVOBTLrrLxbpDQ1UJwCGdfB6bRNgca0/edit#slide=id.g5a316a1a78_0_179","link")</f>
        <v>link</v>
      </c>
      <c r="I12" s="217" t="s">
        <v>127</v>
      </c>
      <c r="J12" s="217"/>
      <c r="K12" s="222"/>
      <c r="L12" s="218" t="s">
        <v>71</v>
      </c>
      <c r="M12" s="219"/>
    </row>
    <row r="13" hidden="1">
      <c r="A13" s="216">
        <v>43654.0</v>
      </c>
      <c r="B13" s="130" t="s">
        <v>172</v>
      </c>
      <c r="C13" s="8" t="s">
        <v>83</v>
      </c>
      <c r="D13" s="132" t="s">
        <v>27</v>
      </c>
      <c r="E13" s="132" t="s">
        <v>22</v>
      </c>
      <c r="F13" s="134" t="s">
        <v>16</v>
      </c>
      <c r="G13" s="130" t="s">
        <v>729</v>
      </c>
      <c r="H13" s="144"/>
      <c r="I13" s="217"/>
      <c r="J13" s="217"/>
      <c r="K13" s="222"/>
      <c r="L13" s="218" t="s">
        <v>71</v>
      </c>
      <c r="M13" s="219"/>
    </row>
    <row r="14" hidden="1">
      <c r="A14" s="216">
        <v>43606.0</v>
      </c>
      <c r="B14" s="130" t="s">
        <v>172</v>
      </c>
      <c r="C14" s="8" t="s">
        <v>76</v>
      </c>
      <c r="D14" s="132" t="s">
        <v>27</v>
      </c>
      <c r="E14" s="132" t="s">
        <v>15</v>
      </c>
      <c r="F14" s="134" t="s">
        <v>64</v>
      </c>
      <c r="G14" s="130" t="s">
        <v>730</v>
      </c>
      <c r="H14" s="144"/>
      <c r="I14" s="217"/>
      <c r="J14" s="217"/>
      <c r="K14" s="222" t="str">
        <f>HYPERLINK("https://drive.google.com/drive/folders/1go28XWPzMGLtuZLmGbLl2AQwKFjskeZ7","视频link")</f>
        <v>视频link</v>
      </c>
      <c r="L14" s="218" t="s">
        <v>71</v>
      </c>
      <c r="M14" s="219"/>
    </row>
    <row r="15" ht="249.0" hidden="1" customHeight="1">
      <c r="A15" s="216">
        <v>43592.0</v>
      </c>
      <c r="B15" s="130" t="s">
        <v>12</v>
      </c>
      <c r="C15" s="8" t="s">
        <v>20</v>
      </c>
      <c r="E15" s="132" t="s">
        <v>15</v>
      </c>
      <c r="F15" s="134" t="s">
        <v>64</v>
      </c>
      <c r="G15" s="130" t="s">
        <v>731</v>
      </c>
      <c r="H15" s="146" t="str">
        <f>HYPERLINK("https://docs.google.com/presentation/d/1lLxWRrxQwy_6zDENs5pvora2zRDBI6431XM2A7q8LHE/edit#slide=id.g2bc80d657e_0_97","link")</f>
        <v>link</v>
      </c>
      <c r="I15" s="217" t="s">
        <v>67</v>
      </c>
      <c r="J15" s="217" t="s">
        <v>699</v>
      </c>
      <c r="K15" s="222"/>
      <c r="L15" s="218" t="s">
        <v>71</v>
      </c>
      <c r="M15" s="219"/>
    </row>
    <row r="16" hidden="1">
      <c r="A16" s="216">
        <v>43581.0</v>
      </c>
      <c r="B16" s="130" t="s">
        <v>12</v>
      </c>
      <c r="C16" s="8" t="s">
        <v>20</v>
      </c>
      <c r="D16" s="132" t="s">
        <v>14</v>
      </c>
      <c r="E16" s="132" t="s">
        <v>22</v>
      </c>
      <c r="F16" s="134" t="s">
        <v>64</v>
      </c>
      <c r="G16" s="130" t="s">
        <v>732</v>
      </c>
      <c r="H16" s="144"/>
      <c r="I16" s="217" t="s">
        <v>67</v>
      </c>
      <c r="J16" s="217"/>
      <c r="K16" s="222"/>
      <c r="L16" s="218" t="s">
        <v>71</v>
      </c>
      <c r="M16" s="219"/>
    </row>
    <row r="17" ht="311.25" hidden="1" customHeight="1">
      <c r="A17" s="216">
        <v>43556.0</v>
      </c>
      <c r="B17" s="130" t="s">
        <v>12</v>
      </c>
      <c r="C17" s="8" t="s">
        <v>20</v>
      </c>
      <c r="D17" s="132" t="s">
        <v>27</v>
      </c>
      <c r="E17" s="132" t="s">
        <v>22</v>
      </c>
      <c r="F17" s="134" t="s">
        <v>16</v>
      </c>
      <c r="G17" s="130" t="s">
        <v>733</v>
      </c>
      <c r="H17" s="144"/>
      <c r="I17" s="217" t="s">
        <v>67</v>
      </c>
      <c r="J17" s="217" t="s">
        <v>720</v>
      </c>
      <c r="K17" s="222"/>
      <c r="L17" s="218" t="s">
        <v>71</v>
      </c>
      <c r="M17" s="219"/>
    </row>
    <row r="18" ht="173.25" hidden="1" customHeight="1">
      <c r="A18" s="216">
        <v>43556.0</v>
      </c>
      <c r="B18" s="130" t="s">
        <v>25</v>
      </c>
      <c r="C18" s="8" t="s">
        <v>723</v>
      </c>
      <c r="D18" s="132" t="s">
        <v>44</v>
      </c>
      <c r="E18" s="132" t="s">
        <v>22</v>
      </c>
      <c r="F18" s="134" t="s">
        <v>16</v>
      </c>
      <c r="G18" s="130" t="s">
        <v>734</v>
      </c>
      <c r="H18" s="146" t="str">
        <f>HYPERLINK("https://docs.google.com/presentation/d/1yZIuoSHIL4C2raDL2AKQQMnlNxtjFKlarinD46OnkRo/edit#slide=id.g4e7b53c64f_2_93","link")</f>
        <v>link</v>
      </c>
      <c r="I18" s="217" t="s">
        <v>346</v>
      </c>
      <c r="J18" s="217" t="s">
        <v>66</v>
      </c>
      <c r="K18" s="222"/>
      <c r="L18" s="218" t="s">
        <v>162</v>
      </c>
      <c r="M18" s="219"/>
    </row>
    <row r="19" ht="57.75" hidden="1" customHeight="1">
      <c r="A19" s="216">
        <v>43549.0</v>
      </c>
      <c r="B19" s="130" t="s">
        <v>19</v>
      </c>
      <c r="C19" s="8" t="s">
        <v>49</v>
      </c>
      <c r="D19" s="132" t="s">
        <v>44</v>
      </c>
      <c r="E19" s="132" t="s">
        <v>22</v>
      </c>
      <c r="F19" s="134" t="s">
        <v>16</v>
      </c>
      <c r="G19" s="130" t="s">
        <v>735</v>
      </c>
      <c r="H19" s="144"/>
      <c r="I19" s="217" t="s">
        <v>115</v>
      </c>
      <c r="J19" s="217"/>
      <c r="K19" s="222"/>
      <c r="L19" s="218" t="s">
        <v>68</v>
      </c>
      <c r="M19" s="219"/>
    </row>
    <row r="20" ht="57.75" hidden="1" customHeight="1">
      <c r="A20" s="216">
        <v>43549.0</v>
      </c>
      <c r="B20" s="130" t="s">
        <v>19</v>
      </c>
      <c r="C20" s="8" t="s">
        <v>49</v>
      </c>
      <c r="D20" s="132" t="s">
        <v>44</v>
      </c>
      <c r="E20" s="132" t="s">
        <v>22</v>
      </c>
      <c r="F20" s="134" t="s">
        <v>16</v>
      </c>
      <c r="G20" s="130" t="s">
        <v>736</v>
      </c>
      <c r="H20" s="144"/>
      <c r="I20" s="217" t="s">
        <v>115</v>
      </c>
      <c r="J20" s="217"/>
      <c r="K20" s="222"/>
      <c r="L20" s="218" t="s">
        <v>68</v>
      </c>
      <c r="M20" s="219"/>
    </row>
    <row r="21" ht="57.75" hidden="1" customHeight="1">
      <c r="A21" s="216">
        <v>43549.0</v>
      </c>
      <c r="B21" s="130" t="s">
        <v>19</v>
      </c>
      <c r="C21" s="8" t="s">
        <v>26</v>
      </c>
      <c r="D21" s="132" t="s">
        <v>14</v>
      </c>
      <c r="E21" s="132" t="s">
        <v>22</v>
      </c>
      <c r="F21" s="134" t="s">
        <v>16</v>
      </c>
      <c r="G21" s="130" t="s">
        <v>737</v>
      </c>
      <c r="H21" s="144"/>
      <c r="I21" s="217" t="s">
        <v>66</v>
      </c>
      <c r="J21" s="217"/>
      <c r="K21" s="222"/>
      <c r="L21" s="218" t="s">
        <v>68</v>
      </c>
      <c r="M21" s="219"/>
    </row>
    <row r="22" hidden="1">
      <c r="A22" s="216">
        <v>43528.0</v>
      </c>
      <c r="B22" s="130" t="s">
        <v>25</v>
      </c>
      <c r="C22" s="8" t="s">
        <v>72</v>
      </c>
      <c r="D22" s="132" t="s">
        <v>58</v>
      </c>
      <c r="E22" s="132" t="s">
        <v>15</v>
      </c>
      <c r="F22" s="134" t="s">
        <v>16</v>
      </c>
      <c r="G22" s="130" t="s">
        <v>738</v>
      </c>
      <c r="H22" s="146" t="str">
        <f>HYPERLINK("https://docs.google.com/presentation/d/1kvQEIjWVp7XakhKGN2j2xV9NamTAqiyrGB9z4WABlEM/edit#slide=id.g529f473495_0_0","link")</f>
        <v>link</v>
      </c>
      <c r="I22" s="217" t="s">
        <v>74</v>
      </c>
      <c r="J22" s="217" t="s">
        <v>66</v>
      </c>
      <c r="K22" s="222" t="str">
        <f>HYPERLINK("https://docs.google.com/spreadsheets/d/1onOQxpRzkE8L1bvsEQRtqDy5C-zEMHRvRWKL8-qwSts/edit#gid=0","here")</f>
        <v>here</v>
      </c>
      <c r="L22" s="218" t="s">
        <v>71</v>
      </c>
      <c r="M22" s="219"/>
    </row>
    <row r="23" hidden="1">
      <c r="A23" s="216">
        <v>43488.0</v>
      </c>
      <c r="B23" s="130" t="s">
        <v>19</v>
      </c>
      <c r="C23" s="8" t="s">
        <v>26</v>
      </c>
      <c r="D23" s="132" t="s">
        <v>21</v>
      </c>
      <c r="E23" s="132" t="s">
        <v>22</v>
      </c>
      <c r="F23" s="142" t="s">
        <v>16</v>
      </c>
      <c r="G23" s="130" t="s">
        <v>739</v>
      </c>
      <c r="H23" s="223"/>
      <c r="I23" s="224" t="s">
        <v>463</v>
      </c>
      <c r="J23" s="224"/>
      <c r="K23" s="13"/>
      <c r="L23" s="218" t="s">
        <v>71</v>
      </c>
      <c r="M23" s="225"/>
    </row>
    <row r="24" ht="95.25" hidden="1" customHeight="1">
      <c r="A24" s="216">
        <v>43528.0</v>
      </c>
      <c r="B24" s="130" t="s">
        <v>19</v>
      </c>
      <c r="C24" s="8" t="s">
        <v>57</v>
      </c>
      <c r="D24" s="132" t="s">
        <v>58</v>
      </c>
      <c r="E24" s="132" t="s">
        <v>22</v>
      </c>
      <c r="F24" s="134" t="s">
        <v>16</v>
      </c>
      <c r="G24" s="130" t="s">
        <v>740</v>
      </c>
      <c r="H24" s="226"/>
      <c r="I24" s="217" t="s">
        <v>717</v>
      </c>
      <c r="J24" s="217"/>
      <c r="K24" s="227"/>
      <c r="L24" s="218" t="s">
        <v>68</v>
      </c>
      <c r="M24" s="219"/>
    </row>
    <row r="25" ht="153.0" hidden="1" customHeight="1">
      <c r="A25" s="216">
        <v>43532.0</v>
      </c>
      <c r="B25" s="130" t="s">
        <v>25</v>
      </c>
      <c r="C25" s="8" t="s">
        <v>57</v>
      </c>
      <c r="D25" s="132" t="s">
        <v>58</v>
      </c>
      <c r="E25" s="132" t="s">
        <v>22</v>
      </c>
      <c r="F25" s="134" t="s">
        <v>16</v>
      </c>
      <c r="G25" s="130" t="s">
        <v>741</v>
      </c>
      <c r="H25" s="226"/>
      <c r="I25" s="217" t="s">
        <v>717</v>
      </c>
      <c r="J25" s="217"/>
      <c r="K25" s="227"/>
      <c r="L25" s="218" t="s">
        <v>68</v>
      </c>
      <c r="M25" s="219"/>
    </row>
    <row r="26" ht="138.0" hidden="1" customHeight="1">
      <c r="A26" s="216">
        <v>43528.0</v>
      </c>
      <c r="B26" s="130" t="s">
        <v>19</v>
      </c>
      <c r="C26" s="8" t="s">
        <v>57</v>
      </c>
      <c r="D26" s="132" t="s">
        <v>58</v>
      </c>
      <c r="E26" s="132" t="s">
        <v>22</v>
      </c>
      <c r="F26" s="134" t="s">
        <v>16</v>
      </c>
      <c r="G26" s="130" t="s">
        <v>742</v>
      </c>
      <c r="H26" s="226"/>
      <c r="I26" s="217" t="s">
        <v>717</v>
      </c>
      <c r="J26" s="217"/>
      <c r="K26" s="227"/>
      <c r="L26" s="218" t="s">
        <v>71</v>
      </c>
      <c r="M26" s="219"/>
    </row>
    <row r="27" ht="105.0" hidden="1" customHeight="1">
      <c r="A27" s="216">
        <v>43531.0</v>
      </c>
      <c r="B27" s="130" t="s">
        <v>25</v>
      </c>
      <c r="C27" s="8" t="s">
        <v>57</v>
      </c>
      <c r="D27" s="132" t="s">
        <v>58</v>
      </c>
      <c r="E27" s="132" t="s">
        <v>22</v>
      </c>
      <c r="F27" s="134" t="s">
        <v>16</v>
      </c>
      <c r="G27" s="130" t="s">
        <v>743</v>
      </c>
      <c r="H27" s="226"/>
      <c r="I27" s="217" t="s">
        <v>717</v>
      </c>
      <c r="J27" s="217"/>
      <c r="K27" s="227"/>
      <c r="L27" s="218" t="s">
        <v>68</v>
      </c>
      <c r="M27" s="219"/>
    </row>
    <row r="28" ht="162.75" hidden="1" customHeight="1">
      <c r="A28" s="216">
        <v>43521.0</v>
      </c>
      <c r="B28" s="130" t="s">
        <v>19</v>
      </c>
      <c r="C28" s="8" t="s">
        <v>49</v>
      </c>
      <c r="D28" s="132" t="s">
        <v>14</v>
      </c>
      <c r="E28" s="132" t="s">
        <v>64</v>
      </c>
      <c r="F28" s="134" t="s">
        <v>16</v>
      </c>
      <c r="G28" s="130" t="s">
        <v>744</v>
      </c>
      <c r="H28" s="226" t="str">
        <f>HYPERLINK("https://docs.google.com/presentation/d/1gH8sF-Hx-h7GMj5wLdn7kK_-l_8Y57f6_qtKVE0b3Bc/edit#slide=id.g4ff4aebd91_0_12","link")</f>
        <v>link</v>
      </c>
      <c r="I28" s="217" t="s">
        <v>66</v>
      </c>
      <c r="J28" s="217" t="s">
        <v>115</v>
      </c>
      <c r="K28" s="227"/>
      <c r="L28" s="218" t="s">
        <v>162</v>
      </c>
      <c r="M28" s="219"/>
    </row>
    <row r="29" ht="111.0" hidden="1" customHeight="1">
      <c r="A29" s="228">
        <v>43520.0</v>
      </c>
      <c r="B29" s="130" t="s">
        <v>19</v>
      </c>
      <c r="C29" s="8" t="s">
        <v>26</v>
      </c>
      <c r="D29" s="132" t="s">
        <v>58</v>
      </c>
      <c r="E29" s="132" t="s">
        <v>22</v>
      </c>
      <c r="F29" s="134" t="s">
        <v>16</v>
      </c>
      <c r="G29" s="130" t="s">
        <v>745</v>
      </c>
      <c r="H29" s="149"/>
      <c r="I29" s="229"/>
      <c r="J29" s="229"/>
      <c r="K29" s="227"/>
      <c r="L29" s="218" t="s">
        <v>68</v>
      </c>
      <c r="M29" s="219"/>
    </row>
    <row r="30" ht="122.25" hidden="1" customHeight="1">
      <c r="A30" s="216">
        <v>43520.0</v>
      </c>
      <c r="B30" s="130" t="s">
        <v>43</v>
      </c>
      <c r="C30" s="8" t="s">
        <v>57</v>
      </c>
      <c r="D30" s="132" t="s">
        <v>14</v>
      </c>
      <c r="E30" s="132" t="s">
        <v>22</v>
      </c>
      <c r="F30" s="142" t="s">
        <v>16</v>
      </c>
      <c r="G30" s="130" t="s">
        <v>746</v>
      </c>
      <c r="H30" s="158" t="str">
        <f>HYPERLINK("https://docs.google.com/presentation/d/1Wqq2wmZm68zPiGQPHyC6CAmqOupdDcwRawDEOymA3E0/edit#slide=id.g4a591ce03f_0_24","here")</f>
        <v>here</v>
      </c>
      <c r="I30" s="224" t="s">
        <v>717</v>
      </c>
      <c r="J30" s="224" t="s">
        <v>74</v>
      </c>
      <c r="K30" s="10" t="str">
        <f>HYPERLINK("https://docs.google.com/spreadsheets/d/1sF7cxCT8_NCaqftuNMFplCw04x501y5tBeVuUrrDk_M/edit#gid=287207879","here")</f>
        <v>here</v>
      </c>
      <c r="L30" s="218" t="s">
        <v>68</v>
      </c>
      <c r="M30" s="225"/>
    </row>
    <row r="31" ht="111.0" hidden="1" customHeight="1">
      <c r="A31" s="216">
        <v>43488.0</v>
      </c>
      <c r="B31" s="130" t="s">
        <v>43</v>
      </c>
      <c r="C31" s="8" t="s">
        <v>26</v>
      </c>
      <c r="D31" s="132" t="s">
        <v>14</v>
      </c>
      <c r="E31" s="132" t="s">
        <v>22</v>
      </c>
      <c r="F31" s="142" t="s">
        <v>16</v>
      </c>
      <c r="G31" s="130" t="s">
        <v>747</v>
      </c>
      <c r="H31" s="45" t="s">
        <v>748</v>
      </c>
      <c r="I31" s="224" t="s">
        <v>66</v>
      </c>
      <c r="J31" s="224" t="s">
        <v>67</v>
      </c>
      <c r="K31" s="13"/>
      <c r="L31" s="218" t="s">
        <v>167</v>
      </c>
      <c r="M31" s="225"/>
    </row>
    <row r="32" ht="80.25" hidden="1" customHeight="1">
      <c r="A32" s="216">
        <v>43495.0</v>
      </c>
      <c r="B32" s="130" t="s">
        <v>19</v>
      </c>
      <c r="C32" s="8" t="s">
        <v>20</v>
      </c>
      <c r="D32" s="132" t="s">
        <v>44</v>
      </c>
      <c r="E32" s="132" t="s">
        <v>22</v>
      </c>
      <c r="F32" s="142" t="s">
        <v>16</v>
      </c>
      <c r="G32" s="130" t="s">
        <v>749</v>
      </c>
      <c r="H32" s="158" t="str">
        <f>HYPERLINK("https://docs.google.com/spreadsheets/d/1VheA6JTav5-A3szn9MMRgp27nHkm8nksxvuKM71ml5w/edit?usp=drive_web&amp;ouid=103383453319254568207","here")</f>
        <v>here</v>
      </c>
      <c r="I32" s="224" t="s">
        <v>70</v>
      </c>
      <c r="J32" s="224" t="s">
        <v>67</v>
      </c>
      <c r="K32" s="13"/>
      <c r="L32" s="218" t="s">
        <v>68</v>
      </c>
      <c r="M32" s="225"/>
    </row>
    <row r="33" hidden="1">
      <c r="A33" s="216">
        <v>43488.0</v>
      </c>
      <c r="B33" s="130" t="s">
        <v>43</v>
      </c>
      <c r="C33" s="8" t="s">
        <v>26</v>
      </c>
      <c r="D33" s="132" t="s">
        <v>21</v>
      </c>
      <c r="E33" s="132" t="s">
        <v>22</v>
      </c>
      <c r="F33" s="142" t="s">
        <v>16</v>
      </c>
      <c r="G33" s="130" t="s">
        <v>750</v>
      </c>
      <c r="H33" s="230" t="str">
        <f>HYPERLINK("https://docs.google.com/presentation/d/1gZVHTQyRDR0BdEFu73OOhglbcaWt6490_Tm08HTce00/edit#slide=id.g4e7b53c64f_2_93","link")</f>
        <v>link</v>
      </c>
      <c r="I33" s="224" t="s">
        <v>66</v>
      </c>
      <c r="J33" s="224"/>
      <c r="K33" s="13"/>
      <c r="L33" s="218" t="s">
        <v>68</v>
      </c>
      <c r="M33" s="225"/>
    </row>
    <row r="34" ht="67.5" hidden="1" customHeight="1">
      <c r="A34" s="216">
        <v>43488.0</v>
      </c>
      <c r="B34" s="130" t="s">
        <v>19</v>
      </c>
      <c r="C34" s="8" t="s">
        <v>49</v>
      </c>
      <c r="D34" s="132" t="s">
        <v>27</v>
      </c>
      <c r="E34" s="132" t="s">
        <v>22</v>
      </c>
      <c r="F34" s="142" t="s">
        <v>16</v>
      </c>
      <c r="G34" s="130" t="s">
        <v>751</v>
      </c>
      <c r="H34" s="158" t="str">
        <f>HYPERLINK("https://docs.google.com/presentation/d/1ZwtpSmotMNB8w5XYib7wJ6KJCWPOCQknGYUlzBPWNLU/edit#slide=id.g4e7b53c64f_2_51","LINK")</f>
        <v>LINK</v>
      </c>
      <c r="I34" s="224" t="s">
        <v>115</v>
      </c>
      <c r="J34" s="224"/>
      <c r="K34" s="13"/>
      <c r="L34" s="218" t="s">
        <v>71</v>
      </c>
      <c r="M34" s="225"/>
    </row>
    <row r="35">
      <c r="A35" s="216">
        <v>43488.0</v>
      </c>
      <c r="B35" s="130" t="s">
        <v>19</v>
      </c>
      <c r="C35" s="8" t="s">
        <v>723</v>
      </c>
      <c r="D35" s="132" t="s">
        <v>44</v>
      </c>
      <c r="E35" s="132" t="s">
        <v>22</v>
      </c>
      <c r="F35" s="142" t="s">
        <v>16</v>
      </c>
      <c r="G35" s="130" t="s">
        <v>752</v>
      </c>
      <c r="H35" s="230" t="str">
        <f>HYPERLINK("https://docs.google.com/presentation/d/1s__e3dKe-OvW_FRmIeU_64kUtUKXp3dI5pxjIhaxiM4/edit#slide=id.g4d68e4413b_0_17","link")</f>
        <v>link</v>
      </c>
      <c r="I35" s="224" t="s">
        <v>346</v>
      </c>
      <c r="J35" s="224" t="s">
        <v>127</v>
      </c>
      <c r="K35" s="13"/>
      <c r="L35" s="218" t="s">
        <v>144</v>
      </c>
      <c r="M35" s="225"/>
    </row>
    <row r="36" hidden="1">
      <c r="A36" s="216">
        <v>43460.0</v>
      </c>
      <c r="B36" s="130" t="s">
        <v>19</v>
      </c>
      <c r="C36" s="8" t="s">
        <v>57</v>
      </c>
      <c r="D36" s="132" t="s">
        <v>21</v>
      </c>
      <c r="E36" s="132" t="s">
        <v>22</v>
      </c>
      <c r="F36" s="142" t="s">
        <v>16</v>
      </c>
      <c r="G36" s="130" t="s">
        <v>753</v>
      </c>
      <c r="H36" s="230" t="str">
        <f>HYPERLINK("https://docs.google.com/presentation/d/1kX_ZLLIUDKgyhwtHinSzF0tPjGReiHtbS9lK6FyFcDE/edit#slide=id.g2bc80d657e_0_97","link")</f>
        <v>link</v>
      </c>
      <c r="I36" s="224" t="s">
        <v>717</v>
      </c>
      <c r="J36" s="224" t="s">
        <v>66</v>
      </c>
      <c r="K36" s="13"/>
      <c r="L36" s="218" t="s">
        <v>63</v>
      </c>
      <c r="M36" s="225"/>
    </row>
    <row r="37" ht="67.5" hidden="1" customHeight="1">
      <c r="A37" s="216">
        <v>43488.0</v>
      </c>
      <c r="B37" s="130" t="s">
        <v>19</v>
      </c>
      <c r="C37" s="8" t="s">
        <v>36</v>
      </c>
      <c r="D37" s="132" t="s">
        <v>44</v>
      </c>
      <c r="E37" s="132" t="s">
        <v>22</v>
      </c>
      <c r="F37" s="142" t="s">
        <v>16</v>
      </c>
      <c r="G37" s="130" t="s">
        <v>754</v>
      </c>
      <c r="H37" s="223"/>
      <c r="I37" s="224" t="s">
        <v>127</v>
      </c>
      <c r="J37" s="224" t="s">
        <v>67</v>
      </c>
      <c r="K37" s="13" t="s">
        <v>102</v>
      </c>
      <c r="L37" s="218" t="s">
        <v>68</v>
      </c>
      <c r="M37" s="225"/>
    </row>
    <row r="38" ht="131.25" customHeight="1">
      <c r="A38" s="231">
        <v>43395.0</v>
      </c>
      <c r="B38" s="130" t="s">
        <v>56</v>
      </c>
      <c r="C38" s="22" t="s">
        <v>723</v>
      </c>
      <c r="D38" s="23" t="s">
        <v>77</v>
      </c>
      <c r="E38" s="23" t="s">
        <v>15</v>
      </c>
      <c r="F38" s="21" t="s">
        <v>16</v>
      </c>
      <c r="G38" s="130" t="s">
        <v>755</v>
      </c>
      <c r="H38" s="232"/>
      <c r="I38" s="224" t="s">
        <v>346</v>
      </c>
      <c r="J38" s="224" t="s">
        <v>127</v>
      </c>
      <c r="K38" s="13"/>
      <c r="L38" s="218" t="s">
        <v>71</v>
      </c>
      <c r="M38" s="225"/>
    </row>
    <row r="39" ht="291.75" hidden="1" customHeight="1">
      <c r="A39" s="216">
        <v>43460.0</v>
      </c>
      <c r="B39" s="130" t="s">
        <v>43</v>
      </c>
      <c r="C39" s="8" t="s">
        <v>57</v>
      </c>
      <c r="D39" s="132" t="s">
        <v>14</v>
      </c>
      <c r="E39" s="132" t="s">
        <v>15</v>
      </c>
      <c r="F39" s="142" t="s">
        <v>16</v>
      </c>
      <c r="G39" s="130" t="s">
        <v>756</v>
      </c>
      <c r="H39" s="230" t="str">
        <f>HYPERLINK("https://docs.google.com/presentation/d/1EKsL5irUQE1h_TY4hXLMy5Mw-XW40jWppSYOxMZctQg/edit#slide=id.g4d37028895_2_51","link")</f>
        <v>link</v>
      </c>
      <c r="I39" s="224" t="s">
        <v>67</v>
      </c>
      <c r="J39" s="224" t="s">
        <v>74</v>
      </c>
      <c r="K39" s="13"/>
      <c r="L39" s="218" t="s">
        <v>71</v>
      </c>
      <c r="M39" s="225"/>
    </row>
    <row r="40" ht="104.25" hidden="1" customHeight="1">
      <c r="A40" s="231">
        <v>43395.0</v>
      </c>
      <c r="B40" s="130" t="s">
        <v>43</v>
      </c>
      <c r="C40" s="22" t="s">
        <v>723</v>
      </c>
      <c r="D40" s="23" t="s">
        <v>77</v>
      </c>
      <c r="E40" s="23" t="s">
        <v>15</v>
      </c>
      <c r="F40" s="21" t="s">
        <v>16</v>
      </c>
      <c r="G40" s="130" t="s">
        <v>757</v>
      </c>
      <c r="H40" s="10" t="str">
        <f>HYPERLINK("https://docs.google.com/presentation/d/1BF-J7JMK_7-V8mbEKIgSmOygcw85U-uiTbTbdbTDiOA/edit#slide=id.g2bc80d657e_0_97","here")</f>
        <v>here</v>
      </c>
      <c r="I40" s="224" t="s">
        <v>346</v>
      </c>
      <c r="J40" s="224" t="s">
        <v>70</v>
      </c>
      <c r="K40" s="13"/>
      <c r="L40" s="218" t="s">
        <v>63</v>
      </c>
      <c r="M40" s="225"/>
    </row>
    <row r="41" ht="89.25" hidden="1" customHeight="1">
      <c r="A41" s="216">
        <v>43460.0</v>
      </c>
      <c r="B41" s="130" t="s">
        <v>43</v>
      </c>
      <c r="C41" s="8" t="s">
        <v>49</v>
      </c>
      <c r="D41" s="132" t="s">
        <v>14</v>
      </c>
      <c r="E41" s="132" t="s">
        <v>22</v>
      </c>
      <c r="F41" s="142" t="s">
        <v>16</v>
      </c>
      <c r="G41" s="130" t="s">
        <v>758</v>
      </c>
      <c r="H41" s="223"/>
      <c r="I41" s="224" t="s">
        <v>115</v>
      </c>
      <c r="J41" s="224" t="s">
        <v>66</v>
      </c>
      <c r="K41" s="13"/>
      <c r="L41" s="218" t="s">
        <v>167</v>
      </c>
      <c r="M41" s="225"/>
    </row>
    <row r="42" ht="66.0" hidden="1" customHeight="1">
      <c r="A42" s="216">
        <v>43460.0</v>
      </c>
      <c r="B42" s="130" t="s">
        <v>43</v>
      </c>
      <c r="C42" s="8" t="s">
        <v>49</v>
      </c>
      <c r="D42" s="132" t="s">
        <v>14</v>
      </c>
      <c r="E42" s="132" t="s">
        <v>22</v>
      </c>
      <c r="F42" s="142" t="s">
        <v>16</v>
      </c>
      <c r="G42" s="130" t="s">
        <v>759</v>
      </c>
      <c r="H42" s="223"/>
      <c r="I42" s="224" t="s">
        <v>115</v>
      </c>
      <c r="J42" s="224" t="s">
        <v>66</v>
      </c>
      <c r="K42" s="13"/>
      <c r="L42" s="218" t="s">
        <v>162</v>
      </c>
      <c r="M42" s="225"/>
    </row>
    <row r="43" ht="232.5" customHeight="1">
      <c r="A43" s="231">
        <v>43395.0</v>
      </c>
      <c r="B43" s="130" t="s">
        <v>56</v>
      </c>
      <c r="C43" s="22" t="s">
        <v>723</v>
      </c>
      <c r="D43" s="23" t="s">
        <v>77</v>
      </c>
      <c r="E43" s="23" t="s">
        <v>15</v>
      </c>
      <c r="F43" s="21" t="s">
        <v>16</v>
      </c>
      <c r="G43" s="130" t="s">
        <v>760</v>
      </c>
      <c r="H43" s="158" t="str">
        <f>HYPERLINK("https://docs.google.com/spreadsheets/d/1Lkzupo4He9Mabuk_RRdREmPwMNabPSpCb0xsanJlGcw/edit#gid=0","here")</f>
        <v>here</v>
      </c>
      <c r="I43" s="224" t="s">
        <v>346</v>
      </c>
      <c r="J43" s="224" t="s">
        <v>127</v>
      </c>
      <c r="K43" s="10" t="str">
        <f>HYPERLINK("https://docs.google.com/presentation/d/1W3ZOT2p8dB2CKgNYLMnMOibJXcm5k_a_M63LzWj-ktY/edit#slide=id.g4c1855c532_1_267","here")</f>
        <v>here</v>
      </c>
      <c r="L43" s="218" t="s">
        <v>71</v>
      </c>
      <c r="M43" s="225"/>
    </row>
    <row r="44" hidden="1">
      <c r="A44" s="216">
        <v>43450.0</v>
      </c>
      <c r="B44" s="130" t="s">
        <v>43</v>
      </c>
      <c r="C44" s="8" t="s">
        <v>26</v>
      </c>
      <c r="D44" s="132" t="s">
        <v>27</v>
      </c>
      <c r="E44" s="132" t="s">
        <v>22</v>
      </c>
      <c r="F44" s="142" t="s">
        <v>16</v>
      </c>
      <c r="G44" s="130" t="s">
        <v>761</v>
      </c>
      <c r="H44" s="158" t="str">
        <f>HYPERLINK("https://docs.google.com/presentation/d/1WyhK1U8hwrfBwJYOhVhd1Vt1B9pK35UcrMIJVilz8fw/edit#slide=id.g4bb6153d33_0_2","link")</f>
        <v>link</v>
      </c>
      <c r="I44" s="224" t="s">
        <v>66</v>
      </c>
      <c r="J44" s="224" t="s">
        <v>463</v>
      </c>
      <c r="K44" s="13" t="s">
        <v>762</v>
      </c>
      <c r="L44" s="218" t="s">
        <v>71</v>
      </c>
      <c r="M44" s="225"/>
    </row>
    <row r="45" ht="210.0" hidden="1" customHeight="1">
      <c r="A45" s="216">
        <v>43450.0</v>
      </c>
      <c r="B45" s="130" t="s">
        <v>43</v>
      </c>
      <c r="C45" s="8" t="s">
        <v>33</v>
      </c>
      <c r="D45" s="132" t="s">
        <v>21</v>
      </c>
      <c r="E45" s="132" t="s">
        <v>22</v>
      </c>
      <c r="F45" s="142" t="s">
        <v>16</v>
      </c>
      <c r="G45" s="130" t="s">
        <v>763</v>
      </c>
      <c r="H45" s="230" t="str">
        <f>HYPERLINK("https://docs.google.com/presentation/d/1YZk-2tXBeFU4iJiXUVFOEaOJZGpDfPk3I2-bHJTKPtg/edit#slide=id.g481d2e0d69_0_0","Link")</f>
        <v>Link</v>
      </c>
      <c r="I45" s="224" t="s">
        <v>463</v>
      </c>
      <c r="J45" s="224"/>
      <c r="K45" s="13"/>
      <c r="L45" s="218" t="s">
        <v>162</v>
      </c>
      <c r="M45" s="225"/>
    </row>
    <row r="46" ht="83.25" hidden="1" customHeight="1">
      <c r="A46" s="228">
        <v>43430.0</v>
      </c>
      <c r="B46" s="130" t="s">
        <v>43</v>
      </c>
      <c r="C46" s="8" t="s">
        <v>49</v>
      </c>
      <c r="D46" s="132" t="s">
        <v>44</v>
      </c>
      <c r="E46" s="132" t="s">
        <v>22</v>
      </c>
      <c r="F46" s="142" t="s">
        <v>16</v>
      </c>
      <c r="G46" s="130" t="s">
        <v>764</v>
      </c>
      <c r="H46" s="223"/>
      <c r="I46" s="224" t="s">
        <v>115</v>
      </c>
      <c r="J46" s="224" t="s">
        <v>66</v>
      </c>
      <c r="K46" s="10" t="str">
        <f>HYPERLINK("https://docs.google.com/spreadsheets/d/166LFUL9EzGWykRfoJVC8pBIeGJ7TovD7QG6R4hhG_C0/edit?ts=5c00e479#gid=25818238","test data")</f>
        <v>test data</v>
      </c>
      <c r="L46" s="218" t="s">
        <v>162</v>
      </c>
      <c r="M46" s="225"/>
    </row>
    <row r="47" ht="97.5" hidden="1" customHeight="1">
      <c r="A47" s="216">
        <v>43460.0</v>
      </c>
      <c r="B47" s="130" t="s">
        <v>43</v>
      </c>
      <c r="C47" s="8" t="s">
        <v>26</v>
      </c>
      <c r="D47" s="132" t="s">
        <v>14</v>
      </c>
      <c r="E47" s="132" t="s">
        <v>22</v>
      </c>
      <c r="F47" s="142" t="s">
        <v>16</v>
      </c>
      <c r="G47" s="130" t="s">
        <v>765</v>
      </c>
      <c r="H47" s="223"/>
      <c r="I47" s="224" t="s">
        <v>66</v>
      </c>
      <c r="J47" s="224" t="s">
        <v>717</v>
      </c>
      <c r="K47" s="13"/>
      <c r="L47" s="218" t="s">
        <v>71</v>
      </c>
      <c r="M47" s="225"/>
    </row>
    <row r="48" ht="79.5" hidden="1" customHeight="1">
      <c r="A48" s="216">
        <v>43460.0</v>
      </c>
      <c r="B48" s="130" t="s">
        <v>43</v>
      </c>
      <c r="C48" s="8" t="s">
        <v>36</v>
      </c>
      <c r="D48" s="132" t="s">
        <v>44</v>
      </c>
      <c r="E48" s="132" t="s">
        <v>22</v>
      </c>
      <c r="F48" s="142" t="s">
        <v>16</v>
      </c>
      <c r="G48" s="130" t="s">
        <v>766</v>
      </c>
      <c r="H48" s="230" t="str">
        <f>HYPERLINK("https://docs.google.com/presentation/d/1mmNbVfYUolIa1qsznRfTsw0UnA7ce3x6pYapkfAnR98/edit#slide=id.g4057557fca_0_46","link")</f>
        <v>link</v>
      </c>
      <c r="I48" s="224" t="s">
        <v>463</v>
      </c>
      <c r="J48" s="224" t="s">
        <v>70</v>
      </c>
      <c r="K48" s="13"/>
      <c r="L48" s="218" t="s">
        <v>71</v>
      </c>
      <c r="M48" s="225"/>
    </row>
    <row r="49" ht="66.75" hidden="1" customHeight="1">
      <c r="A49" s="216">
        <v>43460.0</v>
      </c>
      <c r="B49" s="130" t="s">
        <v>43</v>
      </c>
      <c r="C49" s="8" t="s">
        <v>57</v>
      </c>
      <c r="D49" s="132" t="s">
        <v>44</v>
      </c>
      <c r="E49" s="132" t="s">
        <v>22</v>
      </c>
      <c r="F49" s="142" t="s">
        <v>16</v>
      </c>
      <c r="G49" s="130" t="s">
        <v>767</v>
      </c>
      <c r="H49" s="230" t="str">
        <f t="shared" ref="H49:H50" si="1">HYPERLINK("https://docs.google.com/presentation/d/1h3bJxIBwVvhnwUWZYglyidWHrfA40U37T-jEh1mRI_Y/edit#slide=id.g4bb6153d33_0_49","link")</f>
        <v>link</v>
      </c>
      <c r="I49" s="224" t="s">
        <v>717</v>
      </c>
      <c r="J49" s="224"/>
      <c r="K49" s="13"/>
      <c r="L49" s="218" t="s">
        <v>68</v>
      </c>
      <c r="M49" s="225"/>
    </row>
    <row r="50" ht="79.5" hidden="1" customHeight="1">
      <c r="A50" s="216">
        <v>43460.0</v>
      </c>
      <c r="B50" s="130" t="s">
        <v>43</v>
      </c>
      <c r="C50" s="8" t="s">
        <v>57</v>
      </c>
      <c r="D50" s="132" t="s">
        <v>44</v>
      </c>
      <c r="E50" s="132" t="s">
        <v>22</v>
      </c>
      <c r="F50" s="142" t="s">
        <v>16</v>
      </c>
      <c r="G50" s="130" t="s">
        <v>768</v>
      </c>
      <c r="H50" s="230" t="str">
        <f t="shared" si="1"/>
        <v>link</v>
      </c>
      <c r="I50" s="224" t="s">
        <v>717</v>
      </c>
      <c r="J50" s="224"/>
      <c r="K50" s="13"/>
      <c r="L50" s="218" t="s">
        <v>167</v>
      </c>
      <c r="M50" s="225"/>
    </row>
    <row r="51" ht="83.25" hidden="1" customHeight="1">
      <c r="A51" s="216">
        <v>43440.0</v>
      </c>
      <c r="B51" s="130" t="s">
        <v>43</v>
      </c>
      <c r="C51" s="8" t="s">
        <v>57</v>
      </c>
      <c r="D51" s="132" t="s">
        <v>21</v>
      </c>
      <c r="E51" s="132" t="s">
        <v>22</v>
      </c>
      <c r="F51" s="142" t="s">
        <v>16</v>
      </c>
      <c r="G51" s="130" t="s">
        <v>769</v>
      </c>
      <c r="H51" s="223"/>
      <c r="I51" s="224" t="s">
        <v>717</v>
      </c>
      <c r="J51" s="224" t="s">
        <v>66</v>
      </c>
      <c r="K51" s="13"/>
      <c r="L51" s="218" t="s">
        <v>71</v>
      </c>
      <c r="M51" s="225"/>
    </row>
    <row r="52" ht="63.75" hidden="1" customHeight="1">
      <c r="A52" s="216">
        <v>43450.0</v>
      </c>
      <c r="B52" s="130" t="s">
        <v>43</v>
      </c>
      <c r="C52" s="8" t="s">
        <v>26</v>
      </c>
      <c r="D52" s="132" t="s">
        <v>27</v>
      </c>
      <c r="E52" s="132" t="s">
        <v>22</v>
      </c>
      <c r="F52" s="142" t="s">
        <v>16</v>
      </c>
      <c r="G52" s="130" t="s">
        <v>770</v>
      </c>
      <c r="H52" s="45"/>
      <c r="I52" s="224" t="s">
        <v>66</v>
      </c>
      <c r="J52" s="224" t="s">
        <v>463</v>
      </c>
      <c r="K52" s="13"/>
      <c r="L52" s="218" t="s">
        <v>162</v>
      </c>
      <c r="M52" s="225"/>
    </row>
    <row r="53" ht="105.0" hidden="1" customHeight="1">
      <c r="A53" s="216">
        <v>43446.0</v>
      </c>
      <c r="B53" s="130" t="s">
        <v>43</v>
      </c>
      <c r="C53" s="8" t="s">
        <v>76</v>
      </c>
      <c r="D53" s="132" t="s">
        <v>21</v>
      </c>
      <c r="E53" s="132" t="s">
        <v>22</v>
      </c>
      <c r="F53" s="142" t="s">
        <v>16</v>
      </c>
      <c r="G53" s="130" t="s">
        <v>771</v>
      </c>
      <c r="H53" s="230" t="str">
        <f>HYPERLINK("https://docs.google.com/presentation/d/1xovIosneJYnq0AlGfqwp7ha7MfJgc_SHKev2KEIL1UM/edit#slide=id.g2bc80d657e_0_97","link")</f>
        <v>link</v>
      </c>
      <c r="I53" s="224" t="s">
        <v>66</v>
      </c>
      <c r="J53" s="224" t="s">
        <v>79</v>
      </c>
      <c r="K53" s="13"/>
      <c r="L53" s="218" t="s">
        <v>167</v>
      </c>
      <c r="M53" s="225"/>
    </row>
    <row r="54" ht="92.25" hidden="1" customHeight="1">
      <c r="A54" s="216">
        <v>43440.0</v>
      </c>
      <c r="B54" s="130" t="s">
        <v>43</v>
      </c>
      <c r="C54" s="8" t="s">
        <v>57</v>
      </c>
      <c r="D54" s="132" t="s">
        <v>21</v>
      </c>
      <c r="E54" s="132" t="s">
        <v>22</v>
      </c>
      <c r="F54" s="142" t="s">
        <v>16</v>
      </c>
      <c r="G54" s="130" t="s">
        <v>772</v>
      </c>
      <c r="H54" s="223"/>
      <c r="I54" s="224" t="s">
        <v>717</v>
      </c>
      <c r="J54" s="224"/>
      <c r="K54" s="13"/>
      <c r="L54" s="218" t="s">
        <v>71</v>
      </c>
      <c r="M54" s="225"/>
    </row>
    <row r="55" ht="91.5" hidden="1" customHeight="1">
      <c r="A55" s="216">
        <v>43440.0</v>
      </c>
      <c r="B55" s="130" t="s">
        <v>43</v>
      </c>
      <c r="C55" s="8" t="s">
        <v>57</v>
      </c>
      <c r="D55" s="132" t="s">
        <v>21</v>
      </c>
      <c r="E55" s="132" t="s">
        <v>22</v>
      </c>
      <c r="F55" s="142" t="s">
        <v>16</v>
      </c>
      <c r="G55" s="130" t="s">
        <v>773</v>
      </c>
      <c r="H55" s="223"/>
      <c r="I55" s="224" t="s">
        <v>717</v>
      </c>
      <c r="J55" s="224"/>
      <c r="K55" s="13"/>
      <c r="L55" s="218" t="s">
        <v>167</v>
      </c>
      <c r="M55" s="225"/>
    </row>
    <row r="56" ht="93.75" hidden="1" customHeight="1">
      <c r="A56" s="216">
        <v>43439.0</v>
      </c>
      <c r="B56" s="130" t="s">
        <v>43</v>
      </c>
      <c r="C56" s="8" t="s">
        <v>26</v>
      </c>
      <c r="D56" s="132" t="s">
        <v>58</v>
      </c>
      <c r="E56" s="132" t="s">
        <v>22</v>
      </c>
      <c r="F56" s="142" t="s">
        <v>16</v>
      </c>
      <c r="G56" s="130" t="s">
        <v>774</v>
      </c>
      <c r="H56" s="230" t="str">
        <f>HYPERLINK("https://docs.google.com/presentation/d/1IHcRcZzHOY2zkQkOkaAIflThHbMtsntGIEfVKq0Ghzw/edit#slide=id.g2bc80d657e_0_97","link")</f>
        <v>link</v>
      </c>
      <c r="I56" s="224" t="s">
        <v>66</v>
      </c>
      <c r="J56" s="224"/>
      <c r="K56" s="13"/>
      <c r="L56" s="218" t="s">
        <v>68</v>
      </c>
      <c r="M56" s="225"/>
    </row>
    <row r="57" ht="213.75" hidden="1" customHeight="1">
      <c r="A57" s="216">
        <v>43439.0</v>
      </c>
      <c r="B57" s="130" t="s">
        <v>43</v>
      </c>
      <c r="C57" s="8" t="s">
        <v>57</v>
      </c>
      <c r="D57" s="132" t="s">
        <v>21</v>
      </c>
      <c r="E57" s="132" t="s">
        <v>22</v>
      </c>
      <c r="F57" s="142" t="s">
        <v>16</v>
      </c>
      <c r="G57" s="130" t="s">
        <v>775</v>
      </c>
      <c r="H57" s="158" t="str">
        <f>HYPERLINK("https://docs.google.com/presentation/d/1MZqvHRFWPEn7AH37qbDXptU2Jv2YhtL1e5eXZDo9VsM/edit?usp=sharing","Link")</f>
        <v>Link</v>
      </c>
      <c r="I57" s="224" t="s">
        <v>717</v>
      </c>
      <c r="J57" s="224"/>
      <c r="K57" s="13"/>
      <c r="L57" s="218" t="s">
        <v>167</v>
      </c>
      <c r="M57" s="225"/>
    </row>
    <row r="58" ht="114.0" hidden="1" customHeight="1">
      <c r="A58" s="216">
        <v>43439.0</v>
      </c>
      <c r="B58" s="130" t="s">
        <v>43</v>
      </c>
      <c r="C58" s="8" t="s">
        <v>57</v>
      </c>
      <c r="D58" s="132" t="s">
        <v>21</v>
      </c>
      <c r="E58" s="132" t="s">
        <v>22</v>
      </c>
      <c r="F58" s="142" t="s">
        <v>16</v>
      </c>
      <c r="G58" s="130" t="s">
        <v>776</v>
      </c>
      <c r="H58" s="223"/>
      <c r="I58" s="224" t="s">
        <v>717</v>
      </c>
      <c r="J58" s="224"/>
      <c r="K58" s="13"/>
      <c r="L58" s="218" t="s">
        <v>71</v>
      </c>
      <c r="M58" s="225"/>
    </row>
    <row r="59" ht="79.5" hidden="1" customHeight="1">
      <c r="A59" s="216">
        <v>43438.0</v>
      </c>
      <c r="B59" s="130" t="s">
        <v>43</v>
      </c>
      <c r="C59" s="8" t="s">
        <v>33</v>
      </c>
      <c r="D59" s="132" t="s">
        <v>27</v>
      </c>
      <c r="E59" s="132" t="s">
        <v>22</v>
      </c>
      <c r="F59" s="142" t="s">
        <v>16</v>
      </c>
      <c r="G59" s="130" t="s">
        <v>777</v>
      </c>
      <c r="H59" s="223"/>
      <c r="I59" s="224" t="s">
        <v>463</v>
      </c>
      <c r="J59" s="224"/>
      <c r="K59" s="13"/>
      <c r="L59" s="218" t="s">
        <v>71</v>
      </c>
      <c r="M59" s="225"/>
    </row>
    <row r="60" ht="114.0" hidden="1" customHeight="1">
      <c r="A60" s="216">
        <v>43438.0</v>
      </c>
      <c r="B60" s="130" t="s">
        <v>43</v>
      </c>
      <c r="C60" s="8" t="s">
        <v>57</v>
      </c>
      <c r="D60" s="132" t="s">
        <v>58</v>
      </c>
      <c r="E60" s="132" t="s">
        <v>22</v>
      </c>
      <c r="F60" s="142" t="s">
        <v>16</v>
      </c>
      <c r="G60" s="130" t="s">
        <v>778</v>
      </c>
      <c r="H60" s="223"/>
      <c r="I60" s="224" t="s">
        <v>717</v>
      </c>
      <c r="J60" s="224"/>
      <c r="K60" s="13"/>
      <c r="L60" s="218" t="s">
        <v>71</v>
      </c>
      <c r="M60" s="225"/>
    </row>
    <row r="61" ht="58.5" hidden="1" customHeight="1">
      <c r="A61" s="216">
        <v>43447.0</v>
      </c>
      <c r="B61" s="130" t="s">
        <v>43</v>
      </c>
      <c r="C61" s="8" t="s">
        <v>49</v>
      </c>
      <c r="D61" s="132" t="s">
        <v>58</v>
      </c>
      <c r="E61" s="132" t="s">
        <v>22</v>
      </c>
      <c r="F61" s="142" t="s">
        <v>16</v>
      </c>
      <c r="G61" s="130" t="s">
        <v>779</v>
      </c>
      <c r="H61" s="45"/>
      <c r="I61" s="224" t="s">
        <v>115</v>
      </c>
      <c r="J61" s="224" t="s">
        <v>66</v>
      </c>
      <c r="K61" s="13"/>
      <c r="L61" s="218" t="s">
        <v>167</v>
      </c>
      <c r="M61" s="225"/>
    </row>
    <row r="62" ht="129.0" hidden="1" customHeight="1">
      <c r="A62" s="216">
        <v>43436.0</v>
      </c>
      <c r="B62" s="130" t="s">
        <v>43</v>
      </c>
      <c r="C62" s="8" t="s">
        <v>49</v>
      </c>
      <c r="D62" s="132" t="s">
        <v>58</v>
      </c>
      <c r="E62" s="132" t="s">
        <v>22</v>
      </c>
      <c r="F62" s="142" t="s">
        <v>16</v>
      </c>
      <c r="G62" s="130" t="s">
        <v>780</v>
      </c>
      <c r="H62" s="45"/>
      <c r="I62" s="224" t="s">
        <v>115</v>
      </c>
      <c r="J62" s="224" t="s">
        <v>70</v>
      </c>
      <c r="K62" s="10" t="str">
        <f>HYPERLINK("https://idart.mot.com/browse/IKSWP-44583","CR  link")</f>
        <v>CR  link</v>
      </c>
      <c r="L62" s="218" t="s">
        <v>71</v>
      </c>
      <c r="M62" s="225"/>
    </row>
    <row r="63" ht="86.25" hidden="1" customHeight="1">
      <c r="A63" s="216">
        <v>43433.0</v>
      </c>
      <c r="B63" s="130" t="s">
        <v>43</v>
      </c>
      <c r="C63" s="8" t="s">
        <v>49</v>
      </c>
      <c r="D63" s="132" t="s">
        <v>58</v>
      </c>
      <c r="E63" s="132" t="s">
        <v>22</v>
      </c>
      <c r="F63" s="142" t="s">
        <v>16</v>
      </c>
      <c r="G63" s="130" t="s">
        <v>781</v>
      </c>
      <c r="H63" s="223"/>
      <c r="I63" s="224" t="s">
        <v>115</v>
      </c>
      <c r="J63" s="224" t="s">
        <v>67</v>
      </c>
      <c r="K63" s="10" t="str">
        <f>HYPERLINK("https://idart.mot.com/browse/IKSWP-43026","CR  link")</f>
        <v>CR  link</v>
      </c>
      <c r="L63" s="218" t="s">
        <v>68</v>
      </c>
      <c r="M63" s="225"/>
    </row>
    <row r="64" ht="47.25" hidden="1" customHeight="1">
      <c r="A64" s="231">
        <v>43430.0</v>
      </c>
      <c r="B64" s="130" t="s">
        <v>43</v>
      </c>
      <c r="C64" s="8" t="s">
        <v>57</v>
      </c>
      <c r="D64" s="132" t="s">
        <v>58</v>
      </c>
      <c r="E64" s="132" t="s">
        <v>22</v>
      </c>
      <c r="F64" s="130" t="s">
        <v>16</v>
      </c>
      <c r="G64" s="130" t="s">
        <v>782</v>
      </c>
      <c r="H64" s="223"/>
      <c r="I64" s="224" t="s">
        <v>717</v>
      </c>
      <c r="J64" s="224" t="s">
        <v>70</v>
      </c>
      <c r="K64" s="13"/>
      <c r="L64" s="218" t="s">
        <v>68</v>
      </c>
      <c r="M64" s="225"/>
    </row>
    <row r="65" ht="75.0" hidden="1" customHeight="1">
      <c r="A65" s="231">
        <v>43430.0</v>
      </c>
      <c r="B65" s="130" t="s">
        <v>43</v>
      </c>
      <c r="C65" s="8" t="s">
        <v>723</v>
      </c>
      <c r="D65" s="132" t="s">
        <v>27</v>
      </c>
      <c r="E65" s="132" t="s">
        <v>22</v>
      </c>
      <c r="F65" s="130" t="s">
        <v>16</v>
      </c>
      <c r="G65" s="130" t="s">
        <v>783</v>
      </c>
      <c r="H65" s="223"/>
      <c r="I65" s="224" t="s">
        <v>346</v>
      </c>
      <c r="J65" s="224"/>
      <c r="K65" s="13"/>
      <c r="L65" s="218" t="s">
        <v>68</v>
      </c>
      <c r="M65" s="225"/>
    </row>
    <row r="66" ht="77.25" hidden="1" customHeight="1">
      <c r="A66" s="231">
        <v>43420.0</v>
      </c>
      <c r="B66" s="130" t="s">
        <v>56</v>
      </c>
      <c r="C66" s="8" t="s">
        <v>36</v>
      </c>
      <c r="D66" s="132" t="s">
        <v>14</v>
      </c>
      <c r="E66" s="132" t="s">
        <v>22</v>
      </c>
      <c r="F66" s="130" t="s">
        <v>16</v>
      </c>
      <c r="G66" s="130" t="s">
        <v>784</v>
      </c>
      <c r="H66" s="230" t="str">
        <f>HYPERLINK("https://docs.google.com/presentation/d/1gzgU2ynf6tVno3-sI4b4vV1yBHUDzXkMIsi7j6ji4wM/edit#slide=id.g3d0e129719_0_0","Link")</f>
        <v>Link</v>
      </c>
      <c r="I66" s="224" t="s">
        <v>463</v>
      </c>
      <c r="J66" s="224"/>
      <c r="K66" s="13"/>
      <c r="L66" s="218" t="s">
        <v>71</v>
      </c>
      <c r="M66" s="225"/>
    </row>
    <row r="67" ht="159.0" hidden="1" customHeight="1">
      <c r="A67" s="231">
        <v>43417.0</v>
      </c>
      <c r="B67" s="130" t="s">
        <v>56</v>
      </c>
      <c r="C67" s="8" t="s">
        <v>20</v>
      </c>
      <c r="D67" s="132" t="s">
        <v>44</v>
      </c>
      <c r="E67" s="132" t="s">
        <v>22</v>
      </c>
      <c r="F67" s="130" t="s">
        <v>16</v>
      </c>
      <c r="G67" s="130" t="s">
        <v>785</v>
      </c>
      <c r="H67" s="51" t="str">
        <f>HYPERLINK("https://docs.google.com/presentation/d/1Z2WYK82p5y8Qwv1k720KnICSArv3VU8jzNO-6-21aAc/edit#slide=id.g4828e914a7_2_36","Link")</f>
        <v>Link</v>
      </c>
      <c r="I67" s="224" t="s">
        <v>70</v>
      </c>
      <c r="J67" s="224" t="s">
        <v>67</v>
      </c>
      <c r="K67" s="13"/>
      <c r="L67" s="218" t="s">
        <v>71</v>
      </c>
      <c r="M67" s="225"/>
    </row>
    <row r="68" ht="94.5" hidden="1" customHeight="1">
      <c r="A68" s="231">
        <v>43417.0</v>
      </c>
      <c r="B68" s="130" t="s">
        <v>56</v>
      </c>
      <c r="C68" s="8" t="s">
        <v>723</v>
      </c>
      <c r="D68" s="132" t="s">
        <v>44</v>
      </c>
      <c r="E68" s="132" t="s">
        <v>15</v>
      </c>
      <c r="F68" s="130" t="s">
        <v>16</v>
      </c>
      <c r="G68" s="130" t="s">
        <v>786</v>
      </c>
      <c r="H68" s="10" t="str">
        <f>HYPERLINK("https://docs.google.com/presentation/d/1s__e3dKe-OvW_FRmIeU_64kUtUKXp3dI5pxjIhaxiM4/edit?ts=5bed3cec#slide=id.g46ff1f4179_2_0","Here")</f>
        <v>Here</v>
      </c>
      <c r="I68" s="224" t="s">
        <v>346</v>
      </c>
      <c r="J68" s="224" t="s">
        <v>70</v>
      </c>
      <c r="K68" s="13"/>
      <c r="L68" s="218" t="s">
        <v>71</v>
      </c>
      <c r="M68" s="225"/>
    </row>
    <row r="69" ht="125.25" hidden="1" customHeight="1">
      <c r="A69" s="216">
        <v>43412.0</v>
      </c>
      <c r="B69" s="130" t="s">
        <v>56</v>
      </c>
      <c r="C69" s="8" t="s">
        <v>57</v>
      </c>
      <c r="D69" s="132" t="s">
        <v>58</v>
      </c>
      <c r="E69" s="132" t="s">
        <v>22</v>
      </c>
      <c r="F69" s="142" t="s">
        <v>16</v>
      </c>
      <c r="G69" s="130" t="s">
        <v>787</v>
      </c>
      <c r="H69" s="10" t="str">
        <f>HYPERLINK("https://drive.google.com/open?id=1ce1dmhoEvboK7L49zQlLm5xZPm-gPT79mVt4bh1G4zk","Here")</f>
        <v>Here</v>
      </c>
      <c r="I69" s="224" t="s">
        <v>717</v>
      </c>
      <c r="J69" s="224"/>
      <c r="K69" s="13"/>
      <c r="L69" s="218" t="s">
        <v>63</v>
      </c>
      <c r="M69" s="225"/>
    </row>
    <row r="70" ht="60.0" hidden="1" customHeight="1">
      <c r="A70" s="228">
        <v>43395.0</v>
      </c>
      <c r="B70" s="130" t="s">
        <v>56</v>
      </c>
      <c r="C70" s="8" t="s">
        <v>76</v>
      </c>
      <c r="D70" s="132" t="s">
        <v>58</v>
      </c>
      <c r="E70" s="140" t="s">
        <v>15</v>
      </c>
      <c r="F70" s="142" t="s">
        <v>16</v>
      </c>
      <c r="G70" s="130" t="s">
        <v>788</v>
      </c>
      <c r="H70" s="10" t="str">
        <f>HYPERLINK("https://docs.google.com/presentation/d/1r42p3-Y-MzZS88nTIa8OzKJsA7o3vJJqv2gyvWgSYVE/edit#slide=id.g455d5d5e9a_0_0","Here")</f>
        <v>Here</v>
      </c>
      <c r="I70" s="224" t="s">
        <v>79</v>
      </c>
      <c r="J70" s="224"/>
      <c r="K70" s="13"/>
      <c r="L70" s="218" t="s">
        <v>167</v>
      </c>
      <c r="M70" s="225"/>
    </row>
    <row r="71" ht="279.75" hidden="1" customHeight="1">
      <c r="A71" s="231">
        <v>43409.0</v>
      </c>
      <c r="B71" s="130" t="s">
        <v>56</v>
      </c>
      <c r="C71" s="8" t="s">
        <v>20</v>
      </c>
      <c r="D71" s="132" t="s">
        <v>44</v>
      </c>
      <c r="E71" s="132" t="s">
        <v>22</v>
      </c>
      <c r="F71" s="130" t="s">
        <v>16</v>
      </c>
      <c r="G71" s="130" t="s">
        <v>789</v>
      </c>
      <c r="H71" s="13"/>
      <c r="I71" s="224" t="s">
        <v>67</v>
      </c>
      <c r="J71" s="224" t="s">
        <v>79</v>
      </c>
      <c r="K71" s="13"/>
      <c r="L71" s="218" t="s">
        <v>68</v>
      </c>
      <c r="M71" s="225"/>
    </row>
    <row r="72" ht="246.75" hidden="1" customHeight="1">
      <c r="A72" s="231">
        <v>43403.0</v>
      </c>
      <c r="B72" s="130" t="s">
        <v>56</v>
      </c>
      <c r="C72" s="8" t="s">
        <v>13</v>
      </c>
      <c r="D72" s="132" t="s">
        <v>14</v>
      </c>
      <c r="E72" s="132" t="s">
        <v>22</v>
      </c>
      <c r="F72" s="130" t="s">
        <v>16</v>
      </c>
      <c r="G72" s="130" t="s">
        <v>790</v>
      </c>
      <c r="H72" s="13"/>
      <c r="I72" s="224" t="s">
        <v>79</v>
      </c>
      <c r="J72" s="224" t="s">
        <v>70</v>
      </c>
      <c r="K72" s="13"/>
      <c r="L72" s="218" t="s">
        <v>71</v>
      </c>
      <c r="M72" s="225"/>
    </row>
    <row r="73" ht="60.0" hidden="1" customHeight="1">
      <c r="A73" s="231">
        <v>43403.0</v>
      </c>
      <c r="B73" s="130" t="s">
        <v>56</v>
      </c>
      <c r="C73" s="22" t="s">
        <v>30</v>
      </c>
      <c r="D73" s="23" t="s">
        <v>44</v>
      </c>
      <c r="E73" s="23" t="s">
        <v>15</v>
      </c>
      <c r="F73" s="21" t="s">
        <v>16</v>
      </c>
      <c r="G73" s="130" t="s">
        <v>791</v>
      </c>
      <c r="H73" s="13"/>
      <c r="I73" s="224" t="s">
        <v>127</v>
      </c>
      <c r="J73" s="224"/>
      <c r="K73" s="13"/>
      <c r="L73" s="218" t="s">
        <v>71</v>
      </c>
      <c r="M73" s="225"/>
    </row>
    <row r="74" ht="60.0" hidden="1" customHeight="1">
      <c r="A74" s="231">
        <v>43397.0</v>
      </c>
      <c r="B74" s="130" t="s">
        <v>56</v>
      </c>
      <c r="C74" s="8" t="s">
        <v>13</v>
      </c>
      <c r="D74" s="132" t="s">
        <v>58</v>
      </c>
      <c r="E74" s="132" t="s">
        <v>15</v>
      </c>
      <c r="F74" s="130" t="s">
        <v>16</v>
      </c>
      <c r="G74" s="130" t="s">
        <v>792</v>
      </c>
      <c r="H74" s="10" t="str">
        <f>HYPERLINK("https://docs.google.com/presentation/d/1ReQ_sZtf3ogVs_GtF41PlwF8onCiNjt76BRQ56kStwM/edit#slide=id.g4057557fca_0_46","link")</f>
        <v>link</v>
      </c>
      <c r="I74" s="224" t="s">
        <v>79</v>
      </c>
      <c r="J74" s="224"/>
      <c r="K74" s="13"/>
      <c r="L74" s="218" t="s">
        <v>167</v>
      </c>
      <c r="M74" s="225"/>
    </row>
    <row r="75" ht="60.0" hidden="1" customHeight="1">
      <c r="A75" s="231">
        <v>43397.0</v>
      </c>
      <c r="B75" s="130" t="s">
        <v>56</v>
      </c>
      <c r="C75" s="8" t="s">
        <v>49</v>
      </c>
      <c r="D75" s="23" t="s">
        <v>44</v>
      </c>
      <c r="E75" s="132" t="s">
        <v>15</v>
      </c>
      <c r="F75" s="130" t="s">
        <v>16</v>
      </c>
      <c r="G75" s="130" t="s">
        <v>793</v>
      </c>
      <c r="H75" s="10" t="str">
        <f>HYPERLINK("https://docs.google.com/presentation/d/12UnQzUwuhgUCbTHm6i_tdeYF2O7Vqk8-0CSb_1CC4ig/edit#slide=id.g456ea6c803_2_51","here")</f>
        <v>here</v>
      </c>
      <c r="I75" s="224" t="s">
        <v>115</v>
      </c>
      <c r="J75" s="224"/>
      <c r="K75" s="13"/>
      <c r="L75" s="218" t="s">
        <v>63</v>
      </c>
      <c r="M75" s="225"/>
    </row>
    <row r="76" ht="60.0" hidden="1" customHeight="1">
      <c r="A76" s="231">
        <v>43395.0</v>
      </c>
      <c r="B76" s="130" t="s">
        <v>56</v>
      </c>
      <c r="C76" s="22" t="s">
        <v>76</v>
      </c>
      <c r="D76" s="23" t="s">
        <v>77</v>
      </c>
      <c r="E76" s="23" t="s">
        <v>22</v>
      </c>
      <c r="F76" s="21" t="s">
        <v>16</v>
      </c>
      <c r="G76" s="130" t="s">
        <v>794</v>
      </c>
      <c r="I76" s="224" t="s">
        <v>79</v>
      </c>
      <c r="J76" s="224"/>
      <c r="L76" s="218" t="s">
        <v>71</v>
      </c>
      <c r="M76" s="225"/>
    </row>
    <row r="77" ht="60.0" hidden="1" customHeight="1">
      <c r="A77" s="231">
        <v>43395.0</v>
      </c>
      <c r="B77" s="130" t="s">
        <v>56</v>
      </c>
      <c r="C77" s="22" t="s">
        <v>36</v>
      </c>
      <c r="D77" s="23" t="s">
        <v>77</v>
      </c>
      <c r="E77" s="23" t="s">
        <v>15</v>
      </c>
      <c r="F77" s="21" t="s">
        <v>16</v>
      </c>
      <c r="G77" s="130" t="s">
        <v>795</v>
      </c>
      <c r="H77" s="13"/>
      <c r="I77" s="224" t="s">
        <v>463</v>
      </c>
      <c r="J77" s="224"/>
      <c r="K77" s="13"/>
      <c r="L77" s="218" t="s">
        <v>71</v>
      </c>
      <c r="M77" s="225"/>
    </row>
    <row r="78" ht="60.0" hidden="1" customHeight="1">
      <c r="A78" s="231">
        <v>43395.0</v>
      </c>
      <c r="B78" s="130" t="s">
        <v>56</v>
      </c>
      <c r="C78" s="22" t="s">
        <v>49</v>
      </c>
      <c r="D78" s="23" t="s">
        <v>58</v>
      </c>
      <c r="E78" s="23" t="s">
        <v>15</v>
      </c>
      <c r="F78" s="21" t="s">
        <v>16</v>
      </c>
      <c r="G78" s="130" t="s">
        <v>796</v>
      </c>
      <c r="H78" s="10" t="str">
        <f>HYPERLINK("https://docs.google.com/presentation/d/1P2XBOJyH6nJtu6t0Z0AAE8MtouBjgXwhjJs9_zlQsMs/edit#slide=id.g44c761580c_2_129","here")</f>
        <v>here</v>
      </c>
      <c r="I78" s="224" t="s">
        <v>115</v>
      </c>
      <c r="J78" s="224"/>
      <c r="K78" s="13"/>
      <c r="L78" s="218" t="s">
        <v>167</v>
      </c>
      <c r="M78" s="225"/>
    </row>
    <row r="79" ht="60.0" hidden="1" customHeight="1">
      <c r="A79" s="231">
        <v>43395.0</v>
      </c>
      <c r="B79" s="130" t="s">
        <v>56</v>
      </c>
      <c r="C79" s="22" t="s">
        <v>49</v>
      </c>
      <c r="D79" s="23" t="s">
        <v>58</v>
      </c>
      <c r="E79" s="23" t="s">
        <v>15</v>
      </c>
      <c r="F79" s="21" t="s">
        <v>16</v>
      </c>
      <c r="G79" s="130" t="s">
        <v>797</v>
      </c>
      <c r="H79" s="10" t="str">
        <f>HYPERLINK("https://docs.google.com/presentation/d/1qFu1hfhPcqGLnsuDhKN_23bVVc0fzwjkb5Iu7AFlvzo/edit#slide=id.g4537fa5492_0_2","here")</f>
        <v>here</v>
      </c>
      <c r="I79" s="224" t="s">
        <v>115</v>
      </c>
      <c r="J79" s="224" t="s">
        <v>717</v>
      </c>
      <c r="K79" s="13"/>
      <c r="L79" s="218" t="s">
        <v>167</v>
      </c>
      <c r="M79" s="225"/>
    </row>
    <row r="80" ht="60.0" hidden="1" customHeight="1">
      <c r="A80" s="231">
        <v>43395.0</v>
      </c>
      <c r="B80" s="130" t="s">
        <v>56</v>
      </c>
      <c r="C80" s="22" t="s">
        <v>30</v>
      </c>
      <c r="D80" s="23" t="s">
        <v>44</v>
      </c>
      <c r="E80" s="23" t="s">
        <v>22</v>
      </c>
      <c r="F80" s="21" t="s">
        <v>16</v>
      </c>
      <c r="G80" s="130" t="s">
        <v>798</v>
      </c>
      <c r="H80" s="10" t="str">
        <f>HYPERLINK("https://docs.google.com/presentation/d/1FH1ivkVMWOlZSiKEMdnFOYZt2hbGzIgu-JHyNOdgEa0/edit#slide=id.g4585d9833f_0_3","here")</f>
        <v>here</v>
      </c>
      <c r="I80" s="224" t="s">
        <v>127</v>
      </c>
      <c r="J80" s="224"/>
      <c r="K80" s="13"/>
      <c r="L80" s="218" t="s">
        <v>63</v>
      </c>
      <c r="M80" s="225"/>
    </row>
    <row r="81" ht="60.0" hidden="1" customHeight="1">
      <c r="A81" s="231">
        <v>43395.0</v>
      </c>
      <c r="B81" s="130" t="s">
        <v>56</v>
      </c>
      <c r="C81" s="22" t="s">
        <v>36</v>
      </c>
      <c r="D81" s="23" t="s">
        <v>21</v>
      </c>
      <c r="E81" s="23" t="s">
        <v>15</v>
      </c>
      <c r="F81" s="21" t="s">
        <v>16</v>
      </c>
      <c r="G81" s="130" t="s">
        <v>799</v>
      </c>
      <c r="H81" s="10" t="str">
        <f>HYPERLINK("https://docs.google.com/presentation/d/1Segk1kYoADyI0YIxbjy8f2_SkLp4flbEaSoar55nZNU/edit#slide=id.g4057557fca_0_46","here")</f>
        <v>here</v>
      </c>
      <c r="I81" s="224" t="s">
        <v>463</v>
      </c>
      <c r="J81" s="224"/>
      <c r="K81" s="13"/>
      <c r="L81" s="218" t="s">
        <v>68</v>
      </c>
      <c r="M81" s="225"/>
    </row>
    <row r="82" ht="60.0" hidden="1" customHeight="1">
      <c r="A82" s="231">
        <v>43384.0</v>
      </c>
      <c r="B82" s="130" t="s">
        <v>56</v>
      </c>
      <c r="C82" s="22" t="s">
        <v>36</v>
      </c>
      <c r="D82" s="23" t="s">
        <v>44</v>
      </c>
      <c r="E82" s="23" t="s">
        <v>22</v>
      </c>
      <c r="F82" s="21" t="s">
        <v>16</v>
      </c>
      <c r="G82" s="130" t="s">
        <v>800</v>
      </c>
      <c r="H82" s="10" t="str">
        <f>HYPERLINK("https://docs.google.com/presentation/d/1umUWvXEU-vYH3rkZblWXWfQyzDkYRq2t5AuI-4R_i_w/edit#slide=id.g4057557fca_0_46","here")</f>
        <v>here</v>
      </c>
      <c r="I82" s="224" t="s">
        <v>463</v>
      </c>
      <c r="J82" s="224" t="s">
        <v>66</v>
      </c>
      <c r="K82" s="13"/>
      <c r="L82" s="218" t="s">
        <v>71</v>
      </c>
      <c r="M82" s="225"/>
    </row>
    <row r="83" ht="60.0" hidden="1" customHeight="1">
      <c r="A83" s="231">
        <v>43384.0</v>
      </c>
      <c r="B83" s="130" t="s">
        <v>56</v>
      </c>
      <c r="C83" s="22" t="s">
        <v>57</v>
      </c>
      <c r="D83" s="23" t="s">
        <v>44</v>
      </c>
      <c r="E83" s="23" t="s">
        <v>15</v>
      </c>
      <c r="F83" s="21" t="s">
        <v>16</v>
      </c>
      <c r="G83" s="130" t="s">
        <v>801</v>
      </c>
      <c r="H83" s="10" t="str">
        <f>HYPERLINK("https://drive.google.com/open?id=1h42jxZdbBwypYlWx36uUtOB8G7EAm5VMU77KPQ5Zh10","here")</f>
        <v>here</v>
      </c>
      <c r="I83" s="217" t="s">
        <v>802</v>
      </c>
      <c r="J83" s="224" t="s">
        <v>70</v>
      </c>
      <c r="K83" s="13"/>
      <c r="L83" s="218" t="s">
        <v>71</v>
      </c>
      <c r="M83" s="225"/>
    </row>
    <row r="84" ht="123.75" hidden="1" customHeight="1">
      <c r="A84" s="231">
        <v>43384.0</v>
      </c>
      <c r="B84" s="130" t="s">
        <v>56</v>
      </c>
      <c r="C84" s="22" t="s">
        <v>57</v>
      </c>
      <c r="D84" s="23" t="s">
        <v>44</v>
      </c>
      <c r="E84" s="23" t="s">
        <v>15</v>
      </c>
      <c r="F84" s="21" t="s">
        <v>16</v>
      </c>
      <c r="G84" s="130" t="s">
        <v>803</v>
      </c>
      <c r="H84" s="10" t="str">
        <f>HYPERLINK("https://drive.google.com/open?id=1epZIunXsiVpOwLHzHc4hdGKuEWZW914QApCS-N5o4D0","here")</f>
        <v>here</v>
      </c>
      <c r="I84" s="217" t="s">
        <v>717</v>
      </c>
      <c r="J84" s="224" t="s">
        <v>70</v>
      </c>
      <c r="K84" s="13"/>
      <c r="L84" s="218" t="s">
        <v>71</v>
      </c>
      <c r="M84" s="225"/>
    </row>
    <row r="85" ht="60.0" hidden="1" customHeight="1">
      <c r="A85" s="231">
        <v>43384.0</v>
      </c>
      <c r="B85" s="130" t="s">
        <v>56</v>
      </c>
      <c r="C85" s="22" t="s">
        <v>49</v>
      </c>
      <c r="D85" s="23" t="s">
        <v>58</v>
      </c>
      <c r="E85" s="23" t="s">
        <v>22</v>
      </c>
      <c r="F85" s="21" t="s">
        <v>16</v>
      </c>
      <c r="G85" s="130" t="s">
        <v>804</v>
      </c>
      <c r="H85" s="13"/>
      <c r="I85" s="217" t="s">
        <v>66</v>
      </c>
      <c r="J85" s="224" t="s">
        <v>115</v>
      </c>
      <c r="K85" s="233" t="str">
        <f>HYPERLINK("https://docs.google.com/presentation/d/1zpPnx5L0p_S0a6PBO3s212S5_2zYsr2tM0MzcO0rIB0/edit#slide=id.p3","RPA analysis report link")</f>
        <v>RPA analysis report link</v>
      </c>
      <c r="L85" s="218" t="s">
        <v>71</v>
      </c>
      <c r="M85" s="225"/>
    </row>
    <row r="86" ht="60.0" hidden="1" customHeight="1">
      <c r="A86" s="231">
        <v>43384.0</v>
      </c>
      <c r="B86" s="130" t="s">
        <v>56</v>
      </c>
      <c r="C86" s="22" t="s">
        <v>36</v>
      </c>
      <c r="D86" s="23" t="s">
        <v>21</v>
      </c>
      <c r="E86" s="23" t="s">
        <v>22</v>
      </c>
      <c r="F86" s="21" t="s">
        <v>16</v>
      </c>
      <c r="G86" s="130" t="s">
        <v>805</v>
      </c>
      <c r="H86" s="10" t="str">
        <f>HYPERLINK("https://docs.google.com/presentation/d/1iLbQTgNq2rfv3DfEl_MfyiBLtdlHXSd7pCWPGkowQFk/edit#slide=id.g4057557fca_0_46","here")</f>
        <v>here</v>
      </c>
      <c r="I86" s="224" t="s">
        <v>463</v>
      </c>
      <c r="J86" s="224"/>
      <c r="K86" s="13"/>
      <c r="L86" s="218" t="s">
        <v>144</v>
      </c>
      <c r="M86" s="225"/>
    </row>
    <row r="87" ht="60.0" hidden="1" customHeight="1">
      <c r="A87" s="231">
        <v>43384.0</v>
      </c>
      <c r="B87" s="130" t="s">
        <v>56</v>
      </c>
      <c r="C87" s="22" t="s">
        <v>20</v>
      </c>
      <c r="D87" s="23" t="s">
        <v>58</v>
      </c>
      <c r="E87" s="23" t="s">
        <v>15</v>
      </c>
      <c r="F87" s="21" t="s">
        <v>16</v>
      </c>
      <c r="G87" s="130" t="s">
        <v>806</v>
      </c>
      <c r="H87" s="10" t="str">
        <f>HYPERLINK("https://docs.google.com/presentation/d/1LGbZpTmlkKo7jhbKzvM9TBVLqrORh6hlnqFJSOXCRRQ/edit#slide=id.g4057557fca_0_46","link")</f>
        <v>link</v>
      </c>
      <c r="I87" s="224" t="s">
        <v>67</v>
      </c>
      <c r="J87" s="224" t="s">
        <v>66</v>
      </c>
      <c r="K87" s="13"/>
      <c r="L87" s="218" t="s">
        <v>167</v>
      </c>
      <c r="M87" s="225"/>
    </row>
    <row r="88" ht="60.0" hidden="1" customHeight="1">
      <c r="A88" s="231">
        <v>43347.0</v>
      </c>
      <c r="B88" s="130" t="s">
        <v>56</v>
      </c>
      <c r="C88" s="8" t="s">
        <v>13</v>
      </c>
      <c r="D88" s="23" t="s">
        <v>77</v>
      </c>
      <c r="E88" s="132" t="s">
        <v>15</v>
      </c>
      <c r="F88" s="130" t="s">
        <v>16</v>
      </c>
      <c r="G88" s="130" t="s">
        <v>807</v>
      </c>
      <c r="H88" s="10" t="str">
        <f t="shared" ref="H88:H89" si="2">HYPERLINK("https://docs.google.com/presentation/d/1pXbBSTHQvpSlgZoQzyO4pwNY1lOIZQtovI1C6e-WY3w/edit#slide=id.g3997c6a624_0_1057","here")</f>
        <v>here</v>
      </c>
      <c r="I88" s="224" t="s">
        <v>79</v>
      </c>
      <c r="J88" s="224"/>
      <c r="K88" s="13"/>
      <c r="L88" s="218" t="s">
        <v>71</v>
      </c>
      <c r="M88" s="225"/>
    </row>
    <row r="89" ht="60.0" hidden="1" customHeight="1">
      <c r="A89" s="231">
        <v>43347.0</v>
      </c>
      <c r="B89" s="130" t="s">
        <v>56</v>
      </c>
      <c r="C89" s="8" t="s">
        <v>13</v>
      </c>
      <c r="D89" s="23" t="s">
        <v>77</v>
      </c>
      <c r="E89" s="132" t="s">
        <v>15</v>
      </c>
      <c r="F89" s="130" t="s">
        <v>16</v>
      </c>
      <c r="G89" s="130" t="s">
        <v>808</v>
      </c>
      <c r="H89" s="10" t="str">
        <f t="shared" si="2"/>
        <v>here</v>
      </c>
      <c r="I89" s="224" t="s">
        <v>79</v>
      </c>
      <c r="J89" s="224"/>
      <c r="K89" s="13"/>
      <c r="L89" s="218" t="s">
        <v>71</v>
      </c>
      <c r="M89" s="225"/>
    </row>
    <row r="90" ht="60.0" hidden="1" customHeight="1">
      <c r="A90" s="231">
        <v>43347.0</v>
      </c>
      <c r="B90" s="130" t="s">
        <v>56</v>
      </c>
      <c r="C90" s="8" t="s">
        <v>723</v>
      </c>
      <c r="D90" s="23" t="s">
        <v>77</v>
      </c>
      <c r="E90" s="132" t="s">
        <v>22</v>
      </c>
      <c r="F90" s="130" t="s">
        <v>16</v>
      </c>
      <c r="G90" s="130" t="s">
        <v>809</v>
      </c>
      <c r="H90" s="10" t="str">
        <f>HYPERLINK("https://docs.google.com/presentation/d/1s__e3dKe-OvW_FRmIeU_64kUtUKXp3dI5pxjIhaxiM4/edit#slide=id.g42022cc45d_0_28","link")</f>
        <v>link</v>
      </c>
      <c r="I90" s="224" t="s">
        <v>346</v>
      </c>
      <c r="J90" s="224"/>
      <c r="K90" s="13"/>
      <c r="L90" s="218" t="s">
        <v>63</v>
      </c>
      <c r="M90" s="225"/>
    </row>
    <row r="91" ht="48.0" hidden="1" customHeight="1">
      <c r="A91" s="231">
        <v>43347.0</v>
      </c>
      <c r="B91" s="130" t="s">
        <v>56</v>
      </c>
      <c r="C91" s="8" t="s">
        <v>72</v>
      </c>
      <c r="D91" s="23" t="s">
        <v>77</v>
      </c>
      <c r="E91" s="132" t="s">
        <v>22</v>
      </c>
      <c r="F91" s="130" t="s">
        <v>16</v>
      </c>
      <c r="G91" s="130" t="s">
        <v>810</v>
      </c>
      <c r="H91" s="10" t="str">
        <f>HYPERLINK("https://docs.google.com/presentation/d/1kvQEIjWVp7XakhKGN2j2xV9NamTAqiyrGB9z4WABlEM/edit#slide=id.g429fc176d0_1_0","link")</f>
        <v>link</v>
      </c>
      <c r="I91" s="217" t="s">
        <v>74</v>
      </c>
      <c r="J91" s="224" t="s">
        <v>66</v>
      </c>
      <c r="K91" s="13"/>
      <c r="L91" s="218" t="s">
        <v>71</v>
      </c>
      <c r="M91" s="225"/>
    </row>
    <row r="92" ht="60.0" hidden="1" customHeight="1">
      <c r="A92" s="231">
        <v>43312.0</v>
      </c>
      <c r="B92" s="130" t="s">
        <v>327</v>
      </c>
      <c r="C92" s="8" t="s">
        <v>30</v>
      </c>
      <c r="D92" s="132" t="s">
        <v>386</v>
      </c>
      <c r="E92" s="132" t="s">
        <v>64</v>
      </c>
      <c r="F92" s="130" t="s">
        <v>16</v>
      </c>
      <c r="G92" s="130" t="s">
        <v>811</v>
      </c>
      <c r="H92" s="10" t="str">
        <f>HYPERLINK("https://docs.google.com/presentation/d/1eLaKuIDEwf2C7fEt3tG6qRAzhYfBwCxjzFjHp_TsWP0/edit#slide=id.g3c38e33942_2_597","Link")</f>
        <v>Link</v>
      </c>
      <c r="I92" s="217" t="s">
        <v>127</v>
      </c>
      <c r="J92" s="224" t="s">
        <v>66</v>
      </c>
      <c r="K92" s="13"/>
      <c r="L92" s="218" t="s">
        <v>68</v>
      </c>
      <c r="M92" s="225"/>
    </row>
    <row r="93" ht="60.0" hidden="1" customHeight="1">
      <c r="A93" s="231">
        <v>43343.0</v>
      </c>
      <c r="B93" s="130" t="s">
        <v>56</v>
      </c>
      <c r="C93" s="8" t="s">
        <v>20</v>
      </c>
      <c r="D93" s="132" t="s">
        <v>27</v>
      </c>
      <c r="E93" s="132" t="s">
        <v>22</v>
      </c>
      <c r="F93" s="130" t="s">
        <v>16</v>
      </c>
      <c r="G93" s="130" t="s">
        <v>812</v>
      </c>
      <c r="H93" s="10" t="str">
        <f>HYPERLINK("https://docs.google.com/presentation/d/1Z2WYK82p5y8Qwv1k720KnICSArv3VU8jzNO-6-21aAc/edit#slide=id.g40a563451e_0_0","Here")</f>
        <v>Here</v>
      </c>
      <c r="I93" s="217" t="s">
        <v>70</v>
      </c>
      <c r="J93" s="217"/>
      <c r="K93" s="13"/>
      <c r="L93" s="218" t="s">
        <v>71</v>
      </c>
      <c r="M93" s="225"/>
    </row>
    <row r="94" ht="45.0" hidden="1" customHeight="1">
      <c r="A94" s="231">
        <v>43347.0</v>
      </c>
      <c r="B94" s="130" t="s">
        <v>56</v>
      </c>
      <c r="C94" s="8" t="s">
        <v>72</v>
      </c>
      <c r="D94" s="23" t="s">
        <v>77</v>
      </c>
      <c r="E94" s="132" t="s">
        <v>22</v>
      </c>
      <c r="F94" s="130" t="s">
        <v>16</v>
      </c>
      <c r="G94" s="130" t="s">
        <v>813</v>
      </c>
      <c r="H94" s="10" t="str">
        <f>HYPERLINK("https://docs.google.com/presentation/d/1kvQEIjWVp7XakhKGN2j2xV9NamTAqiyrGB9z4WABlEM/edit#slide=id.g429fc176d0_1_0","link")</f>
        <v>link</v>
      </c>
      <c r="I94" s="217" t="s">
        <v>74</v>
      </c>
      <c r="J94" s="224" t="s">
        <v>66</v>
      </c>
      <c r="K94" s="13"/>
      <c r="L94" s="218" t="s">
        <v>71</v>
      </c>
      <c r="M94" s="225"/>
    </row>
    <row r="95" ht="60.0" hidden="1" customHeight="1">
      <c r="A95" s="231">
        <v>43339.0</v>
      </c>
      <c r="B95" s="130" t="s">
        <v>56</v>
      </c>
      <c r="C95" s="8" t="s">
        <v>49</v>
      </c>
      <c r="D95" s="23" t="s">
        <v>77</v>
      </c>
      <c r="E95" s="132" t="s">
        <v>22</v>
      </c>
      <c r="F95" s="130" t="s">
        <v>16</v>
      </c>
      <c r="G95" s="130" t="s">
        <v>814</v>
      </c>
      <c r="H95" s="10" t="str">
        <f>HYPERLINK("https://docs.google.com/presentation/d/1FFniYNDHvXAZAmdMnLeoHf0oKoJ89ZA_lyuSQsMhqEE/edit#slide=id.g40081d333a_0_0","here")</f>
        <v>here</v>
      </c>
      <c r="I95" s="217" t="s">
        <v>115</v>
      </c>
      <c r="J95" s="224" t="s">
        <v>66</v>
      </c>
      <c r="K95" s="13"/>
      <c r="L95" s="218" t="s">
        <v>71</v>
      </c>
      <c r="M95" s="225"/>
    </row>
    <row r="96" ht="60.0" customHeight="1">
      <c r="A96" s="231">
        <v>43320.0</v>
      </c>
      <c r="B96" s="130" t="s">
        <v>327</v>
      </c>
      <c r="C96" s="8" t="s">
        <v>26</v>
      </c>
      <c r="D96" s="132" t="s">
        <v>386</v>
      </c>
      <c r="E96" s="132" t="s">
        <v>22</v>
      </c>
      <c r="F96" s="130" t="s">
        <v>16</v>
      </c>
      <c r="G96" s="130" t="s">
        <v>815</v>
      </c>
      <c r="H96" s="10" t="str">
        <f>HYPERLINK("https://docs.google.com/presentation/d/1W92tbFgasyi_b19kHBe9203W8gNslOwo4VgY4WRggP8/edit#slide=id.g3fe5758b84_0_69","here")</f>
        <v>here</v>
      </c>
      <c r="I96" s="217" t="s">
        <v>346</v>
      </c>
      <c r="J96" s="217" t="s">
        <v>127</v>
      </c>
      <c r="K96" s="13"/>
      <c r="L96" s="218" t="s">
        <v>63</v>
      </c>
      <c r="M96" s="225"/>
    </row>
    <row r="97" ht="60.0" hidden="1" customHeight="1">
      <c r="A97" s="231">
        <v>43312.0</v>
      </c>
      <c r="B97" s="130" t="s">
        <v>327</v>
      </c>
      <c r="C97" s="8" t="s">
        <v>723</v>
      </c>
      <c r="D97" s="132" t="s">
        <v>386</v>
      </c>
      <c r="E97" s="132" t="s">
        <v>22</v>
      </c>
      <c r="F97" s="130" t="s">
        <v>16</v>
      </c>
      <c r="G97" s="130" t="s">
        <v>816</v>
      </c>
      <c r="H97" s="10" t="str">
        <f>HYPERLINK("https://docs.google.com/presentation/d/1s__e3dKe-OvW_FRmIeU_64kUtUKXp3dI5pxjIhaxiM4/edit#slide=id.g3df8161a58_0_0","here")</f>
        <v>here</v>
      </c>
      <c r="I97" s="224" t="s">
        <v>346</v>
      </c>
      <c r="J97" s="224" t="s">
        <v>66</v>
      </c>
      <c r="K97" s="13"/>
      <c r="L97" s="218" t="s">
        <v>63</v>
      </c>
      <c r="M97" s="225"/>
    </row>
    <row r="98" ht="60.0" hidden="1" customHeight="1">
      <c r="A98" s="231">
        <v>43227.0</v>
      </c>
      <c r="B98" s="130" t="s">
        <v>385</v>
      </c>
      <c r="C98" s="8" t="s">
        <v>49</v>
      </c>
      <c r="D98" s="132" t="s">
        <v>386</v>
      </c>
      <c r="E98" s="132" t="s">
        <v>22</v>
      </c>
      <c r="F98" s="130" t="s">
        <v>16</v>
      </c>
      <c r="G98" s="130" t="s">
        <v>817</v>
      </c>
      <c r="H98" s="10" t="str">
        <f>HYPERLINK("https://docs.google.com/presentation/d/1FFniYNDHvXAZAmdMnLeoHf0oKoJ89ZA_lyuSQsMhqEE/edit?zx=y89rv4uu2jjp#slide=id.g3fe43ccca2_0_0","here")</f>
        <v>here</v>
      </c>
      <c r="I98" s="217" t="s">
        <v>66</v>
      </c>
      <c r="J98" s="217" t="s">
        <v>66</v>
      </c>
      <c r="K98" s="13"/>
      <c r="L98" s="218" t="s">
        <v>63</v>
      </c>
      <c r="M98" s="225"/>
    </row>
    <row r="99" ht="60.0" hidden="1" customHeight="1">
      <c r="A99" s="231">
        <v>43304.0</v>
      </c>
      <c r="B99" s="130" t="s">
        <v>75</v>
      </c>
      <c r="C99" s="8" t="s">
        <v>57</v>
      </c>
      <c r="D99" s="132" t="s">
        <v>265</v>
      </c>
      <c r="E99" s="132" t="s">
        <v>22</v>
      </c>
      <c r="F99" s="130" t="s">
        <v>16</v>
      </c>
      <c r="G99" s="130" t="s">
        <v>818</v>
      </c>
      <c r="H99" s="10" t="str">
        <f>HYPERLINK("https://docs.google.com/presentation/d/10tViEjDVJEJwtRCfxOluNk4dRPql1TrLF-7_lfHPD9g/edit#slide=id.g3a34dc162d_0_13","here")</f>
        <v>here</v>
      </c>
      <c r="I99" s="217" t="s">
        <v>717</v>
      </c>
      <c r="J99" s="224" t="s">
        <v>66</v>
      </c>
      <c r="K99" s="13"/>
      <c r="L99" s="218" t="s">
        <v>68</v>
      </c>
      <c r="M99" s="225"/>
    </row>
    <row r="100" ht="60.0" hidden="1" customHeight="1">
      <c r="A100" s="231">
        <v>43304.0</v>
      </c>
      <c r="B100" s="130" t="s">
        <v>75</v>
      </c>
      <c r="C100" s="8" t="s">
        <v>57</v>
      </c>
      <c r="D100" s="132" t="s">
        <v>265</v>
      </c>
      <c r="E100" s="132" t="s">
        <v>22</v>
      </c>
      <c r="F100" s="130" t="s">
        <v>16</v>
      </c>
      <c r="G100" s="130" t="s">
        <v>819</v>
      </c>
      <c r="H100" s="10" t="str">
        <f t="shared" ref="H100:H101" si="3">HYPERLINK("https://docs.google.com/presentation/d/1h9lauoqG8xu6ZxnQ4TJLKZdZAc4rTHJw9HzPKEZmkEY/edit#slide=id.g3d141884cb_4_19","here")</f>
        <v>here</v>
      </c>
      <c r="I100" s="217" t="s">
        <v>717</v>
      </c>
      <c r="J100" s="224"/>
      <c r="K100" s="13"/>
      <c r="L100" s="218" t="s">
        <v>68</v>
      </c>
      <c r="M100" s="225"/>
    </row>
    <row r="101" ht="60.0" hidden="1" customHeight="1">
      <c r="A101" s="231">
        <v>43304.0</v>
      </c>
      <c r="B101" s="130" t="s">
        <v>75</v>
      </c>
      <c r="C101" s="8" t="s">
        <v>57</v>
      </c>
      <c r="D101" s="132" t="s">
        <v>265</v>
      </c>
      <c r="E101" s="132" t="s">
        <v>22</v>
      </c>
      <c r="F101" s="130" t="s">
        <v>16</v>
      </c>
      <c r="G101" s="130" t="s">
        <v>820</v>
      </c>
      <c r="H101" s="10" t="str">
        <f t="shared" si="3"/>
        <v>here</v>
      </c>
      <c r="I101" s="217" t="s">
        <v>717</v>
      </c>
      <c r="J101" s="224"/>
      <c r="K101" s="13"/>
      <c r="L101" s="218" t="s">
        <v>68</v>
      </c>
      <c r="M101" s="225"/>
    </row>
    <row r="102" ht="60.0" hidden="1" customHeight="1">
      <c r="A102" s="231">
        <v>43304.0</v>
      </c>
      <c r="B102" s="130" t="s">
        <v>75</v>
      </c>
      <c r="C102" s="8" t="s">
        <v>57</v>
      </c>
      <c r="D102" s="132" t="s">
        <v>265</v>
      </c>
      <c r="E102" s="132" t="s">
        <v>22</v>
      </c>
      <c r="F102" s="130" t="s">
        <v>16</v>
      </c>
      <c r="G102" s="130" t="s">
        <v>821</v>
      </c>
      <c r="H102" s="10" t="str">
        <f>HYPERLINK("https://docs.google.com/presentation/d/10tViEjDVJEJwtRCfxOluNk4dRPql1TrLF-7_lfHPD9g/edit#slide=id.p51","here")</f>
        <v>here</v>
      </c>
      <c r="I102" s="217" t="s">
        <v>717</v>
      </c>
      <c r="J102" s="224"/>
      <c r="K102" s="13"/>
      <c r="L102" s="218" t="s">
        <v>68</v>
      </c>
      <c r="M102" s="225"/>
    </row>
    <row r="103" ht="60.0" hidden="1" customHeight="1">
      <c r="A103" s="231">
        <v>43227.0</v>
      </c>
      <c r="B103" s="130" t="s">
        <v>385</v>
      </c>
      <c r="C103" s="8" t="s">
        <v>49</v>
      </c>
      <c r="D103" s="132" t="s">
        <v>386</v>
      </c>
      <c r="E103" s="132" t="s">
        <v>22</v>
      </c>
      <c r="F103" s="130" t="s">
        <v>16</v>
      </c>
      <c r="G103" s="130" t="s">
        <v>822</v>
      </c>
      <c r="H103" s="10" t="str">
        <f>HYPERLINK("https://docs.google.com/presentation/d/1FFniYNDHvXAZAmdMnLeoHf0oKoJ89ZA_lyuSQsMhqEE/edit#slide=id.g3997c6a624_0_399","here")</f>
        <v>here</v>
      </c>
      <c r="I103" s="217" t="s">
        <v>66</v>
      </c>
      <c r="J103" s="224"/>
      <c r="K103" s="13"/>
      <c r="L103" s="218" t="s">
        <v>68</v>
      </c>
      <c r="M103" s="225"/>
    </row>
    <row r="104" ht="60.0" hidden="1" customHeight="1">
      <c r="A104" s="231">
        <v>43227.0</v>
      </c>
      <c r="B104" s="130" t="s">
        <v>385</v>
      </c>
      <c r="C104" s="8" t="s">
        <v>26</v>
      </c>
      <c r="D104" s="132" t="s">
        <v>386</v>
      </c>
      <c r="E104" s="132" t="s">
        <v>64</v>
      </c>
      <c r="F104" s="130" t="s">
        <v>16</v>
      </c>
      <c r="G104" s="130" t="s">
        <v>823</v>
      </c>
      <c r="H104" s="10" t="str">
        <f>HYPERLINK("https://docs.google.com/presentation/d/1rXx9xCQUaE0dviRZHYUD2ArWq7rRmSDm5FJ6NIZ19Do/edit#slide=id.g39a132a157_3_0","here")</f>
        <v>here</v>
      </c>
      <c r="I104" s="217" t="s">
        <v>74</v>
      </c>
      <c r="J104" s="224"/>
      <c r="K104" s="13"/>
      <c r="L104" s="218" t="s">
        <v>68</v>
      </c>
      <c r="M104" s="225"/>
    </row>
    <row r="105" ht="48.75" hidden="1" customHeight="1">
      <c r="A105" s="231">
        <v>43209.0</v>
      </c>
      <c r="B105" s="130" t="s">
        <v>385</v>
      </c>
      <c r="C105" s="8" t="s">
        <v>26</v>
      </c>
      <c r="D105" s="132" t="s">
        <v>386</v>
      </c>
      <c r="E105" s="132" t="s">
        <v>22</v>
      </c>
      <c r="F105" s="130" t="s">
        <v>16</v>
      </c>
      <c r="G105" s="130" t="s">
        <v>824</v>
      </c>
      <c r="H105" s="10" t="str">
        <f>HYPERLINK("https://docs.google.com/presentation/d/1Aei9oHmpeJlSL97pu1tNOV7snQ2lukt4BIzvN18zn0w/edit#slide=id.g3cc21d80d6_1_0","here")</f>
        <v>here</v>
      </c>
      <c r="I105" s="217" t="s">
        <v>66</v>
      </c>
      <c r="J105" s="224"/>
      <c r="K105" s="13"/>
      <c r="L105" s="218" t="s">
        <v>68</v>
      </c>
      <c r="M105" s="225"/>
    </row>
    <row r="106" ht="60.0" hidden="1" customHeight="1">
      <c r="A106" s="231">
        <v>43210.0</v>
      </c>
      <c r="B106" s="130" t="s">
        <v>385</v>
      </c>
      <c r="C106" s="8" t="s">
        <v>20</v>
      </c>
      <c r="D106" s="132" t="s">
        <v>81</v>
      </c>
      <c r="E106" s="132" t="s">
        <v>64</v>
      </c>
      <c r="F106" s="130" t="s">
        <v>16</v>
      </c>
      <c r="G106" s="130" t="s">
        <v>825</v>
      </c>
      <c r="H106" s="10" t="str">
        <f>HYPERLINK("https://docs.google.com/presentation/d/1Z2WYK82p5y8Qwv1k720KnICSArv3VU8jzNO-6-21aAc/edit#slide=id.g3997c6a624_0_1062","here")</f>
        <v>here</v>
      </c>
      <c r="I106" s="217" t="s">
        <v>70</v>
      </c>
      <c r="J106" s="224"/>
      <c r="K106" s="13"/>
      <c r="L106" s="218" t="s">
        <v>68</v>
      </c>
      <c r="M106" s="225"/>
    </row>
    <row r="107" ht="60.0" hidden="1" customHeight="1">
      <c r="A107" s="231">
        <v>43283.0</v>
      </c>
      <c r="B107" s="130" t="s">
        <v>385</v>
      </c>
      <c r="C107" s="8" t="s">
        <v>57</v>
      </c>
      <c r="D107" s="132" t="s">
        <v>89</v>
      </c>
      <c r="E107" s="132" t="s">
        <v>15</v>
      </c>
      <c r="F107" s="130" t="s">
        <v>16</v>
      </c>
      <c r="G107" s="130" t="s">
        <v>826</v>
      </c>
      <c r="H107" s="10" t="str">
        <f>HYPERLINK("https://docs.google.com/presentation/d/1qNOVIdEL_fzEykX6nl6xwJM3OFxsW6mtxLOFyoVyRBE/edit#slide=id.g3d427ad3c4_1_0","here")</f>
        <v>here</v>
      </c>
      <c r="I107" s="217" t="s">
        <v>717</v>
      </c>
      <c r="J107" s="224"/>
      <c r="K107" s="13"/>
      <c r="L107" s="218" t="s">
        <v>68</v>
      </c>
      <c r="M107" s="225"/>
    </row>
    <row r="108" ht="34.5" hidden="1" customHeight="1">
      <c r="A108" s="231">
        <v>43283.0</v>
      </c>
      <c r="B108" s="130" t="s">
        <v>385</v>
      </c>
      <c r="C108" s="8" t="s">
        <v>57</v>
      </c>
      <c r="D108" s="132" t="s">
        <v>386</v>
      </c>
      <c r="E108" s="132" t="s">
        <v>22</v>
      </c>
      <c r="F108" s="130" t="s">
        <v>16</v>
      </c>
      <c r="G108" s="130" t="s">
        <v>827</v>
      </c>
      <c r="H108" s="10" t="str">
        <f>HYPERLINK("https://docs.google.com/presentation/d/10tViEjDVJEJwtRCfxOluNk4dRPql1TrLF-7_lfHPD9g/edit#slide=id.p50","here")</f>
        <v>here</v>
      </c>
      <c r="I108" s="217" t="s">
        <v>717</v>
      </c>
      <c r="J108" s="224"/>
      <c r="K108" s="13"/>
      <c r="L108" s="218" t="s">
        <v>68</v>
      </c>
      <c r="M108" s="225"/>
    </row>
    <row r="109" ht="60.0" hidden="1" customHeight="1">
      <c r="A109" s="231">
        <v>43291.0</v>
      </c>
      <c r="B109" s="130" t="s">
        <v>385</v>
      </c>
      <c r="C109" s="8" t="s">
        <v>723</v>
      </c>
      <c r="D109" s="132" t="s">
        <v>386</v>
      </c>
      <c r="E109" s="132" t="s">
        <v>15</v>
      </c>
      <c r="F109" s="130" t="s">
        <v>16</v>
      </c>
      <c r="G109" s="130" t="s">
        <v>828</v>
      </c>
      <c r="H109" s="10" t="str">
        <f>HYPERLINK("https://docs.google.com/presentation/d/1s__e3dKe-OvW_FRmIeU_64kUtUKXp3dI5pxjIhaxiM4/edit#slide=id.g3997c6a624_0_1057","here")</f>
        <v>here</v>
      </c>
      <c r="I109" s="224" t="s">
        <v>346</v>
      </c>
      <c r="J109" s="224"/>
      <c r="K109" s="13"/>
      <c r="L109" s="218" t="s">
        <v>63</v>
      </c>
      <c r="M109" s="225"/>
    </row>
    <row r="110" ht="60.0" hidden="1" customHeight="1">
      <c r="A110" s="231">
        <v>43293.0</v>
      </c>
      <c r="B110" s="130" t="s">
        <v>385</v>
      </c>
      <c r="C110" s="8" t="s">
        <v>20</v>
      </c>
      <c r="D110" s="132" t="s">
        <v>81</v>
      </c>
      <c r="E110" s="132" t="s">
        <v>22</v>
      </c>
      <c r="F110" s="130" t="s">
        <v>16</v>
      </c>
      <c r="G110" s="130" t="s">
        <v>829</v>
      </c>
      <c r="H110" s="10" t="str">
        <f>HYPERLINK("https://docs.google.com/presentation/d/1Z2WYK82p5y8Qwv1k720KnICSArv3VU8jzNO-6-21aAc/edit#slide=id.g3cfc611b12_1_0","here")</f>
        <v>here</v>
      </c>
      <c r="I110" s="217" t="s">
        <v>70</v>
      </c>
      <c r="J110" s="224"/>
      <c r="K110" s="13"/>
      <c r="L110" s="218" t="s">
        <v>68</v>
      </c>
      <c r="M110" s="225"/>
    </row>
    <row r="111" ht="60.0" hidden="1" customHeight="1">
      <c r="A111" s="231"/>
      <c r="B111" s="130"/>
      <c r="C111" s="8"/>
      <c r="D111" s="132"/>
      <c r="E111" s="132"/>
      <c r="F111" s="130"/>
      <c r="G111" s="130"/>
      <c r="H111" s="13"/>
      <c r="I111" s="217"/>
      <c r="J111" s="224"/>
      <c r="K111" s="13"/>
      <c r="L111" s="13"/>
      <c r="M111" s="225"/>
    </row>
    <row r="112" ht="60.0" hidden="1" customHeight="1">
      <c r="A112" s="231"/>
      <c r="B112" s="130"/>
      <c r="C112" s="8"/>
      <c r="D112" s="132"/>
      <c r="E112" s="132"/>
      <c r="F112" s="130"/>
      <c r="G112" s="130"/>
      <c r="H112" s="13"/>
      <c r="I112" s="217"/>
      <c r="J112" s="224"/>
      <c r="K112" s="13"/>
      <c r="L112" s="13"/>
      <c r="M112" s="225"/>
    </row>
    <row r="113" ht="60.0" hidden="1" customHeight="1">
      <c r="A113" s="231"/>
      <c r="B113" s="130"/>
      <c r="C113" s="8"/>
      <c r="D113" s="132"/>
      <c r="E113" s="132"/>
      <c r="F113" s="130"/>
      <c r="G113" s="130"/>
      <c r="H113" s="13"/>
      <c r="I113" s="217"/>
      <c r="J113" s="224"/>
      <c r="K113" s="13"/>
      <c r="L113" s="13"/>
      <c r="M113" s="225"/>
    </row>
    <row r="114" ht="60.0" hidden="1" customHeight="1">
      <c r="A114" s="231"/>
      <c r="B114" s="130"/>
      <c r="C114" s="8"/>
      <c r="D114" s="132"/>
      <c r="E114" s="132"/>
      <c r="F114" s="130"/>
      <c r="G114" s="130"/>
      <c r="H114" s="13"/>
      <c r="I114" s="217"/>
      <c r="J114" s="224"/>
      <c r="K114" s="13"/>
      <c r="L114" s="13"/>
      <c r="M114" s="225"/>
    </row>
    <row r="115" ht="60.0" hidden="1" customHeight="1">
      <c r="A115" s="231"/>
      <c r="B115" s="130"/>
      <c r="C115" s="8"/>
      <c r="D115" s="132"/>
      <c r="E115" s="132"/>
      <c r="F115" s="130"/>
      <c r="G115" s="130"/>
      <c r="H115" s="13"/>
      <c r="I115" s="217"/>
      <c r="J115" s="224"/>
      <c r="K115" s="13"/>
      <c r="L115" s="13"/>
      <c r="M115" s="225"/>
    </row>
    <row r="116" ht="60.0" hidden="1" customHeight="1">
      <c r="A116" s="231"/>
      <c r="B116" s="130"/>
      <c r="C116" s="8"/>
      <c r="D116" s="132"/>
      <c r="E116" s="132"/>
      <c r="F116" s="130"/>
      <c r="G116" s="130"/>
      <c r="H116" s="13"/>
      <c r="I116" s="217"/>
      <c r="J116" s="224"/>
      <c r="K116" s="13"/>
      <c r="L116" s="13"/>
      <c r="M116" s="225"/>
    </row>
    <row r="117" ht="60.0" hidden="1" customHeight="1">
      <c r="A117" s="231"/>
      <c r="B117" s="130"/>
      <c r="C117" s="8"/>
      <c r="D117" s="132"/>
      <c r="E117" s="132"/>
      <c r="F117" s="130"/>
      <c r="G117" s="130"/>
      <c r="H117" s="13"/>
      <c r="I117" s="217"/>
      <c r="J117" s="224"/>
      <c r="K117" s="13"/>
      <c r="L117" s="13"/>
      <c r="M117" s="225"/>
    </row>
    <row r="118" ht="60.0" hidden="1" customHeight="1">
      <c r="A118" s="231"/>
      <c r="B118" s="130"/>
      <c r="C118" s="8"/>
      <c r="D118" s="132"/>
      <c r="E118" s="132"/>
      <c r="F118" s="130"/>
      <c r="G118" s="130"/>
      <c r="H118" s="13"/>
      <c r="I118" s="217"/>
      <c r="J118" s="224"/>
      <c r="K118" s="13"/>
      <c r="L118" s="13"/>
      <c r="M118" s="225"/>
    </row>
    <row r="119" ht="60.0" hidden="1" customHeight="1">
      <c r="A119" s="231"/>
      <c r="B119" s="130"/>
      <c r="C119" s="8"/>
      <c r="D119" s="132"/>
      <c r="E119" s="132"/>
      <c r="F119" s="130"/>
      <c r="G119" s="130"/>
      <c r="H119" s="13"/>
      <c r="I119" s="217"/>
      <c r="J119" s="224"/>
      <c r="K119" s="13"/>
      <c r="L119" s="13"/>
      <c r="M119" s="225"/>
    </row>
    <row r="120" ht="60.0" hidden="1" customHeight="1">
      <c r="A120" s="231"/>
      <c r="B120" s="130"/>
      <c r="C120" s="8"/>
      <c r="D120" s="132"/>
      <c r="E120" s="132"/>
      <c r="F120" s="130"/>
      <c r="G120" s="130"/>
      <c r="H120" s="13"/>
      <c r="I120" s="217"/>
      <c r="J120" s="224"/>
      <c r="K120" s="13"/>
      <c r="L120" s="13"/>
      <c r="M120" s="225"/>
    </row>
  </sheetData>
  <autoFilter ref="$A$1:$M$120">
    <filterColumn colId="9">
      <filters>
        <filter val="院长"/>
      </filters>
    </filterColumn>
  </autoFilter>
  <customSheetViews>
    <customSheetView guid="{0373266D-FDE9-402D-B356-CC4A29DEE2C4}" filter="1" showAutoFilter="1">
      <autoFilter ref="$A$1:$I$120">
        <filterColumn colId="8">
          <filters blank="1">
            <filter val="小熊"/>
            <filter val="邦邦"/>
            <filter val="芳梅"/>
            <filter val="李果"/>
            <filter val="嘉琨"/>
            <filter val="林峰"/>
            <filter val="吉吉"/>
            <filter val="文亭"/>
            <filter val="敏敏"/>
            <filter val="浦喆"/>
            <filter val="院长"/>
          </filters>
        </filterColumn>
      </autoFilter>
    </customSheetView>
    <customSheetView guid="{E0F697A7-8F80-4AD9-9696-95D1452F7CEA}" filter="1" showAutoFilter="1">
      <autoFilter ref="$I$1:$I$120"/>
    </customSheetView>
    <customSheetView guid="{7E71B5F7-61AF-4C93-AAAA-D905E381EEB1}" filter="1" showAutoFilter="1">
      <autoFilter ref="$A$1:$K$84"/>
    </customSheetView>
    <customSheetView guid="{35A93920-2C98-4ACF-95FD-9E549BB0A80C}" filter="1" showAutoFilter="1">
      <autoFilter ref="$A$1:$M$120"/>
    </customSheetView>
    <customSheetView guid="{5D296ECC-B345-43FC-8C5D-D13179378379}" filter="1" showAutoFilter="1">
      <autoFilter ref="$A$1:$L$110"/>
    </customSheetView>
    <customSheetView guid="{75472B64-22E8-45FC-A839-460B446DB55F}" filter="1" showAutoFilter="1">
      <autoFilter ref="$A$1:$I$120"/>
    </customSheetView>
    <customSheetView guid="{7CD3BC90-8565-4EF1-83E0-02DA5A629FB7}" filter="1" showAutoFilter="1">
      <autoFilter ref="$A$1:$K$110">
        <filterColumn colId="8">
          <filters>
            <filter val="邦邦"/>
          </filters>
        </filterColumn>
      </autoFilter>
    </customSheetView>
    <customSheetView guid="{029C2313-9411-4E27-907A-EFD996D6C4E5}" filter="1" showAutoFilter="1">
      <autoFilter ref="$F$1:$I$120">
        <filterColumn colId="0">
          <filters>
            <filter val="NA"/>
          </filters>
        </filterColumn>
      </autoFilter>
    </customSheetView>
    <customSheetView guid="{BEBD1EEB-1477-4C60-A76F-C1C20538AC33}" filter="1" showAutoFilter="1">
      <autoFilter ref="$A$1:$M$120">
        <filterColumn colId="2">
          <filters>
            <filter val="6.Display/Touch"/>
            <filter val="10.USB-C"/>
            <filter val="2.Power"/>
          </filters>
        </filterColumn>
      </autoFilter>
    </customSheetView>
    <customSheetView guid="{B6A86415-DF48-45F1-A991-B23046677151}" filter="1" showAutoFilter="1">
      <autoFilter ref="$A$1:$M$120"/>
    </customSheetView>
    <customSheetView guid="{4E722777-354C-41C4-BDAF-3C065BD42EC8}" filter="1" showAutoFilter="1">
      <autoFilter ref="$A$1:$K$115"/>
    </customSheetView>
    <customSheetView guid="{3EDA368C-82AF-4F91-99D0-447C6D0C3AC0}" filter="1" showAutoFilter="1">
      <autoFilter ref="$A$1:$I$120"/>
    </customSheetView>
    <customSheetView guid="{14910ABA-25C5-4249-BD6C-ACF0CEBAD616}" filter="1" showAutoFilter="1">
      <autoFilter ref="$A$1:$I$120"/>
    </customSheetView>
  </customSheetViews>
  <conditionalFormatting sqref="F2:F120">
    <cfRule type="containsText" dxfId="0" priority="1" operator="containsText" text="Closed">
      <formula>NOT(ISERROR(SEARCH(("Closed"),(F2))))</formula>
    </cfRule>
  </conditionalFormatting>
  <conditionalFormatting sqref="F2:F120">
    <cfRule type="containsText" dxfId="3" priority="2" operator="containsText" text="Monitor">
      <formula>NOT(ISERROR(SEARCH(("Monitor"),(F2))))</formula>
    </cfRule>
  </conditionalFormatting>
  <conditionalFormatting sqref="F2:F120">
    <cfRule type="containsText" dxfId="4" priority="3" operator="containsText" text="Open">
      <formula>NOT(ISERROR(SEARCH(("Open"),(F2))))</formula>
    </cfRule>
  </conditionalFormatting>
  <conditionalFormatting sqref="E2:E120">
    <cfRule type="containsText" dxfId="6" priority="4" operator="containsText" text="S1">
      <formula>NOT(ISERROR(SEARCH(("S1"),(E2))))</formula>
    </cfRule>
  </conditionalFormatting>
  <conditionalFormatting sqref="E2:E120">
    <cfRule type="containsText" dxfId="1" priority="5" operator="containsText" text="S2">
      <formula>NOT(ISERROR(SEARCH(("S2"),(E2))))</formula>
    </cfRule>
  </conditionalFormatting>
  <dataValidations>
    <dataValidation type="list" allowBlank="1" sqref="B2:B120">
      <formula1>Option!$C$2:$C$16</formula1>
    </dataValidation>
    <dataValidation type="list" allowBlank="1" sqref="I2:J120">
      <formula1>Option!$K$2:$K$17</formula1>
    </dataValidation>
    <dataValidation type="list" allowBlank="1" sqref="C2:C120">
      <formula1>Option!$E$2:$E$13</formula1>
    </dataValidation>
    <dataValidation type="list" allowBlank="1" sqref="D2:D14 D16:D120">
      <formula1>Option!$D$2:$D$15</formula1>
    </dataValidation>
    <dataValidation type="list" allowBlank="1" sqref="F2:F120">
      <formula1>Option!$F$2:$F$5</formula1>
    </dataValidation>
    <dataValidation type="list" allowBlank="1" sqref="L2:L118">
      <formula1>"1.SCH,2.PCB,3.BOM,4.Parameter,5.SW/ME/RF/ANT/Component/MFG/Vendor,6.No Change"</formula1>
    </dataValidation>
    <dataValidation type="list" allowBlank="1" sqref="M2:M120">
      <formula1>Option!$L$2:$L$16</formula1>
    </dataValidation>
    <dataValidation type="list" allowBlank="1" sqref="E2:E120">
      <formula1>Option!$G$2:$G$5</formula1>
    </dataValidation>
    <dataValidation type="list" allowBlank="1" sqref="L119:L120">
      <formula1>"1.SCH,2.PCB,3.BOM,4.Parameter,5.SW/ME/RF/ANT/MFG,6.No Change"</formula1>
    </dataValidation>
  </dataValidations>
  <hyperlinks>
    <hyperlink r:id="rId4" ref="L4"/>
    <hyperlink r:id="rId5" ref="L11"/>
    <hyperlink r:id="rId6" ref="L12"/>
    <hyperlink r:id="rId7" ref="L13"/>
    <hyperlink r:id="rId8" ref="L14"/>
    <hyperlink r:id="rId9" ref="L15"/>
    <hyperlink r:id="rId10" ref="L16"/>
    <hyperlink r:id="rId11" ref="L17"/>
    <hyperlink r:id="rId12" ref="L22"/>
    <hyperlink r:id="rId13" ref="L23"/>
    <hyperlink r:id="rId14" ref="L26"/>
    <hyperlink r:id="rId15" ref="L34"/>
    <hyperlink r:id="rId16" ref="L38"/>
    <hyperlink r:id="rId17" ref="L39"/>
    <hyperlink r:id="rId18" ref="L43"/>
    <hyperlink r:id="rId19" ref="L44"/>
    <hyperlink r:id="rId20" ref="L47"/>
    <hyperlink r:id="rId21" ref="L48"/>
    <hyperlink r:id="rId22" ref="L51"/>
    <hyperlink r:id="rId23" ref="L54"/>
    <hyperlink r:id="rId24" ref="L58"/>
    <hyperlink r:id="rId25" ref="L59"/>
    <hyperlink r:id="rId26" ref="L60"/>
    <hyperlink r:id="rId27" ref="L62"/>
    <hyperlink r:id="rId28" ref="L66"/>
    <hyperlink r:id="rId29" ref="L67"/>
    <hyperlink r:id="rId30" ref="L68"/>
    <hyperlink r:id="rId31" ref="L72"/>
    <hyperlink r:id="rId32" ref="L73"/>
    <hyperlink r:id="rId33" ref="L76"/>
    <hyperlink r:id="rId34" ref="L77"/>
    <hyperlink r:id="rId35" ref="L82"/>
    <hyperlink r:id="rId36" ref="L83"/>
    <hyperlink r:id="rId37" ref="L84"/>
    <hyperlink r:id="rId38" ref="L85"/>
    <hyperlink r:id="rId39" ref="L88"/>
    <hyperlink r:id="rId40" ref="L89"/>
    <hyperlink r:id="rId41" ref="L91"/>
    <hyperlink r:id="rId42" ref="L93"/>
    <hyperlink r:id="rId43" ref="L94"/>
    <hyperlink r:id="rId44" ref="L95"/>
  </hyperlinks>
  <drawing r:id="rId45"/>
  <legacyDrawing r:id="rId46"/>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5.13" defaultRowHeight="15.0"/>
  <cols>
    <col customWidth="1" min="1" max="1" width="10.38"/>
    <col customWidth="1" min="2" max="2" width="10.88"/>
    <col customWidth="1" min="3" max="3" width="11.75"/>
    <col customWidth="1" min="4" max="4" width="14.5"/>
    <col customWidth="1" min="5" max="5" width="11.0"/>
    <col customWidth="1" min="6" max="6" width="10.0"/>
    <col customWidth="1" min="7" max="7" width="99.63"/>
    <col customWidth="1" min="8" max="8" width="7.38"/>
    <col customWidth="1" min="9" max="9" width="9.88"/>
    <col customWidth="1" min="10" max="10" width="12.38"/>
    <col customWidth="1" min="11" max="11" width="10.25"/>
    <col customWidth="1" min="12" max="12" width="18.38"/>
    <col customWidth="1" min="13" max="13" width="11.63"/>
    <col customWidth="1" min="14" max="14" width="13.0"/>
    <col customWidth="1" min="15" max="15" width="12.88"/>
  </cols>
  <sheetData>
    <row r="1" ht="24.0" customHeight="1">
      <c r="A1" s="4" t="s">
        <v>54</v>
      </c>
      <c r="B1" s="4" t="s">
        <v>1</v>
      </c>
      <c r="C1" s="4" t="s">
        <v>2</v>
      </c>
      <c r="D1" s="4" t="s">
        <v>3</v>
      </c>
      <c r="E1" s="4" t="s">
        <v>4</v>
      </c>
      <c r="F1" s="4" t="s">
        <v>5</v>
      </c>
      <c r="G1" s="4" t="s">
        <v>6</v>
      </c>
      <c r="H1" s="4" t="s">
        <v>7</v>
      </c>
      <c r="I1" s="3" t="s">
        <v>8</v>
      </c>
      <c r="J1" s="3" t="s">
        <v>9</v>
      </c>
      <c r="K1" s="4" t="s">
        <v>10</v>
      </c>
      <c r="L1" s="213" t="s">
        <v>11</v>
      </c>
      <c r="M1" s="4" t="s">
        <v>830</v>
      </c>
      <c r="N1" s="4" t="s">
        <v>831</v>
      </c>
      <c r="O1" s="213" t="s">
        <v>714</v>
      </c>
    </row>
    <row r="2" ht="133.5" customHeight="1">
      <c r="A2" s="234">
        <v>43887.0</v>
      </c>
      <c r="B2" s="235" t="s">
        <v>25</v>
      </c>
      <c r="C2" s="236" t="s">
        <v>76</v>
      </c>
      <c r="D2" s="237" t="s">
        <v>44</v>
      </c>
      <c r="E2" s="237" t="s">
        <v>22</v>
      </c>
      <c r="F2" s="179" t="s">
        <v>16</v>
      </c>
      <c r="G2" s="238" t="s">
        <v>832</v>
      </c>
      <c r="H2" s="239" t="str">
        <f>HYPERLINK("https://docs.google.com/presentation/d/1yR6mAvxeSmb-dollQ8nzi4TrJih69pG0zdNjcOgRfr4/edit#slide=id.g7e80d26f0f_0_26","link")</f>
        <v>link</v>
      </c>
      <c r="I2" s="18" t="s">
        <v>346</v>
      </c>
      <c r="J2" s="18" t="s">
        <v>66</v>
      </c>
      <c r="K2" s="13"/>
      <c r="L2" s="13" t="s">
        <v>71</v>
      </c>
      <c r="M2" s="240"/>
      <c r="N2" s="240"/>
      <c r="O2" s="225"/>
    </row>
    <row r="3" hidden="1">
      <c r="A3" s="234">
        <v>43802.0</v>
      </c>
      <c r="B3" s="235" t="s">
        <v>43</v>
      </c>
      <c r="C3" s="236" t="s">
        <v>49</v>
      </c>
      <c r="D3" s="237" t="s">
        <v>95</v>
      </c>
      <c r="E3" s="237" t="s">
        <v>64</v>
      </c>
      <c r="F3" s="179" t="s">
        <v>64</v>
      </c>
      <c r="G3" s="238" t="s">
        <v>833</v>
      </c>
      <c r="H3" s="239" t="str">
        <f>HYPERLINK("https://docs.google.com/presentation/d/1Pew254mN8lBgn_DZDlnPnAawaR0HrU5m0IprOv_1_Yc/edit#slide=id.g6be457794c_0_0","link")</f>
        <v>link</v>
      </c>
      <c r="I3" s="18" t="s">
        <v>115</v>
      </c>
      <c r="J3" s="18" t="s">
        <v>66</v>
      </c>
      <c r="K3" s="13"/>
      <c r="L3" s="13" t="s">
        <v>71</v>
      </c>
      <c r="M3" s="240"/>
      <c r="N3" s="240"/>
      <c r="O3" s="225"/>
    </row>
    <row r="4" ht="113.25" hidden="1" customHeight="1">
      <c r="A4" s="234">
        <v>43784.0</v>
      </c>
      <c r="B4" s="235" t="s">
        <v>25</v>
      </c>
      <c r="C4" s="236" t="s">
        <v>57</v>
      </c>
      <c r="D4" s="237" t="s">
        <v>58</v>
      </c>
      <c r="E4" s="237" t="s">
        <v>22</v>
      </c>
      <c r="F4" s="179" t="s">
        <v>16</v>
      </c>
      <c r="G4" s="238" t="s">
        <v>834</v>
      </c>
      <c r="H4" s="241"/>
      <c r="I4" s="18" t="s">
        <v>717</v>
      </c>
      <c r="J4" s="18" t="s">
        <v>717</v>
      </c>
      <c r="K4" s="13"/>
      <c r="L4" s="13" t="s">
        <v>71</v>
      </c>
      <c r="M4" s="240"/>
      <c r="N4" s="240"/>
      <c r="O4" s="225"/>
    </row>
    <row r="5" hidden="1">
      <c r="A5" s="234">
        <v>43769.0</v>
      </c>
      <c r="B5" s="235" t="s">
        <v>19</v>
      </c>
      <c r="C5" s="236" t="s">
        <v>57</v>
      </c>
      <c r="D5" s="237" t="s">
        <v>21</v>
      </c>
      <c r="E5" s="237" t="s">
        <v>22</v>
      </c>
      <c r="F5" s="179" t="s">
        <v>16</v>
      </c>
      <c r="G5" s="238" t="s">
        <v>835</v>
      </c>
      <c r="H5" s="239" t="str">
        <f>HYPERLINK("https://docs.google.com/presentation/d/1FlIzAwbdBn4uD-z0CImz_GC_9Uo_ClqEArbL2TMtzNY/edit#slide=id.g5c4fbca5dc_0_1","Link")</f>
        <v>Link</v>
      </c>
      <c r="I5" s="18" t="s">
        <v>717</v>
      </c>
      <c r="J5" s="18" t="s">
        <v>66</v>
      </c>
      <c r="K5" s="13"/>
      <c r="L5" s="13" t="s">
        <v>71</v>
      </c>
      <c r="M5" s="240"/>
      <c r="N5" s="240"/>
      <c r="O5" s="225"/>
    </row>
    <row r="6" ht="526.5" hidden="1" customHeight="1">
      <c r="A6" s="234">
        <v>43769.0</v>
      </c>
      <c r="B6" s="235" t="s">
        <v>19</v>
      </c>
      <c r="C6" s="236" t="s">
        <v>57</v>
      </c>
      <c r="D6" s="237" t="s">
        <v>21</v>
      </c>
      <c r="E6" s="237" t="s">
        <v>22</v>
      </c>
      <c r="F6" s="179" t="s">
        <v>16</v>
      </c>
      <c r="G6" s="238" t="s">
        <v>836</v>
      </c>
      <c r="H6" s="239" t="str">
        <f>HYPERLINK("https://docs.google.com/presentation/d/1zC0Soi4ra99aiufam7Vlv3r3GSNPeCVFPTTVLy37ZkA/edit?usp=sharing","Link")</f>
        <v>Link</v>
      </c>
      <c r="I6" s="18" t="s">
        <v>717</v>
      </c>
      <c r="J6" s="18" t="s">
        <v>66</v>
      </c>
      <c r="K6" s="13"/>
      <c r="L6" s="13" t="s">
        <v>71</v>
      </c>
      <c r="M6" s="240"/>
      <c r="N6" s="240"/>
      <c r="O6" s="225"/>
    </row>
    <row r="7" hidden="1">
      <c r="A7" s="234">
        <v>43761.0</v>
      </c>
      <c r="B7" s="235" t="s">
        <v>19</v>
      </c>
      <c r="C7" s="236" t="s">
        <v>36</v>
      </c>
      <c r="D7" s="237" t="s">
        <v>14</v>
      </c>
      <c r="E7" s="242" t="s">
        <v>22</v>
      </c>
      <c r="F7" s="179" t="s">
        <v>16</v>
      </c>
      <c r="G7" s="238" t="s">
        <v>837</v>
      </c>
      <c r="H7" s="239" t="str">
        <f>HYPERLINK("https://docs.google.com/presentation/d/158dHQnKrQ7mkkd8Uoa5D7vNDNvSC5NOdP6apGNeg9PU/edit#slide=id.g4057557fca_0_46","link")</f>
        <v>link</v>
      </c>
      <c r="I7" s="18" t="s">
        <v>66</v>
      </c>
      <c r="J7" s="18"/>
      <c r="K7" s="13"/>
      <c r="L7" s="13" t="s">
        <v>162</v>
      </c>
      <c r="M7" s="240"/>
      <c r="N7" s="240"/>
      <c r="O7" s="225"/>
    </row>
    <row r="8" hidden="1">
      <c r="A8" s="234">
        <v>43761.0</v>
      </c>
      <c r="B8" s="235" t="s">
        <v>19</v>
      </c>
      <c r="C8" s="236" t="s">
        <v>57</v>
      </c>
      <c r="D8" s="237" t="s">
        <v>58</v>
      </c>
      <c r="E8" s="242" t="s">
        <v>22</v>
      </c>
      <c r="F8" s="179" t="s">
        <v>16</v>
      </c>
      <c r="G8" s="238" t="s">
        <v>838</v>
      </c>
      <c r="H8" s="241"/>
      <c r="I8" s="18" t="s">
        <v>717</v>
      </c>
      <c r="J8" s="18"/>
      <c r="K8" s="13"/>
      <c r="L8" s="13" t="s">
        <v>71</v>
      </c>
      <c r="M8" s="240"/>
      <c r="N8" s="240"/>
      <c r="O8" s="225"/>
    </row>
    <row r="9" hidden="1">
      <c r="A9" s="234">
        <v>43748.0</v>
      </c>
      <c r="B9" s="235" t="s">
        <v>43</v>
      </c>
      <c r="C9" s="236" t="s">
        <v>57</v>
      </c>
      <c r="D9" s="237" t="s">
        <v>58</v>
      </c>
      <c r="E9" s="242" t="s">
        <v>22</v>
      </c>
      <c r="F9" s="179" t="s">
        <v>16</v>
      </c>
      <c r="G9" s="238" t="s">
        <v>839</v>
      </c>
      <c r="H9" s="241"/>
      <c r="I9" s="18" t="s">
        <v>717</v>
      </c>
      <c r="J9" s="18"/>
      <c r="K9" s="13"/>
      <c r="L9" s="13" t="s">
        <v>68</v>
      </c>
      <c r="M9" s="240"/>
      <c r="N9" s="240"/>
      <c r="O9" s="225"/>
    </row>
    <row r="10" hidden="1">
      <c r="A10" s="234">
        <v>43750.0</v>
      </c>
      <c r="B10" s="235" t="s">
        <v>43</v>
      </c>
      <c r="C10" s="236" t="s">
        <v>49</v>
      </c>
      <c r="D10" s="237" t="s">
        <v>27</v>
      </c>
      <c r="E10" s="242" t="s">
        <v>22</v>
      </c>
      <c r="F10" s="179" t="s">
        <v>16</v>
      </c>
      <c r="G10" s="238" t="s">
        <v>840</v>
      </c>
      <c r="H10" s="241"/>
      <c r="I10" s="18"/>
      <c r="J10" s="18"/>
      <c r="K10" s="13"/>
      <c r="L10" s="13" t="s">
        <v>68</v>
      </c>
      <c r="M10" s="240"/>
      <c r="N10" s="240"/>
      <c r="O10" s="225"/>
    </row>
    <row r="11" hidden="1">
      <c r="A11" s="234">
        <v>43748.0</v>
      </c>
      <c r="B11" s="235" t="s">
        <v>43</v>
      </c>
      <c r="C11" s="236" t="s">
        <v>20</v>
      </c>
      <c r="D11" s="237" t="s">
        <v>21</v>
      </c>
      <c r="E11" s="242" t="s">
        <v>22</v>
      </c>
      <c r="F11" s="179" t="s">
        <v>64</v>
      </c>
      <c r="G11" s="238" t="s">
        <v>841</v>
      </c>
      <c r="H11" s="241"/>
      <c r="I11" s="18" t="s">
        <v>70</v>
      </c>
      <c r="J11" s="18"/>
      <c r="K11" s="13"/>
      <c r="L11" s="13" t="s">
        <v>68</v>
      </c>
      <c r="M11" s="240"/>
      <c r="N11" s="240"/>
      <c r="O11" s="225"/>
    </row>
    <row r="12" hidden="1">
      <c r="A12" s="234">
        <v>43748.0</v>
      </c>
      <c r="B12" s="235" t="s">
        <v>43</v>
      </c>
      <c r="C12" s="236" t="s">
        <v>49</v>
      </c>
      <c r="D12" s="237" t="s">
        <v>58</v>
      </c>
      <c r="E12" s="242" t="s">
        <v>22</v>
      </c>
      <c r="F12" s="179" t="s">
        <v>64</v>
      </c>
      <c r="G12" s="238" t="s">
        <v>842</v>
      </c>
      <c r="H12" s="241"/>
      <c r="I12" s="18" t="s">
        <v>115</v>
      </c>
      <c r="J12" s="18" t="s">
        <v>70</v>
      </c>
      <c r="K12" s="13"/>
      <c r="L12" s="13" t="s">
        <v>71</v>
      </c>
      <c r="M12" s="240"/>
      <c r="N12" s="240"/>
      <c r="O12" s="225"/>
    </row>
    <row r="13" hidden="1">
      <c r="A13" s="234">
        <v>43748.0</v>
      </c>
      <c r="B13" s="235" t="s">
        <v>43</v>
      </c>
      <c r="C13" s="236" t="s">
        <v>57</v>
      </c>
      <c r="D13" s="237" t="s">
        <v>58</v>
      </c>
      <c r="E13" s="242" t="s">
        <v>22</v>
      </c>
      <c r="F13" s="179" t="s">
        <v>16</v>
      </c>
      <c r="G13" s="238" t="s">
        <v>843</v>
      </c>
      <c r="H13" s="241"/>
      <c r="I13" s="18" t="s">
        <v>717</v>
      </c>
      <c r="J13" s="18" t="s">
        <v>115</v>
      </c>
      <c r="K13" s="10" t="str">
        <f>HYPERLINK("https://docs.google.com/presentation/d/1wXNVNiYVzampz8g98uV4OQRzNUtRUV7ne9qvgdBUqto/edit?usp=sharing","Link")</f>
        <v>Link</v>
      </c>
      <c r="L13" s="13" t="s">
        <v>71</v>
      </c>
      <c r="M13" s="240"/>
      <c r="N13" s="240"/>
      <c r="O13" s="225"/>
    </row>
    <row r="14" hidden="1">
      <c r="A14" s="234">
        <v>43737.0</v>
      </c>
      <c r="B14" s="235" t="s">
        <v>43</v>
      </c>
      <c r="C14" s="236" t="s">
        <v>30</v>
      </c>
      <c r="D14" s="237" t="s">
        <v>58</v>
      </c>
      <c r="E14" s="242" t="s">
        <v>22</v>
      </c>
      <c r="F14" s="179" t="s">
        <v>16</v>
      </c>
      <c r="G14" s="238" t="s">
        <v>844</v>
      </c>
      <c r="H14" s="239" t="str">
        <f>HYPERLINK("https://docs.google.com/presentation/d/1Phif2cdhcUsNBkArCI2lIh4ygdF0D5fEgxWEEaR_hT0/edit#slide=id.g2bc80d657e_0_97","link")</f>
        <v>link</v>
      </c>
      <c r="I14" s="18" t="s">
        <v>127</v>
      </c>
      <c r="J14" s="18" t="s">
        <v>66</v>
      </c>
      <c r="K14" s="13"/>
      <c r="L14" s="13" t="s">
        <v>71</v>
      </c>
      <c r="M14" s="240"/>
      <c r="N14" s="240"/>
      <c r="O14" s="225"/>
    </row>
    <row r="15" hidden="1">
      <c r="A15" s="234">
        <v>43737.0</v>
      </c>
      <c r="B15" s="235" t="s">
        <v>43</v>
      </c>
      <c r="C15" s="236" t="s">
        <v>26</v>
      </c>
      <c r="D15" s="237" t="s">
        <v>58</v>
      </c>
      <c r="E15" s="242" t="s">
        <v>22</v>
      </c>
      <c r="F15" s="179" t="s">
        <v>16</v>
      </c>
      <c r="G15" s="238" t="s">
        <v>845</v>
      </c>
      <c r="H15" s="241"/>
      <c r="I15" s="18" t="s">
        <v>717</v>
      </c>
      <c r="J15" s="18" t="s">
        <v>66</v>
      </c>
      <c r="K15" s="13"/>
      <c r="L15" s="13" t="s">
        <v>71</v>
      </c>
      <c r="M15" s="240"/>
      <c r="N15" s="240"/>
      <c r="O15" s="225"/>
    </row>
    <row r="16" hidden="1">
      <c r="A16" s="234">
        <v>43737.0</v>
      </c>
      <c r="B16" s="235" t="s">
        <v>43</v>
      </c>
      <c r="C16" s="236" t="s">
        <v>83</v>
      </c>
      <c r="D16" s="237" t="s">
        <v>58</v>
      </c>
      <c r="E16" s="242" t="s">
        <v>22</v>
      </c>
      <c r="F16" s="179" t="s">
        <v>16</v>
      </c>
      <c r="G16" s="238" t="s">
        <v>846</v>
      </c>
      <c r="H16" s="241"/>
      <c r="I16" s="18" t="s">
        <v>66</v>
      </c>
      <c r="J16" s="18"/>
      <c r="K16" s="13"/>
      <c r="L16" s="13" t="s">
        <v>71</v>
      </c>
      <c r="M16" s="240"/>
      <c r="N16" s="240"/>
      <c r="O16" s="225"/>
    </row>
    <row r="17" hidden="1">
      <c r="A17" s="234">
        <v>43726.0</v>
      </c>
      <c r="B17" s="235" t="s">
        <v>43</v>
      </c>
      <c r="C17" s="236" t="s">
        <v>49</v>
      </c>
      <c r="D17" s="237" t="s">
        <v>58</v>
      </c>
      <c r="E17" s="242" t="s">
        <v>22</v>
      </c>
      <c r="F17" s="179" t="s">
        <v>16</v>
      </c>
      <c r="G17" s="238" t="s">
        <v>847</v>
      </c>
      <c r="H17" s="239" t="str">
        <f>HYPERLINK("https://docs.google.com/presentation/d/1-HvIsWy3sh8zJxfg1-d-IpDjsg7TmxerLyLm_drwXs4/edit#slide=id.g2bc80d657e_0_97","link")</f>
        <v>link</v>
      </c>
      <c r="I17" s="18" t="s">
        <v>70</v>
      </c>
      <c r="J17" s="18" t="s">
        <v>66</v>
      </c>
      <c r="K17" s="13"/>
      <c r="L17" s="13" t="s">
        <v>167</v>
      </c>
      <c r="M17" s="240" t="str">
        <f>vlookup(G17,'Issue@Change@Design Element'!G:I,2,0)</f>
        <v>#REF!</v>
      </c>
      <c r="N17" s="240"/>
      <c r="O17" s="225"/>
    </row>
    <row r="18" ht="200.25" hidden="1" customHeight="1">
      <c r="A18" s="234">
        <v>43733.0</v>
      </c>
      <c r="B18" s="235" t="s">
        <v>43</v>
      </c>
      <c r="C18" s="236" t="s">
        <v>49</v>
      </c>
      <c r="D18" s="237" t="s">
        <v>58</v>
      </c>
      <c r="E18" s="242" t="s">
        <v>22</v>
      </c>
      <c r="F18" s="179" t="s">
        <v>16</v>
      </c>
      <c r="G18" s="238" t="s">
        <v>848</v>
      </c>
      <c r="H18" s="239" t="str">
        <f>HYPERLINK("https://docs.google.com/presentation/d/1b1rfrxYwPCJm_gfWscKGwNKvBT0J4EJUCgNQdgX9fpM/edit#slide=id.g2bc80d657e_0_97","link")</f>
        <v>link</v>
      </c>
      <c r="I18" s="18" t="s">
        <v>66</v>
      </c>
      <c r="J18" s="18" t="s">
        <v>70</v>
      </c>
      <c r="K18" s="13"/>
      <c r="L18" s="13" t="s">
        <v>167</v>
      </c>
      <c r="M18" s="240"/>
      <c r="N18" s="240"/>
      <c r="O18" s="225"/>
    </row>
    <row r="19" hidden="1">
      <c r="A19" s="234">
        <v>43726.0</v>
      </c>
      <c r="B19" s="235" t="s">
        <v>43</v>
      </c>
      <c r="C19" s="236" t="s">
        <v>49</v>
      </c>
      <c r="D19" s="237" t="s">
        <v>58</v>
      </c>
      <c r="E19" s="242" t="s">
        <v>22</v>
      </c>
      <c r="F19" s="179" t="s">
        <v>16</v>
      </c>
      <c r="G19" s="238" t="s">
        <v>849</v>
      </c>
      <c r="H19" s="239" t="str">
        <f>HYPERLINK("https://docs.google.com/presentation/d/1dNaFLuxmPKNLxxrx7_iQ0_zyRd5JqMOsbm8-99E28jM/edit#slide=id.g2c1933b3e9_0_0","link")</f>
        <v>link</v>
      </c>
      <c r="I19" s="18" t="s">
        <v>717</v>
      </c>
      <c r="J19" s="18" t="s">
        <v>66</v>
      </c>
      <c r="K19" s="13"/>
      <c r="L19" s="13" t="s">
        <v>167</v>
      </c>
      <c r="M19" s="240"/>
      <c r="N19" s="240"/>
      <c r="O19" s="225"/>
    </row>
    <row r="20" hidden="1">
      <c r="A20" s="234">
        <v>43725.0</v>
      </c>
      <c r="B20" s="235" t="s">
        <v>43</v>
      </c>
      <c r="C20" s="236" t="s">
        <v>49</v>
      </c>
      <c r="D20" s="237" t="s">
        <v>58</v>
      </c>
      <c r="E20" s="242" t="s">
        <v>22</v>
      </c>
      <c r="F20" s="179" t="s">
        <v>16</v>
      </c>
      <c r="G20" s="238" t="s">
        <v>850</v>
      </c>
      <c r="H20" s="241"/>
      <c r="I20" s="18" t="s">
        <v>115</v>
      </c>
      <c r="J20" s="18" t="s">
        <v>717</v>
      </c>
      <c r="K20" s="13"/>
      <c r="L20" s="13" t="s">
        <v>71</v>
      </c>
      <c r="M20" s="240"/>
      <c r="N20" s="240"/>
      <c r="O20" s="225"/>
    </row>
    <row r="21" hidden="1">
      <c r="A21" s="234">
        <v>43725.0</v>
      </c>
      <c r="B21" s="235" t="s">
        <v>43</v>
      </c>
      <c r="C21" s="236" t="s">
        <v>49</v>
      </c>
      <c r="D21" s="237" t="s">
        <v>27</v>
      </c>
      <c r="E21" s="242" t="s">
        <v>22</v>
      </c>
      <c r="F21" s="179" t="s">
        <v>16</v>
      </c>
      <c r="G21" s="238" t="s">
        <v>851</v>
      </c>
      <c r="H21" s="241" t="s">
        <v>748</v>
      </c>
      <c r="I21" s="18" t="s">
        <v>115</v>
      </c>
      <c r="J21" s="18" t="s">
        <v>66</v>
      </c>
      <c r="K21" s="13"/>
      <c r="L21" s="13" t="s">
        <v>71</v>
      </c>
      <c r="M21" s="240"/>
      <c r="N21" s="240"/>
      <c r="O21" s="225"/>
    </row>
    <row r="22" ht="57.75" hidden="1" customHeight="1">
      <c r="A22" s="243">
        <v>43714.0</v>
      </c>
      <c r="B22" s="235" t="s">
        <v>43</v>
      </c>
      <c r="C22" s="131" t="s">
        <v>49</v>
      </c>
      <c r="D22" s="132" t="s">
        <v>27</v>
      </c>
      <c r="E22" s="141" t="s">
        <v>22</v>
      </c>
      <c r="F22" s="142" t="s">
        <v>16</v>
      </c>
      <c r="G22" s="130" t="s">
        <v>852</v>
      </c>
      <c r="H22" s="138"/>
      <c r="I22" s="229" t="s">
        <v>115</v>
      </c>
      <c r="J22" s="229"/>
      <c r="K22" s="138"/>
      <c r="L22" s="138" t="s">
        <v>71</v>
      </c>
      <c r="M22" s="28"/>
      <c r="N22" s="28"/>
      <c r="O22" s="219"/>
    </row>
    <row r="23" hidden="1">
      <c r="A23" s="234">
        <v>43714.0</v>
      </c>
      <c r="B23" s="235" t="s">
        <v>43</v>
      </c>
      <c r="C23" s="236" t="s">
        <v>49</v>
      </c>
      <c r="D23" s="237" t="s">
        <v>95</v>
      </c>
      <c r="E23" s="242" t="s">
        <v>22</v>
      </c>
      <c r="F23" s="179" t="s">
        <v>16</v>
      </c>
      <c r="G23" s="238" t="s">
        <v>853</v>
      </c>
      <c r="H23" s="241"/>
      <c r="I23" s="18" t="s">
        <v>115</v>
      </c>
      <c r="J23" s="18" t="s">
        <v>308</v>
      </c>
      <c r="K23" s="13"/>
      <c r="L23" s="13" t="s">
        <v>71</v>
      </c>
      <c r="M23" s="240"/>
      <c r="N23" s="240"/>
      <c r="O23" s="225"/>
    </row>
    <row r="24" ht="207.0" hidden="1" customHeight="1">
      <c r="A24" s="234">
        <v>43712.0</v>
      </c>
      <c r="B24" s="235" t="s">
        <v>43</v>
      </c>
      <c r="C24" s="236" t="s">
        <v>57</v>
      </c>
      <c r="D24" s="237" t="s">
        <v>58</v>
      </c>
      <c r="E24" s="242" t="s">
        <v>22</v>
      </c>
      <c r="F24" s="179" t="s">
        <v>16</v>
      </c>
      <c r="G24" s="238" t="s">
        <v>854</v>
      </c>
      <c r="H24" s="241"/>
      <c r="I24" s="18" t="s">
        <v>717</v>
      </c>
      <c r="J24" s="18"/>
      <c r="K24" s="13"/>
      <c r="L24" s="13" t="s">
        <v>63</v>
      </c>
      <c r="M24" s="240"/>
      <c r="N24" s="240"/>
      <c r="O24" s="225"/>
    </row>
    <row r="25" hidden="1">
      <c r="A25" s="234">
        <v>43710.0</v>
      </c>
      <c r="B25" s="235" t="s">
        <v>43</v>
      </c>
      <c r="C25" s="236" t="s">
        <v>26</v>
      </c>
      <c r="D25" s="237" t="s">
        <v>58</v>
      </c>
      <c r="E25" s="242" t="s">
        <v>22</v>
      </c>
      <c r="F25" s="179" t="s">
        <v>16</v>
      </c>
      <c r="G25" s="238" t="s">
        <v>855</v>
      </c>
      <c r="H25" s="241"/>
      <c r="I25" s="18" t="s">
        <v>70</v>
      </c>
      <c r="J25" s="18"/>
      <c r="K25" s="13"/>
      <c r="L25" s="13" t="s">
        <v>167</v>
      </c>
      <c r="M25" s="240"/>
      <c r="N25" s="240"/>
      <c r="O25" s="225"/>
    </row>
    <row r="26" hidden="1">
      <c r="A26" s="234">
        <v>43710.0</v>
      </c>
      <c r="B26" s="235" t="s">
        <v>43</v>
      </c>
      <c r="C26" s="236" t="s">
        <v>26</v>
      </c>
      <c r="D26" s="237" t="s">
        <v>58</v>
      </c>
      <c r="E26" s="242" t="s">
        <v>22</v>
      </c>
      <c r="F26" s="179" t="s">
        <v>16</v>
      </c>
      <c r="G26" s="238" t="s">
        <v>856</v>
      </c>
      <c r="H26" s="241"/>
      <c r="I26" s="18" t="s">
        <v>70</v>
      </c>
      <c r="J26" s="18"/>
      <c r="K26" s="13"/>
      <c r="L26" s="13" t="s">
        <v>167</v>
      </c>
      <c r="M26" s="240"/>
      <c r="N26" s="240"/>
      <c r="O26" s="225"/>
    </row>
    <row r="27" hidden="1">
      <c r="A27" s="234">
        <v>43710.0</v>
      </c>
      <c r="B27" s="235" t="s">
        <v>43</v>
      </c>
      <c r="C27" s="236" t="s">
        <v>26</v>
      </c>
      <c r="D27" s="237" t="s">
        <v>58</v>
      </c>
      <c r="E27" s="242" t="s">
        <v>22</v>
      </c>
      <c r="F27" s="179" t="s">
        <v>16</v>
      </c>
      <c r="G27" s="238" t="s">
        <v>857</v>
      </c>
      <c r="H27" s="241"/>
      <c r="I27" s="18" t="s">
        <v>70</v>
      </c>
      <c r="J27" s="18"/>
      <c r="K27" s="13"/>
      <c r="L27" s="13" t="s">
        <v>167</v>
      </c>
      <c r="M27" s="240"/>
      <c r="N27" s="240"/>
      <c r="O27" s="225"/>
    </row>
    <row r="28" hidden="1">
      <c r="A28" s="234">
        <v>43710.0</v>
      </c>
      <c r="B28" s="235" t="s">
        <v>43</v>
      </c>
      <c r="C28" s="236" t="s">
        <v>26</v>
      </c>
      <c r="D28" s="237" t="s">
        <v>58</v>
      </c>
      <c r="E28" s="242" t="s">
        <v>22</v>
      </c>
      <c r="F28" s="179" t="s">
        <v>16</v>
      </c>
      <c r="G28" s="238" t="s">
        <v>858</v>
      </c>
      <c r="H28" s="241"/>
      <c r="I28" s="18" t="s">
        <v>70</v>
      </c>
      <c r="J28" s="18"/>
      <c r="K28" s="13"/>
      <c r="L28" s="13" t="s">
        <v>167</v>
      </c>
      <c r="M28" s="240"/>
      <c r="N28" s="240"/>
      <c r="O28" s="225"/>
    </row>
    <row r="29" hidden="1">
      <c r="A29" s="234">
        <v>43708.0</v>
      </c>
      <c r="B29" s="235" t="s">
        <v>43</v>
      </c>
      <c r="C29" s="236" t="s">
        <v>371</v>
      </c>
      <c r="D29" s="237" t="s">
        <v>386</v>
      </c>
      <c r="E29" s="242" t="s">
        <v>22</v>
      </c>
      <c r="F29" s="179" t="s">
        <v>16</v>
      </c>
      <c r="G29" s="238" t="s">
        <v>859</v>
      </c>
      <c r="H29" s="241"/>
      <c r="I29" s="18" t="s">
        <v>197</v>
      </c>
      <c r="J29" s="18"/>
      <c r="K29" s="13"/>
      <c r="L29" s="13" t="s">
        <v>68</v>
      </c>
      <c r="M29" s="240"/>
      <c r="N29" s="240"/>
      <c r="O29" s="225"/>
    </row>
    <row r="30" hidden="1">
      <c r="A30" s="234">
        <v>43708.0</v>
      </c>
      <c r="B30" s="235" t="s">
        <v>43</v>
      </c>
      <c r="C30" s="236" t="s">
        <v>371</v>
      </c>
      <c r="D30" s="237" t="s">
        <v>386</v>
      </c>
      <c r="E30" s="242" t="s">
        <v>22</v>
      </c>
      <c r="F30" s="179" t="s">
        <v>16</v>
      </c>
      <c r="G30" s="238" t="s">
        <v>860</v>
      </c>
      <c r="H30" s="241"/>
      <c r="I30" s="18" t="s">
        <v>70</v>
      </c>
      <c r="J30" s="18"/>
      <c r="K30" s="13"/>
      <c r="L30" s="13" t="s">
        <v>68</v>
      </c>
      <c r="M30" s="240"/>
      <c r="N30" s="240"/>
      <c r="O30" s="225"/>
    </row>
    <row r="31" hidden="1">
      <c r="A31" s="18">
        <v>2.019083E7</v>
      </c>
      <c r="B31" s="235" t="s">
        <v>43</v>
      </c>
      <c r="C31" s="236" t="s">
        <v>20</v>
      </c>
      <c r="D31" s="237" t="s">
        <v>58</v>
      </c>
      <c r="E31" s="242" t="s">
        <v>22</v>
      </c>
      <c r="F31" s="179" t="s">
        <v>16</v>
      </c>
      <c r="G31" s="238" t="s">
        <v>861</v>
      </c>
      <c r="H31" s="241"/>
      <c r="I31" s="18" t="s">
        <v>67</v>
      </c>
      <c r="J31" s="18"/>
      <c r="K31" s="13"/>
      <c r="L31" s="13" t="s">
        <v>167</v>
      </c>
      <c r="M31" s="240"/>
      <c r="N31" s="240"/>
      <c r="O31" s="225"/>
    </row>
    <row r="32" hidden="1">
      <c r="A32" s="18">
        <v>2.019083E7</v>
      </c>
      <c r="B32" s="235" t="s">
        <v>43</v>
      </c>
      <c r="C32" s="236" t="s">
        <v>26</v>
      </c>
      <c r="D32" s="237" t="s">
        <v>58</v>
      </c>
      <c r="E32" s="242" t="s">
        <v>22</v>
      </c>
      <c r="F32" s="179" t="s">
        <v>16</v>
      </c>
      <c r="G32" s="238" t="s">
        <v>862</v>
      </c>
      <c r="H32" s="241"/>
      <c r="I32" s="18" t="s">
        <v>67</v>
      </c>
      <c r="J32" s="18" t="s">
        <v>308</v>
      </c>
      <c r="K32" s="13"/>
      <c r="L32" s="13" t="s">
        <v>71</v>
      </c>
      <c r="M32" s="240"/>
      <c r="N32" s="240"/>
      <c r="O32" s="225"/>
    </row>
    <row r="33" hidden="1">
      <c r="A33" s="18">
        <v>2.0190815E7</v>
      </c>
      <c r="B33" s="235" t="s">
        <v>56</v>
      </c>
      <c r="C33" s="236" t="s">
        <v>30</v>
      </c>
      <c r="D33" s="237" t="s">
        <v>95</v>
      </c>
      <c r="E33" s="242" t="s">
        <v>22</v>
      </c>
      <c r="F33" s="179" t="s">
        <v>16</v>
      </c>
      <c r="G33" s="238" t="s">
        <v>863</v>
      </c>
      <c r="H33" s="241"/>
      <c r="I33" s="18" t="s">
        <v>67</v>
      </c>
      <c r="J33" s="18"/>
      <c r="K33" s="13"/>
      <c r="L33" s="13" t="s">
        <v>71</v>
      </c>
      <c r="M33" s="240"/>
      <c r="N33" s="240"/>
      <c r="O33" s="225"/>
    </row>
    <row r="34" hidden="1">
      <c r="A34" s="18">
        <v>2.0190815E7</v>
      </c>
      <c r="B34" s="235" t="s">
        <v>56</v>
      </c>
      <c r="C34" s="236" t="s">
        <v>30</v>
      </c>
      <c r="D34" s="237" t="s">
        <v>95</v>
      </c>
      <c r="E34" s="242" t="s">
        <v>22</v>
      </c>
      <c r="F34" s="179" t="s">
        <v>16</v>
      </c>
      <c r="G34" s="244" t="s">
        <v>864</v>
      </c>
      <c r="H34" s="239" t="str">
        <f>HYPERLINK("https://drive.google.com/drive/folders/1zZu7gPYUDlxBDjY4PjaDT5oxljEtglJ7","link")</f>
        <v>link</v>
      </c>
      <c r="I34" s="18" t="s">
        <v>127</v>
      </c>
      <c r="J34" s="18"/>
      <c r="K34" s="13"/>
      <c r="L34" s="10" t="s">
        <v>71</v>
      </c>
      <c r="M34" s="240"/>
      <c r="N34" s="240"/>
      <c r="O34" s="225"/>
    </row>
    <row r="35" hidden="1">
      <c r="A35" s="245">
        <v>43677.0</v>
      </c>
      <c r="B35" s="235" t="s">
        <v>56</v>
      </c>
      <c r="C35" s="236" t="s">
        <v>57</v>
      </c>
      <c r="D35" s="237" t="s">
        <v>21</v>
      </c>
      <c r="E35" s="242" t="s">
        <v>22</v>
      </c>
      <c r="F35" s="179" t="s">
        <v>16</v>
      </c>
      <c r="G35" s="238" t="s">
        <v>865</v>
      </c>
      <c r="H35" s="239" t="str">
        <f>HYPERLINK("https://docs.google.com/presentation/d/11B3AQib4d4EBTUppcZP_UmgzbB3MmMKpz9y1zjymnhU/edit#slide=id.g5e58e99d35_0_16","Link")</f>
        <v>Link</v>
      </c>
      <c r="I35" s="18" t="s">
        <v>717</v>
      </c>
      <c r="J35" s="18"/>
      <c r="K35" s="13"/>
      <c r="L35" s="10" t="s">
        <v>71</v>
      </c>
      <c r="M35" s="240"/>
      <c r="N35" s="240"/>
      <c r="O35" s="225"/>
    </row>
    <row r="36" ht="120.0" hidden="1" customHeight="1">
      <c r="A36" s="245">
        <v>43703.0</v>
      </c>
      <c r="B36" s="235" t="s">
        <v>43</v>
      </c>
      <c r="C36" s="236" t="s">
        <v>57</v>
      </c>
      <c r="D36" s="237" t="s">
        <v>58</v>
      </c>
      <c r="E36" s="237" t="s">
        <v>22</v>
      </c>
      <c r="F36" s="179" t="s">
        <v>16</v>
      </c>
      <c r="G36" s="238" t="s">
        <v>866</v>
      </c>
      <c r="H36" s="241"/>
      <c r="I36" s="18" t="s">
        <v>717</v>
      </c>
      <c r="J36" s="18"/>
      <c r="K36" s="13"/>
      <c r="L36" s="13" t="s">
        <v>71</v>
      </c>
      <c r="M36" s="240"/>
      <c r="N36" s="240"/>
      <c r="O36" s="225"/>
    </row>
    <row r="37" ht="82.5" hidden="1" customHeight="1">
      <c r="A37" s="245">
        <v>43683.0</v>
      </c>
      <c r="B37" s="235" t="s">
        <v>56</v>
      </c>
      <c r="C37" s="236" t="s">
        <v>36</v>
      </c>
      <c r="D37" s="237" t="s">
        <v>21</v>
      </c>
      <c r="E37" s="237" t="s">
        <v>22</v>
      </c>
      <c r="F37" s="179" t="s">
        <v>16</v>
      </c>
      <c r="G37" s="238" t="s">
        <v>867</v>
      </c>
      <c r="H37" s="239" t="str">
        <f>HYPERLINK("https://docs.google.com/presentation/d/1ObRVOkZjyH0-4h87OEgSXtm5ixSE22cl08eQdul08uM/edit#slide=id.g512bac1dcc_0_0","link")</f>
        <v>link</v>
      </c>
      <c r="I37" s="18" t="s">
        <v>463</v>
      </c>
      <c r="J37" s="18" t="s">
        <v>66</v>
      </c>
      <c r="K37" s="13"/>
      <c r="L37" s="13" t="s">
        <v>68</v>
      </c>
      <c r="M37" s="240"/>
      <c r="N37" s="240"/>
      <c r="O37" s="225"/>
    </row>
    <row r="38" ht="351.75" hidden="1" customHeight="1">
      <c r="A38" s="245">
        <v>44000.0</v>
      </c>
      <c r="B38" s="235" t="s">
        <v>172</v>
      </c>
      <c r="C38" s="236" t="s">
        <v>76</v>
      </c>
      <c r="D38" s="237" t="s">
        <v>95</v>
      </c>
      <c r="E38" s="237" t="s">
        <v>22</v>
      </c>
      <c r="F38" s="179" t="s">
        <v>16</v>
      </c>
      <c r="G38" s="238" t="s">
        <v>868</v>
      </c>
      <c r="H38" s="246" t="s">
        <v>112</v>
      </c>
      <c r="I38" s="18" t="s">
        <v>79</v>
      </c>
      <c r="J38" s="18" t="s">
        <v>699</v>
      </c>
      <c r="K38" s="13"/>
      <c r="L38" s="13"/>
      <c r="M38" s="240"/>
      <c r="N38" s="240"/>
      <c r="O38" s="225"/>
    </row>
    <row r="39" ht="122.25" hidden="1" customHeight="1">
      <c r="A39" s="245">
        <v>43675.0</v>
      </c>
      <c r="B39" s="235" t="s">
        <v>56</v>
      </c>
      <c r="C39" s="236" t="s">
        <v>13</v>
      </c>
      <c r="D39" s="237" t="s">
        <v>58</v>
      </c>
      <c r="E39" s="237" t="s">
        <v>22</v>
      </c>
      <c r="F39" s="179" t="s">
        <v>16</v>
      </c>
      <c r="G39" s="238" t="s">
        <v>869</v>
      </c>
      <c r="H39" s="239" t="str">
        <f>HYPERLINK("https://docs.google.com/presentation/d/1QyQk8e2TrE2Ce9MS34r_TaLUsyZxHTUYKszt1tSA78k/edit#slide=id.g5df43c1b2c_0_726","LINK")</f>
        <v>LINK</v>
      </c>
      <c r="I39" s="18" t="s">
        <v>79</v>
      </c>
      <c r="J39" s="18"/>
      <c r="K39" s="13"/>
      <c r="L39" s="13" t="s">
        <v>71</v>
      </c>
      <c r="M39" s="240"/>
      <c r="N39" s="240"/>
      <c r="O39" s="225"/>
    </row>
    <row r="40" hidden="1">
      <c r="A40" s="18">
        <v>2.019083E7</v>
      </c>
      <c r="B40" s="235" t="s">
        <v>43</v>
      </c>
      <c r="C40" s="236" t="s">
        <v>26</v>
      </c>
      <c r="D40" s="237" t="s">
        <v>58</v>
      </c>
      <c r="E40" s="242" t="s">
        <v>22</v>
      </c>
      <c r="F40" s="179" t="s">
        <v>16</v>
      </c>
      <c r="G40" s="238" t="s">
        <v>870</v>
      </c>
      <c r="H40" s="241"/>
      <c r="I40" s="18" t="s">
        <v>67</v>
      </c>
      <c r="J40" s="18"/>
      <c r="K40" s="13"/>
      <c r="L40" s="13" t="s">
        <v>71</v>
      </c>
      <c r="M40" s="240"/>
      <c r="N40" s="240"/>
      <c r="O40" s="225"/>
    </row>
    <row r="41" hidden="1">
      <c r="A41" s="245">
        <v>43675.0</v>
      </c>
      <c r="B41" s="235" t="s">
        <v>56</v>
      </c>
      <c r="C41" s="236" t="s">
        <v>20</v>
      </c>
      <c r="D41" s="237" t="s">
        <v>58</v>
      </c>
      <c r="E41" s="242" t="s">
        <v>22</v>
      </c>
      <c r="F41" s="179" t="s">
        <v>16</v>
      </c>
      <c r="G41" s="238" t="s">
        <v>871</v>
      </c>
      <c r="H41" s="239" t="str">
        <f>HYPERLINK("https://docs.google.com/presentation/d/1ErL_nvbD9jdBx51T3rZ7hwM60rk9rFejQ4JzCHPDeDg/edit#slide=id.g5b08e3411b_0_2","link")</f>
        <v>link</v>
      </c>
      <c r="I41" s="247" t="s">
        <v>67</v>
      </c>
      <c r="J41" s="18" t="s">
        <v>66</v>
      </c>
      <c r="K41" s="13"/>
      <c r="L41" s="10" t="s">
        <v>71</v>
      </c>
      <c r="M41" s="240"/>
      <c r="N41" s="240"/>
      <c r="O41" s="225"/>
    </row>
    <row r="42" ht="249.0" hidden="1" customHeight="1">
      <c r="A42" s="245">
        <v>43678.0</v>
      </c>
      <c r="B42" s="235" t="s">
        <v>56</v>
      </c>
      <c r="C42" s="236" t="s">
        <v>30</v>
      </c>
      <c r="D42" s="237" t="s">
        <v>58</v>
      </c>
      <c r="E42" s="237" t="s">
        <v>22</v>
      </c>
      <c r="F42" s="179" t="s">
        <v>16</v>
      </c>
      <c r="G42" s="238" t="s">
        <v>872</v>
      </c>
      <c r="H42" s="239" t="str">
        <f>HYPERLINK("https://docs.google.com/presentation/d/14eQXfThErYFx3842Ey4jcOYI9ZDwVYlSFHKp0bkFoLI/edit#slide=id.g5b08e3411b_0_2","link")</f>
        <v>link</v>
      </c>
      <c r="I42" s="18" t="s">
        <v>127</v>
      </c>
      <c r="J42" s="18"/>
      <c r="K42" s="13"/>
      <c r="L42" s="10" t="s">
        <v>71</v>
      </c>
      <c r="M42" s="240"/>
      <c r="N42" s="240"/>
      <c r="O42" s="225"/>
    </row>
    <row r="43">
      <c r="A43" s="245">
        <v>43677.0</v>
      </c>
      <c r="B43" s="235" t="s">
        <v>56</v>
      </c>
      <c r="C43" s="236" t="s">
        <v>76</v>
      </c>
      <c r="D43" s="237" t="s">
        <v>58</v>
      </c>
      <c r="E43" s="237" t="s">
        <v>22</v>
      </c>
      <c r="F43" s="179" t="s">
        <v>16</v>
      </c>
      <c r="G43" s="244" t="s">
        <v>873</v>
      </c>
      <c r="H43" s="239" t="str">
        <f>HYPERLINK("https://docs.google.com/presentation/d/1yR6mAvxeSmb-dollQ8nzi4TrJih69pG0zdNjcOgRfr4/edit#slide=id.g5e20e671da_5_17","link")</f>
        <v>link</v>
      </c>
      <c r="I43" s="18" t="s">
        <v>346</v>
      </c>
      <c r="J43" s="18" t="s">
        <v>66</v>
      </c>
      <c r="K43" s="13"/>
      <c r="L43" s="10" t="s">
        <v>71</v>
      </c>
      <c r="M43" s="240"/>
      <c r="N43" s="240"/>
      <c r="O43" s="225"/>
    </row>
    <row r="44" hidden="1">
      <c r="A44" s="245">
        <v>43677.0</v>
      </c>
      <c r="B44" s="235" t="s">
        <v>56</v>
      </c>
      <c r="C44" s="236" t="s">
        <v>49</v>
      </c>
      <c r="D44" s="237" t="s">
        <v>58</v>
      </c>
      <c r="E44" s="237" t="s">
        <v>22</v>
      </c>
      <c r="F44" s="179" t="s">
        <v>16</v>
      </c>
      <c r="G44" s="238" t="s">
        <v>874</v>
      </c>
      <c r="H44" s="241"/>
      <c r="I44" s="18" t="s">
        <v>115</v>
      </c>
      <c r="J44" s="18"/>
      <c r="K44" s="13"/>
      <c r="L44" s="10" t="s">
        <v>71</v>
      </c>
      <c r="M44" s="240"/>
      <c r="N44" s="240"/>
      <c r="O44" s="225"/>
    </row>
    <row r="45" hidden="1">
      <c r="A45" s="245">
        <v>43677.0</v>
      </c>
      <c r="B45" s="235" t="s">
        <v>56</v>
      </c>
      <c r="C45" s="236" t="s">
        <v>49</v>
      </c>
      <c r="D45" s="237" t="s">
        <v>58</v>
      </c>
      <c r="E45" s="237" t="s">
        <v>22</v>
      </c>
      <c r="F45" s="179" t="s">
        <v>16</v>
      </c>
      <c r="G45" s="238" t="s">
        <v>875</v>
      </c>
      <c r="H45" s="241"/>
      <c r="I45" s="18" t="s">
        <v>115</v>
      </c>
      <c r="J45" s="18"/>
      <c r="K45" s="13"/>
      <c r="L45" s="10" t="s">
        <v>71</v>
      </c>
      <c r="M45" s="240"/>
      <c r="N45" s="240"/>
      <c r="O45" s="225"/>
    </row>
    <row r="46" ht="115.5" customHeight="1">
      <c r="A46" s="245">
        <v>43677.0</v>
      </c>
      <c r="B46" s="235" t="s">
        <v>56</v>
      </c>
      <c r="C46" s="236" t="s">
        <v>76</v>
      </c>
      <c r="D46" s="237" t="s">
        <v>21</v>
      </c>
      <c r="E46" s="237" t="s">
        <v>22</v>
      </c>
      <c r="F46" s="179" t="s">
        <v>16</v>
      </c>
      <c r="G46" s="238" t="s">
        <v>876</v>
      </c>
      <c r="H46" s="239" t="str">
        <f>HYPERLINK("https://docs.google.com/presentation/d/1yR6mAvxeSmb-dollQ8nzi4TrJih69pG0zdNjcOgRfr4/edit#slide=id.g5e20e671da_0_12","link")</f>
        <v>link</v>
      </c>
      <c r="I46" s="248" t="s">
        <v>346</v>
      </c>
      <c r="J46" s="18" t="s">
        <v>308</v>
      </c>
      <c r="K46" s="13"/>
      <c r="L46" s="13" t="s">
        <v>167</v>
      </c>
      <c r="M46" s="240"/>
      <c r="N46" s="240"/>
      <c r="O46" s="225"/>
    </row>
    <row r="47" ht="117.0" customHeight="1">
      <c r="A47" s="245">
        <v>43677.0</v>
      </c>
      <c r="B47" s="235" t="s">
        <v>56</v>
      </c>
      <c r="C47" s="236" t="s">
        <v>76</v>
      </c>
      <c r="D47" s="237" t="s">
        <v>21</v>
      </c>
      <c r="E47" s="237" t="s">
        <v>22</v>
      </c>
      <c r="F47" s="179" t="s">
        <v>16</v>
      </c>
      <c r="G47" s="238" t="s">
        <v>877</v>
      </c>
      <c r="H47" s="239" t="str">
        <f>HYPERLINK("https://docs.google.com/presentation/d/1yR6mAvxeSmb-dollQ8nzi4TrJih69pG0zdNjcOgRfr4/edit#slide=id.g5e20e671da_0_4","link")</f>
        <v>link</v>
      </c>
      <c r="I47" s="248" t="s">
        <v>346</v>
      </c>
      <c r="J47" s="18"/>
      <c r="K47" s="13"/>
      <c r="L47" s="13" t="s">
        <v>167</v>
      </c>
      <c r="M47" s="240"/>
      <c r="N47" s="240"/>
      <c r="O47" s="225"/>
    </row>
    <row r="48">
      <c r="A48" s="245">
        <v>43677.0</v>
      </c>
      <c r="B48" s="235" t="s">
        <v>56</v>
      </c>
      <c r="C48" s="236" t="s">
        <v>76</v>
      </c>
      <c r="D48" s="237" t="s">
        <v>58</v>
      </c>
      <c r="E48" s="237" t="s">
        <v>22</v>
      </c>
      <c r="F48" s="179" t="s">
        <v>16</v>
      </c>
      <c r="G48" s="238" t="s">
        <v>878</v>
      </c>
      <c r="H48" s="239" t="str">
        <f>HYPERLINK("https://docs.google.com/presentation/d/1yR6mAvxeSmb-dollQ8nzi4TrJih69pG0zdNjcOgRfr4/edit#slide=id.g5e20e671da_5_27","link")</f>
        <v>link</v>
      </c>
      <c r="I48" s="248" t="s">
        <v>346</v>
      </c>
      <c r="J48" s="18"/>
      <c r="K48" s="13"/>
      <c r="L48" s="10" t="s">
        <v>71</v>
      </c>
      <c r="M48" s="240"/>
      <c r="N48" s="240"/>
      <c r="O48" s="225"/>
    </row>
    <row r="49" ht="145.5" hidden="1" customHeight="1">
      <c r="A49" s="245">
        <v>43677.0</v>
      </c>
      <c r="B49" s="235" t="s">
        <v>56</v>
      </c>
      <c r="C49" s="236" t="s">
        <v>30</v>
      </c>
      <c r="D49" s="237" t="s">
        <v>44</v>
      </c>
      <c r="E49" s="237" t="s">
        <v>22</v>
      </c>
      <c r="F49" s="179" t="s">
        <v>16</v>
      </c>
      <c r="G49" s="238" t="s">
        <v>879</v>
      </c>
      <c r="H49" s="239" t="str">
        <f>HYPERLINK("https://docs.google.com/presentation/d/1aDugEOGelRTLanI8RNqsbQ40Qb1Rzm-CPk-DWxN7HQk/edit#slide=id.g5e2a496ccd_0_3","Link")</f>
        <v>Link</v>
      </c>
      <c r="I49" s="18" t="s">
        <v>127</v>
      </c>
      <c r="J49" s="18" t="s">
        <v>197</v>
      </c>
      <c r="K49" s="13"/>
      <c r="L49" s="13" t="s">
        <v>167</v>
      </c>
      <c r="M49" s="240"/>
      <c r="N49" s="240"/>
      <c r="O49" s="225"/>
    </row>
    <row r="50" ht="93.0" hidden="1" customHeight="1">
      <c r="A50" s="245">
        <v>43676.0</v>
      </c>
      <c r="B50" s="235" t="s">
        <v>56</v>
      </c>
      <c r="C50" s="236" t="s">
        <v>57</v>
      </c>
      <c r="D50" s="237" t="s">
        <v>44</v>
      </c>
      <c r="E50" s="237" t="s">
        <v>22</v>
      </c>
      <c r="F50" s="179" t="s">
        <v>16</v>
      </c>
      <c r="G50" s="238" t="s">
        <v>880</v>
      </c>
      <c r="H50" s="241"/>
      <c r="I50" s="18" t="s">
        <v>717</v>
      </c>
      <c r="J50" s="18"/>
      <c r="K50" s="13"/>
      <c r="L50" s="10" t="s">
        <v>71</v>
      </c>
      <c r="M50" s="240"/>
      <c r="N50" s="240"/>
      <c r="O50" s="225"/>
    </row>
    <row r="51" hidden="1">
      <c r="A51" s="249">
        <v>43675.0</v>
      </c>
      <c r="B51" s="169" t="s">
        <v>56</v>
      </c>
      <c r="C51" s="131" t="s">
        <v>26</v>
      </c>
      <c r="D51" s="140" t="s">
        <v>58</v>
      </c>
      <c r="E51" s="132" t="s">
        <v>22</v>
      </c>
      <c r="F51" s="142" t="s">
        <v>16</v>
      </c>
      <c r="G51" s="130" t="s">
        <v>881</v>
      </c>
      <c r="H51" s="138"/>
      <c r="I51" s="229" t="s">
        <v>66</v>
      </c>
      <c r="J51" s="229"/>
      <c r="K51" s="138"/>
      <c r="L51" s="10" t="s">
        <v>71</v>
      </c>
      <c r="M51" s="240"/>
      <c r="N51" s="240"/>
      <c r="O51" s="219"/>
    </row>
    <row r="52" hidden="1">
      <c r="A52" s="245">
        <v>43676.0</v>
      </c>
      <c r="B52" s="235" t="s">
        <v>56</v>
      </c>
      <c r="C52" s="236" t="s">
        <v>20</v>
      </c>
      <c r="D52" s="237" t="s">
        <v>58</v>
      </c>
      <c r="E52" s="132" t="s">
        <v>22</v>
      </c>
      <c r="F52" s="179" t="s">
        <v>16</v>
      </c>
      <c r="G52" s="238" t="s">
        <v>882</v>
      </c>
      <c r="H52" s="239" t="str">
        <f>HYPERLINK("https://docs.google.com/presentation/d/1ErL_nvbD9jdBx51T3rZ7hwM60rk9rFejQ4JzCHPDeDg/edit#slide=id.g5b08e3411b_0_2","link")</f>
        <v>link</v>
      </c>
      <c r="I52" s="247" t="s">
        <v>67</v>
      </c>
      <c r="J52" s="18"/>
      <c r="K52" s="13"/>
      <c r="L52" s="10" t="s">
        <v>71</v>
      </c>
      <c r="M52" s="240"/>
      <c r="N52" s="240"/>
      <c r="O52" s="225"/>
    </row>
    <row r="53" ht="327.75" hidden="1" customHeight="1">
      <c r="A53" s="245">
        <v>43672.0</v>
      </c>
      <c r="B53" s="235" t="s">
        <v>56</v>
      </c>
      <c r="C53" s="236" t="s">
        <v>13</v>
      </c>
      <c r="D53" s="237" t="s">
        <v>27</v>
      </c>
      <c r="E53" s="237" t="s">
        <v>22</v>
      </c>
      <c r="F53" s="179" t="s">
        <v>16</v>
      </c>
      <c r="G53" s="238" t="s">
        <v>883</v>
      </c>
      <c r="H53" s="51" t="str">
        <f>HYPERLINK("https://docs.google.com/presentation/d/1-fTG5LnYAOy1PZibE3cV8HonMMj8ulU9m8tfFOr7rO0/edit#slide=id.g5f60c5aeef_0_19","LINK")</f>
        <v>LINK</v>
      </c>
      <c r="I53" s="18" t="s">
        <v>79</v>
      </c>
      <c r="J53" s="18"/>
      <c r="K53" s="13"/>
      <c r="L53" s="10" t="s">
        <v>71</v>
      </c>
      <c r="M53" s="240"/>
      <c r="N53" s="240"/>
      <c r="O53" s="225"/>
    </row>
    <row r="54" hidden="1">
      <c r="A54" s="245">
        <v>43670.0</v>
      </c>
      <c r="B54" s="235" t="s">
        <v>56</v>
      </c>
      <c r="C54" s="236" t="s">
        <v>57</v>
      </c>
      <c r="D54" s="237" t="s">
        <v>44</v>
      </c>
      <c r="E54" s="237" t="s">
        <v>22</v>
      </c>
      <c r="F54" s="179" t="s">
        <v>16</v>
      </c>
      <c r="G54" s="238" t="s">
        <v>884</v>
      </c>
      <c r="H54" s="241"/>
      <c r="I54" s="18" t="s">
        <v>717</v>
      </c>
      <c r="J54" s="18"/>
      <c r="K54" s="13"/>
      <c r="L54" s="10" t="s">
        <v>71</v>
      </c>
      <c r="M54" s="240"/>
      <c r="N54" s="240"/>
      <c r="O54" s="225"/>
    </row>
    <row r="55" hidden="1">
      <c r="A55" s="250">
        <v>43668.0</v>
      </c>
      <c r="B55" s="235" t="s">
        <v>56</v>
      </c>
      <c r="C55" s="236" t="s">
        <v>57</v>
      </c>
      <c r="D55" s="237" t="s">
        <v>44</v>
      </c>
      <c r="E55" s="242" t="s">
        <v>22</v>
      </c>
      <c r="F55" s="179" t="s">
        <v>16</v>
      </c>
      <c r="G55" s="238" t="s">
        <v>885</v>
      </c>
      <c r="H55" s="239" t="str">
        <f>HYPERLINK("https://docs.google.com/presentation/d/11B3AQib4d4EBTUppcZP_UmgzbB3MmMKpz9y1zjymnhU/edit#slide=id.p12","Link")</f>
        <v>Link</v>
      </c>
      <c r="I55" s="18" t="s">
        <v>717</v>
      </c>
      <c r="J55" s="18" t="s">
        <v>70</v>
      </c>
      <c r="K55" s="13"/>
      <c r="L55" s="10" t="s">
        <v>71</v>
      </c>
      <c r="M55" s="240"/>
      <c r="N55" s="240"/>
      <c r="O55" s="225"/>
    </row>
    <row r="56" hidden="1">
      <c r="A56" s="250">
        <v>43658.0</v>
      </c>
      <c r="B56" s="235" t="s">
        <v>75</v>
      </c>
      <c r="C56" s="236" t="s">
        <v>33</v>
      </c>
      <c r="D56" s="237" t="s">
        <v>44</v>
      </c>
      <c r="E56" s="237" t="s">
        <v>22</v>
      </c>
      <c r="F56" s="179" t="s">
        <v>16</v>
      </c>
      <c r="G56" s="238" t="s">
        <v>886</v>
      </c>
      <c r="H56" s="239" t="str">
        <f>HYPERLINK("https://docs.google.com/presentation/d/1JQabazBqERpobpkW68Oo8-sN5_uz_pko5RoTr_Xh75s/edit#slide=id.g4057557fca_0_46","Link")</f>
        <v>Link</v>
      </c>
      <c r="I56" s="18" t="s">
        <v>463</v>
      </c>
      <c r="J56" s="18" t="s">
        <v>66</v>
      </c>
      <c r="K56" s="13"/>
      <c r="L56" s="13" t="s">
        <v>63</v>
      </c>
      <c r="M56" s="240"/>
      <c r="N56" s="240"/>
      <c r="O56" s="225"/>
    </row>
    <row r="57" hidden="1">
      <c r="A57" s="250">
        <v>43658.0</v>
      </c>
      <c r="B57" s="235" t="s">
        <v>75</v>
      </c>
      <c r="C57" s="236" t="s">
        <v>20</v>
      </c>
      <c r="D57" s="237" t="s">
        <v>44</v>
      </c>
      <c r="E57" s="237" t="s">
        <v>22</v>
      </c>
      <c r="F57" s="179" t="s">
        <v>16</v>
      </c>
      <c r="G57" s="238" t="s">
        <v>887</v>
      </c>
      <c r="H57" s="239" t="str">
        <f>HYPERLINK("https://docs.google.com/presentation/d/1RZe9_lvDVpAb7dYNO_uHNa_1QYi76RKNnkaUMUHwZN4/edit#slide=id.g5e14823814_0_6","LINK")</f>
        <v>LINK</v>
      </c>
      <c r="I57" s="18" t="s">
        <v>79</v>
      </c>
      <c r="J57" s="18" t="s">
        <v>127</v>
      </c>
      <c r="K57" s="13"/>
      <c r="L57" s="13" t="s">
        <v>68</v>
      </c>
      <c r="M57" s="240"/>
      <c r="N57" s="240"/>
      <c r="O57" s="225"/>
    </row>
    <row r="58" ht="447.0" hidden="1" customHeight="1">
      <c r="A58" s="250">
        <v>43648.0</v>
      </c>
      <c r="B58" s="235" t="s">
        <v>327</v>
      </c>
      <c r="C58" s="236" t="s">
        <v>26</v>
      </c>
      <c r="D58" s="237" t="s">
        <v>386</v>
      </c>
      <c r="E58" s="237" t="s">
        <v>22</v>
      </c>
      <c r="F58" s="179" t="s">
        <v>16</v>
      </c>
      <c r="G58" s="156" t="s">
        <v>888</v>
      </c>
      <c r="H58" s="251" t="str">
        <f>HYPERLINK("https://docs.google.com/spreadsheets/d/12dIiX-iYjshAX5JsJmms9H5669Sqpt4CryzK_T20RYo/edit#gid=203566112","Link")</f>
        <v>Link</v>
      </c>
      <c r="I58" s="18" t="s">
        <v>70</v>
      </c>
      <c r="J58" s="18" t="s">
        <v>720</v>
      </c>
      <c r="K58" s="13"/>
      <c r="L58" s="13" t="s">
        <v>63</v>
      </c>
      <c r="M58" s="240"/>
      <c r="N58" s="240"/>
      <c r="O58" s="225"/>
    </row>
    <row r="59" hidden="1">
      <c r="A59" s="250">
        <v>43642.0</v>
      </c>
      <c r="B59" s="235" t="s">
        <v>75</v>
      </c>
      <c r="C59" s="236" t="s">
        <v>57</v>
      </c>
      <c r="D59" s="237" t="s">
        <v>77</v>
      </c>
      <c r="E59" s="237" t="s">
        <v>22</v>
      </c>
      <c r="F59" s="179" t="s">
        <v>16</v>
      </c>
      <c r="G59" s="156" t="s">
        <v>889</v>
      </c>
      <c r="H59" s="241"/>
      <c r="I59" s="18" t="s">
        <v>70</v>
      </c>
      <c r="J59" s="18"/>
      <c r="K59" s="13"/>
      <c r="L59" s="13" t="s">
        <v>63</v>
      </c>
      <c r="M59" s="240"/>
      <c r="N59" s="240"/>
      <c r="O59" s="225"/>
    </row>
    <row r="60" hidden="1">
      <c r="A60" s="250">
        <v>43642.0</v>
      </c>
      <c r="B60" s="235" t="s">
        <v>75</v>
      </c>
      <c r="C60" s="236" t="s">
        <v>57</v>
      </c>
      <c r="D60" s="237" t="s">
        <v>81</v>
      </c>
      <c r="E60" s="237" t="s">
        <v>22</v>
      </c>
      <c r="F60" s="179" t="s">
        <v>16</v>
      </c>
      <c r="G60" s="156" t="s">
        <v>890</v>
      </c>
      <c r="H60" s="241"/>
      <c r="I60" s="18" t="s">
        <v>66</v>
      </c>
      <c r="J60" s="18" t="s">
        <v>127</v>
      </c>
      <c r="K60" s="10" t="str">
        <f>HYPERLINK("https://docs.google.com/presentation/d/1fLTIqXaTkvqIms4jaZlirWUwlSutK7Y_JQdWUKgIqME/edit#slide=id.g5c3a20c37f_5_1","change link")</f>
        <v>change link</v>
      </c>
      <c r="L60" s="13" t="s">
        <v>63</v>
      </c>
      <c r="M60" s="240"/>
      <c r="N60" s="240"/>
      <c r="O60" s="225"/>
    </row>
    <row r="61" hidden="1">
      <c r="A61" s="250">
        <v>43642.0</v>
      </c>
      <c r="B61" s="235" t="s">
        <v>75</v>
      </c>
      <c r="C61" s="236" t="s">
        <v>57</v>
      </c>
      <c r="D61" s="237" t="s">
        <v>81</v>
      </c>
      <c r="E61" s="237" t="s">
        <v>22</v>
      </c>
      <c r="F61" s="179" t="s">
        <v>16</v>
      </c>
      <c r="G61" s="156" t="s">
        <v>891</v>
      </c>
      <c r="H61" s="241"/>
      <c r="I61" s="18" t="s">
        <v>463</v>
      </c>
      <c r="J61" s="18" t="s">
        <v>127</v>
      </c>
      <c r="K61" s="13"/>
      <c r="L61" s="13" t="s">
        <v>68</v>
      </c>
      <c r="M61" s="240"/>
      <c r="N61" s="240"/>
      <c r="O61" s="225"/>
    </row>
    <row r="62" ht="60.0" hidden="1" customHeight="1">
      <c r="A62" s="250">
        <v>43614.0</v>
      </c>
      <c r="B62" s="235" t="s">
        <v>327</v>
      </c>
      <c r="C62" s="236" t="s">
        <v>30</v>
      </c>
      <c r="D62" s="237" t="s">
        <v>386</v>
      </c>
      <c r="E62" s="237" t="s">
        <v>15</v>
      </c>
      <c r="F62" s="179" t="s">
        <v>16</v>
      </c>
      <c r="G62" s="156" t="s">
        <v>892</v>
      </c>
      <c r="H62" s="239" t="str">
        <f>HYPERLINK("https://docs.google.com/presentation/d/1Wc_ejIOFU_3XS8zyTa4t4lpjXTVPAMIqWsTwtJv-3m4/edit#slide=id.g5b08e3411b_0_2","link")</f>
        <v>link</v>
      </c>
      <c r="I62" s="18" t="s">
        <v>127</v>
      </c>
      <c r="J62" s="18" t="s">
        <v>66</v>
      </c>
      <c r="K62" s="13"/>
      <c r="L62" s="13" t="s">
        <v>68</v>
      </c>
      <c r="M62" s="240"/>
      <c r="N62" s="240"/>
      <c r="O62" s="225"/>
    </row>
    <row r="63" ht="147.0" hidden="1" customHeight="1">
      <c r="A63" s="250">
        <v>43600.0</v>
      </c>
      <c r="B63" s="235" t="s">
        <v>75</v>
      </c>
      <c r="C63" s="236" t="s">
        <v>72</v>
      </c>
      <c r="D63" s="237" t="s">
        <v>265</v>
      </c>
      <c r="E63" s="237" t="s">
        <v>22</v>
      </c>
      <c r="F63" s="179" t="s">
        <v>16</v>
      </c>
      <c r="G63" s="238" t="s">
        <v>893</v>
      </c>
      <c r="H63" s="241"/>
      <c r="I63" s="18" t="s">
        <v>74</v>
      </c>
      <c r="J63" s="18" t="s">
        <v>127</v>
      </c>
      <c r="K63" s="13"/>
      <c r="L63" s="13" t="s">
        <v>68</v>
      </c>
      <c r="M63" s="240"/>
      <c r="N63" s="240"/>
      <c r="O63" s="225"/>
    </row>
    <row r="64" ht="93.75" hidden="1" customHeight="1">
      <c r="A64" s="250">
        <v>43602.0</v>
      </c>
      <c r="B64" s="235" t="s">
        <v>327</v>
      </c>
      <c r="C64" s="236" t="s">
        <v>20</v>
      </c>
      <c r="D64" s="237" t="s">
        <v>386</v>
      </c>
      <c r="E64" s="237" t="s">
        <v>22</v>
      </c>
      <c r="F64" s="179" t="s">
        <v>16</v>
      </c>
      <c r="G64" s="252" t="s">
        <v>894</v>
      </c>
      <c r="H64" s="241"/>
      <c r="I64" s="18" t="s">
        <v>70</v>
      </c>
      <c r="J64" s="18" t="s">
        <v>67</v>
      </c>
      <c r="K64" s="13"/>
      <c r="L64" s="10" t="s">
        <v>71</v>
      </c>
      <c r="M64" s="240"/>
      <c r="N64" s="240"/>
      <c r="O64" s="225"/>
    </row>
    <row r="65" hidden="1">
      <c r="A65" s="250">
        <v>43614.0</v>
      </c>
      <c r="B65" s="235" t="s">
        <v>327</v>
      </c>
      <c r="C65" s="236" t="s">
        <v>57</v>
      </c>
      <c r="D65" s="237" t="s">
        <v>386</v>
      </c>
      <c r="E65" s="237" t="s">
        <v>22</v>
      </c>
      <c r="F65" s="179" t="s">
        <v>16</v>
      </c>
      <c r="G65" s="156" t="s">
        <v>895</v>
      </c>
      <c r="H65" s="241"/>
      <c r="I65" s="18" t="s">
        <v>717</v>
      </c>
      <c r="J65" s="18" t="s">
        <v>70</v>
      </c>
      <c r="K65" s="13"/>
      <c r="L65" s="13" t="s">
        <v>68</v>
      </c>
      <c r="M65" s="240"/>
      <c r="N65" s="240"/>
      <c r="O65" s="225"/>
    </row>
    <row r="66" ht="150.0" hidden="1" customHeight="1">
      <c r="A66" s="250">
        <v>43602.0</v>
      </c>
      <c r="B66" s="235" t="s">
        <v>327</v>
      </c>
      <c r="C66" s="236" t="s">
        <v>49</v>
      </c>
      <c r="D66" s="237" t="s">
        <v>386</v>
      </c>
      <c r="E66" s="237" t="s">
        <v>15</v>
      </c>
      <c r="F66" s="179" t="s">
        <v>16</v>
      </c>
      <c r="G66" s="252" t="s">
        <v>896</v>
      </c>
      <c r="H66" s="241" t="s">
        <v>97</v>
      </c>
      <c r="I66" s="18" t="s">
        <v>115</v>
      </c>
      <c r="J66" s="18" t="s">
        <v>70</v>
      </c>
      <c r="K66" s="13"/>
      <c r="L66" s="13" t="s">
        <v>63</v>
      </c>
      <c r="M66" s="240"/>
      <c r="N66" s="240"/>
      <c r="O66" s="225"/>
    </row>
    <row r="67" ht="123.75" hidden="1" customHeight="1">
      <c r="A67" s="250">
        <v>43602.0</v>
      </c>
      <c r="B67" s="235" t="s">
        <v>327</v>
      </c>
      <c r="C67" s="236" t="s">
        <v>49</v>
      </c>
      <c r="D67" s="237" t="s">
        <v>386</v>
      </c>
      <c r="E67" s="237" t="s">
        <v>22</v>
      </c>
      <c r="F67" s="179" t="s">
        <v>16</v>
      </c>
      <c r="G67" s="156" t="s">
        <v>897</v>
      </c>
      <c r="H67" s="241"/>
      <c r="I67" s="18" t="s">
        <v>115</v>
      </c>
      <c r="J67" s="18" t="s">
        <v>70</v>
      </c>
      <c r="K67" s="13"/>
      <c r="L67" s="13" t="s">
        <v>63</v>
      </c>
      <c r="M67" s="240"/>
      <c r="N67" s="240"/>
      <c r="O67" s="225"/>
    </row>
    <row r="68" ht="75.75" hidden="1" customHeight="1">
      <c r="A68" s="250">
        <v>43602.0</v>
      </c>
      <c r="B68" s="235" t="s">
        <v>75</v>
      </c>
      <c r="C68" s="236" t="s">
        <v>26</v>
      </c>
      <c r="D68" s="237" t="s">
        <v>77</v>
      </c>
      <c r="E68" s="237" t="s">
        <v>22</v>
      </c>
      <c r="F68" s="179" t="s">
        <v>16</v>
      </c>
      <c r="G68" s="156" t="s">
        <v>898</v>
      </c>
      <c r="H68" s="241"/>
      <c r="I68" s="18" t="s">
        <v>66</v>
      </c>
      <c r="J68" s="18" t="s">
        <v>346</v>
      </c>
      <c r="K68" s="10" t="str">
        <f>HYPERLINK("https://docs.google.com/presentation/d/1fLTIqXaTkvqIms4jaZlirWUwlSutK7Y_JQdWUKgIqME/edit#slide=id.g5c519f5b8e_1_0","SCH change link")</f>
        <v>SCH change link</v>
      </c>
      <c r="L68" s="13" t="s">
        <v>63</v>
      </c>
      <c r="M68" s="240"/>
      <c r="N68" s="240"/>
      <c r="O68" s="225"/>
    </row>
    <row r="69" ht="111.0" hidden="1" customHeight="1">
      <c r="A69" s="250"/>
      <c r="B69" s="235"/>
      <c r="C69" s="236"/>
      <c r="D69" s="237"/>
      <c r="E69" s="237"/>
      <c r="F69" s="179"/>
      <c r="G69" s="156" t="s">
        <v>899</v>
      </c>
      <c r="H69" s="241"/>
      <c r="I69" s="18"/>
      <c r="J69" s="18"/>
      <c r="K69" s="13"/>
      <c r="L69" s="13"/>
      <c r="M69" s="240"/>
      <c r="N69" s="240"/>
      <c r="O69" s="225"/>
    </row>
    <row r="70" ht="150.75" hidden="1" customHeight="1">
      <c r="A70" s="250"/>
      <c r="B70" s="235"/>
      <c r="C70" s="236"/>
      <c r="D70" s="237"/>
      <c r="E70" s="237"/>
      <c r="F70" s="179"/>
      <c r="G70" s="156"/>
      <c r="H70" s="241"/>
      <c r="I70" s="18"/>
      <c r="J70" s="18"/>
      <c r="K70" s="13"/>
      <c r="L70" s="13"/>
      <c r="M70" s="240"/>
      <c r="N70" s="240"/>
      <c r="O70" s="225"/>
    </row>
    <row r="71" ht="99.75" hidden="1" customHeight="1">
      <c r="A71" s="250"/>
      <c r="B71" s="235"/>
      <c r="C71" s="236"/>
      <c r="D71" s="237"/>
      <c r="E71" s="237"/>
      <c r="F71" s="179"/>
      <c r="G71" s="156"/>
      <c r="H71" s="241"/>
      <c r="I71" s="18"/>
      <c r="J71" s="18"/>
      <c r="K71" s="13"/>
      <c r="L71" s="13"/>
      <c r="M71" s="240"/>
      <c r="N71" s="240"/>
      <c r="O71" s="225"/>
    </row>
    <row r="72" ht="118.5" hidden="1" customHeight="1">
      <c r="A72" s="250"/>
      <c r="B72" s="235"/>
      <c r="C72" s="236"/>
      <c r="D72" s="237"/>
      <c r="E72" s="237"/>
      <c r="F72" s="179"/>
      <c r="G72" s="156"/>
      <c r="H72" s="241"/>
      <c r="I72" s="18"/>
      <c r="J72" s="18"/>
      <c r="K72" s="13"/>
      <c r="L72" s="13"/>
      <c r="M72" s="240"/>
      <c r="N72" s="240"/>
      <c r="O72" s="225"/>
    </row>
    <row r="73" ht="140.25" hidden="1" customHeight="1">
      <c r="A73" s="250"/>
      <c r="B73" s="235"/>
      <c r="C73" s="236"/>
      <c r="D73" s="237"/>
      <c r="E73" s="237"/>
      <c r="F73" s="179"/>
      <c r="G73" s="156"/>
      <c r="H73" s="241"/>
      <c r="I73" s="18"/>
      <c r="J73" s="18"/>
      <c r="K73" s="13"/>
      <c r="L73" s="13"/>
      <c r="M73" s="240"/>
      <c r="N73" s="240"/>
      <c r="O73" s="225"/>
    </row>
    <row r="74" ht="126.0" hidden="1" customHeight="1">
      <c r="A74" s="250"/>
      <c r="B74" s="235"/>
      <c r="C74" s="236"/>
      <c r="D74" s="237"/>
      <c r="E74" s="237"/>
      <c r="F74" s="179"/>
      <c r="G74" s="156"/>
      <c r="H74" s="241"/>
      <c r="I74" s="18"/>
      <c r="J74" s="18"/>
      <c r="K74" s="13"/>
      <c r="L74" s="13"/>
      <c r="M74" s="240"/>
      <c r="N74" s="240"/>
      <c r="O74" s="225"/>
    </row>
    <row r="75" ht="106.5" hidden="1" customHeight="1">
      <c r="A75" s="250"/>
      <c r="B75" s="235"/>
      <c r="C75" s="236"/>
      <c r="D75" s="237"/>
      <c r="E75" s="237"/>
      <c r="F75" s="179"/>
      <c r="G75" s="156"/>
      <c r="H75" s="241"/>
      <c r="I75" s="18"/>
      <c r="J75" s="18"/>
      <c r="K75" s="13"/>
      <c r="L75" s="13"/>
      <c r="M75" s="240"/>
      <c r="N75" s="240"/>
      <c r="O75" s="225"/>
    </row>
    <row r="76" ht="143.25" hidden="1" customHeight="1">
      <c r="A76" s="250"/>
      <c r="B76" s="235"/>
      <c r="C76" s="236"/>
      <c r="D76" s="237"/>
      <c r="E76" s="237"/>
      <c r="F76" s="179"/>
      <c r="G76" s="156"/>
      <c r="H76" s="241"/>
      <c r="I76" s="18"/>
      <c r="J76" s="18"/>
      <c r="K76" s="13"/>
      <c r="L76" s="13"/>
      <c r="M76" s="240"/>
      <c r="N76" s="240"/>
      <c r="O76" s="225"/>
    </row>
    <row r="77" ht="44.25" hidden="1" customHeight="1">
      <c r="A77" s="250"/>
      <c r="B77" s="235"/>
      <c r="C77" s="236"/>
      <c r="D77" s="237"/>
      <c r="E77" s="237"/>
      <c r="F77" s="179"/>
      <c r="G77" s="156"/>
      <c r="H77" s="241"/>
      <c r="I77" s="18"/>
      <c r="J77" s="18"/>
      <c r="K77" s="13"/>
      <c r="L77" s="13"/>
      <c r="M77" s="240"/>
      <c r="N77" s="240"/>
      <c r="O77" s="225"/>
    </row>
    <row r="78" ht="42.75" hidden="1" customHeight="1">
      <c r="A78" s="250"/>
      <c r="B78" s="235"/>
      <c r="C78" s="236"/>
      <c r="D78" s="237"/>
      <c r="E78" s="237"/>
      <c r="F78" s="179"/>
      <c r="G78" s="156"/>
      <c r="H78" s="241"/>
      <c r="I78" s="18"/>
      <c r="J78" s="18"/>
      <c r="K78" s="13"/>
      <c r="L78" s="13"/>
      <c r="M78" s="240"/>
      <c r="N78" s="240"/>
      <c r="O78" s="225"/>
    </row>
    <row r="79" ht="55.5" hidden="1" customHeight="1">
      <c r="A79" s="250"/>
      <c r="B79" s="235"/>
      <c r="C79" s="236"/>
      <c r="D79" s="237"/>
      <c r="E79" s="237"/>
      <c r="F79" s="179"/>
      <c r="G79" s="179"/>
      <c r="H79" s="241"/>
      <c r="I79" s="18"/>
      <c r="J79" s="18"/>
      <c r="K79" s="13"/>
      <c r="L79" s="13"/>
      <c r="M79" s="240"/>
      <c r="N79" s="240"/>
      <c r="O79" s="225"/>
    </row>
    <row r="80" hidden="1">
      <c r="A80" s="250"/>
      <c r="B80" s="235"/>
      <c r="C80" s="236"/>
      <c r="D80" s="237"/>
      <c r="E80" s="237"/>
      <c r="F80" s="179"/>
      <c r="G80" s="179"/>
      <c r="H80" s="241"/>
      <c r="I80" s="18"/>
      <c r="J80" s="18"/>
      <c r="K80" s="13"/>
      <c r="L80" s="13"/>
      <c r="M80" s="240"/>
      <c r="N80" s="240"/>
      <c r="O80" s="225"/>
    </row>
    <row r="81" hidden="1">
      <c r="A81" s="250"/>
      <c r="B81" s="235"/>
      <c r="C81" s="236"/>
      <c r="D81" s="237"/>
      <c r="E81" s="237"/>
      <c r="F81" s="179"/>
      <c r="G81" s="179"/>
      <c r="H81" s="241"/>
      <c r="I81" s="18"/>
      <c r="J81" s="18"/>
      <c r="K81" s="13"/>
      <c r="L81" s="13"/>
      <c r="M81" s="240"/>
      <c r="N81" s="240"/>
      <c r="O81" s="225"/>
    </row>
    <row r="82" ht="122.25" hidden="1" customHeight="1">
      <c r="A82" s="253"/>
      <c r="B82" s="179"/>
      <c r="C82" s="236"/>
      <c r="D82" s="237"/>
      <c r="E82" s="237"/>
      <c r="F82" s="179"/>
      <c r="G82" s="179"/>
      <c r="H82" s="241"/>
      <c r="I82" s="18"/>
      <c r="J82" s="18"/>
      <c r="K82" s="13"/>
      <c r="L82" s="13"/>
      <c r="M82" s="240"/>
      <c r="N82" s="240"/>
      <c r="O82" s="225"/>
    </row>
    <row r="83" ht="87.75" hidden="1" customHeight="1">
      <c r="A83" s="253"/>
      <c r="B83" s="179"/>
      <c r="C83" s="236"/>
      <c r="D83" s="237"/>
      <c r="E83" s="237"/>
      <c r="F83" s="179"/>
      <c r="G83" s="179"/>
      <c r="H83" s="241"/>
      <c r="I83" s="18"/>
      <c r="J83" s="18"/>
      <c r="K83" s="13"/>
      <c r="L83" s="13"/>
      <c r="M83" s="240"/>
      <c r="N83" s="240"/>
      <c r="O83" s="225"/>
    </row>
    <row r="84" hidden="1">
      <c r="A84" s="253"/>
      <c r="B84" s="179"/>
      <c r="C84" s="236"/>
      <c r="D84" s="237"/>
      <c r="E84" s="237"/>
      <c r="F84" s="179"/>
      <c r="G84" s="179"/>
      <c r="H84" s="241"/>
      <c r="I84" s="18"/>
      <c r="J84" s="18"/>
      <c r="K84" s="13"/>
      <c r="L84" s="13"/>
      <c r="M84" s="240"/>
      <c r="N84" s="240"/>
      <c r="O84" s="225"/>
    </row>
    <row r="85" ht="83.25" hidden="1" customHeight="1">
      <c r="A85" s="253"/>
      <c r="B85" s="179"/>
      <c r="C85" s="236"/>
      <c r="D85" s="237"/>
      <c r="E85" s="237"/>
      <c r="F85" s="179"/>
      <c r="G85" s="179"/>
      <c r="H85" s="241"/>
      <c r="I85" s="18"/>
      <c r="J85" s="18"/>
      <c r="K85" s="13"/>
      <c r="L85" s="13"/>
      <c r="M85" s="240"/>
      <c r="N85" s="240"/>
      <c r="O85" s="225"/>
    </row>
    <row r="86" ht="87.75" hidden="1" customHeight="1">
      <c r="A86" s="253"/>
      <c r="B86" s="179"/>
      <c r="C86" s="236"/>
      <c r="D86" s="237"/>
      <c r="E86" s="237"/>
      <c r="F86" s="179"/>
      <c r="G86" s="179"/>
      <c r="H86" s="254"/>
      <c r="I86" s="18"/>
      <c r="J86" s="18"/>
      <c r="K86" s="13"/>
      <c r="L86" s="13"/>
      <c r="M86" s="240"/>
      <c r="N86" s="240"/>
      <c r="O86" s="225"/>
    </row>
    <row r="87" ht="89.25" hidden="1" customHeight="1">
      <c r="A87" s="250"/>
      <c r="B87" s="235"/>
      <c r="C87" s="236"/>
      <c r="D87" s="237"/>
      <c r="E87" s="237"/>
      <c r="F87" s="179"/>
      <c r="G87" s="179"/>
      <c r="H87" s="241"/>
      <c r="I87" s="18"/>
      <c r="J87" s="18"/>
      <c r="K87" s="13"/>
      <c r="L87" s="13"/>
      <c r="M87" s="240"/>
      <c r="N87" s="240"/>
      <c r="O87" s="225"/>
    </row>
    <row r="88" ht="174.0" hidden="1" customHeight="1">
      <c r="A88" s="253"/>
      <c r="B88" s="179"/>
      <c r="C88" s="236"/>
      <c r="D88" s="237"/>
      <c r="E88" s="237"/>
      <c r="F88" s="179"/>
      <c r="G88" s="179"/>
      <c r="H88" s="241"/>
      <c r="I88" s="18"/>
      <c r="J88" s="18"/>
      <c r="K88" s="13"/>
      <c r="L88" s="13"/>
      <c r="M88" s="240"/>
      <c r="N88" s="240"/>
      <c r="O88" s="225"/>
    </row>
    <row r="89" ht="174.0" hidden="1" customHeight="1">
      <c r="A89" s="253"/>
      <c r="B89" s="179"/>
      <c r="C89" s="236"/>
      <c r="D89" s="237"/>
      <c r="E89" s="237"/>
      <c r="F89" s="179"/>
      <c r="G89" s="179"/>
      <c r="H89" s="241"/>
      <c r="I89" s="18"/>
      <c r="J89" s="18"/>
      <c r="K89" s="13"/>
      <c r="L89" s="13"/>
      <c r="M89" s="240"/>
      <c r="N89" s="240"/>
      <c r="O89" s="225"/>
    </row>
    <row r="90" ht="122.25" hidden="1" customHeight="1">
      <c r="A90" s="253"/>
      <c r="B90" s="179"/>
      <c r="C90" s="236"/>
      <c r="D90" s="237"/>
      <c r="E90" s="237"/>
      <c r="F90" s="179"/>
      <c r="G90" s="179"/>
      <c r="H90" s="241"/>
      <c r="I90" s="18"/>
      <c r="J90" s="18"/>
      <c r="K90" s="13"/>
      <c r="L90" s="13"/>
      <c r="M90" s="240"/>
      <c r="N90" s="240"/>
      <c r="O90" s="225"/>
    </row>
    <row r="91" ht="57.75" hidden="1" customHeight="1">
      <c r="A91" s="253"/>
      <c r="B91" s="179"/>
      <c r="C91" s="236"/>
      <c r="D91" s="237"/>
      <c r="E91" s="237"/>
      <c r="F91" s="179"/>
      <c r="G91" s="179"/>
      <c r="H91" s="241"/>
      <c r="I91" s="18"/>
      <c r="J91" s="18"/>
      <c r="K91" s="13"/>
      <c r="L91" s="13"/>
      <c r="M91" s="240"/>
      <c r="N91" s="240"/>
      <c r="O91" s="225"/>
    </row>
    <row r="92" ht="57.75" hidden="1" customHeight="1">
      <c r="A92" s="253"/>
      <c r="B92" s="179"/>
      <c r="C92" s="166"/>
      <c r="D92" s="255"/>
      <c r="E92" s="255"/>
      <c r="F92" s="235"/>
      <c r="G92" s="179"/>
      <c r="H92" s="13"/>
      <c r="I92" s="18"/>
      <c r="J92" s="18"/>
      <c r="K92" s="13"/>
      <c r="L92" s="13"/>
      <c r="M92" s="240"/>
      <c r="N92" s="240"/>
      <c r="O92" s="225"/>
    </row>
    <row r="93" ht="57.75" hidden="1" customHeight="1">
      <c r="A93" s="253"/>
      <c r="B93" s="179"/>
      <c r="C93" s="236"/>
      <c r="D93" s="237"/>
      <c r="E93" s="237"/>
      <c r="F93" s="179"/>
      <c r="G93" s="179"/>
      <c r="H93" s="13"/>
      <c r="I93" s="18"/>
      <c r="J93" s="18"/>
      <c r="K93" s="13"/>
      <c r="L93" s="13"/>
      <c r="M93" s="240"/>
      <c r="N93" s="240"/>
      <c r="O93" s="225"/>
    </row>
    <row r="94" ht="57.75" hidden="1" customHeight="1">
      <c r="A94" s="253"/>
      <c r="B94" s="179"/>
      <c r="C94" s="236"/>
      <c r="D94" s="255"/>
      <c r="E94" s="237"/>
      <c r="F94" s="179"/>
      <c r="G94" s="179"/>
      <c r="H94" s="13"/>
      <c r="I94" s="18"/>
      <c r="J94" s="18"/>
      <c r="K94" s="13"/>
      <c r="L94" s="13"/>
      <c r="M94" s="240"/>
      <c r="N94" s="240"/>
      <c r="O94" s="225"/>
    </row>
    <row r="95" ht="57.75" hidden="1" customHeight="1">
      <c r="A95" s="253"/>
      <c r="B95" s="179"/>
      <c r="C95" s="166"/>
      <c r="D95" s="255"/>
      <c r="E95" s="255"/>
      <c r="F95" s="235"/>
      <c r="G95" s="179"/>
      <c r="H95" s="13"/>
      <c r="I95" s="18"/>
      <c r="J95" s="18"/>
      <c r="K95" s="13"/>
      <c r="L95" s="13"/>
      <c r="M95" s="240"/>
      <c r="N95" s="240"/>
      <c r="O95" s="225"/>
    </row>
    <row r="96" ht="57.75" hidden="1" customHeight="1">
      <c r="A96" s="253"/>
      <c r="B96" s="179"/>
      <c r="C96" s="166"/>
      <c r="D96" s="255"/>
      <c r="E96" s="255"/>
      <c r="F96" s="235"/>
      <c r="G96" s="179"/>
      <c r="H96" s="256"/>
      <c r="I96" s="18"/>
      <c r="J96" s="18"/>
      <c r="K96" s="256"/>
      <c r="L96" s="257"/>
      <c r="M96" s="256"/>
      <c r="N96" s="256"/>
      <c r="O96" s="225"/>
    </row>
    <row r="97" ht="57.75" hidden="1" customHeight="1">
      <c r="A97" s="253"/>
      <c r="B97" s="179"/>
      <c r="C97" s="166"/>
      <c r="D97" s="255"/>
      <c r="E97" s="255"/>
      <c r="F97" s="235"/>
      <c r="G97" s="179"/>
      <c r="H97" s="13"/>
      <c r="I97" s="18"/>
      <c r="J97" s="18"/>
      <c r="K97" s="13"/>
      <c r="L97" s="13"/>
      <c r="M97" s="240"/>
      <c r="N97" s="240"/>
      <c r="O97" s="225"/>
    </row>
    <row r="98" ht="57.75" hidden="1" customHeight="1">
      <c r="A98" s="253"/>
      <c r="B98" s="179"/>
      <c r="C98" s="166"/>
      <c r="D98" s="255"/>
      <c r="E98" s="255"/>
      <c r="F98" s="235"/>
      <c r="G98" s="179"/>
      <c r="H98" s="13"/>
      <c r="I98" s="18"/>
      <c r="J98" s="18"/>
      <c r="K98" s="13"/>
      <c r="L98" s="13"/>
      <c r="M98" s="240"/>
      <c r="N98" s="240"/>
      <c r="O98" s="225"/>
    </row>
    <row r="99" ht="57.75" hidden="1" customHeight="1">
      <c r="A99" s="253"/>
      <c r="B99" s="179"/>
      <c r="C99" s="166"/>
      <c r="D99" s="255"/>
      <c r="E99" s="255"/>
      <c r="F99" s="235"/>
      <c r="G99" s="179"/>
      <c r="H99" s="13"/>
      <c r="I99" s="18"/>
      <c r="J99" s="18"/>
      <c r="K99" s="13"/>
      <c r="L99" s="13"/>
      <c r="M99" s="240"/>
      <c r="N99" s="240"/>
      <c r="O99" s="225"/>
    </row>
    <row r="100" ht="57.75" hidden="1" customHeight="1">
      <c r="A100" s="253"/>
      <c r="B100" s="179"/>
      <c r="C100" s="166"/>
      <c r="D100" s="255"/>
      <c r="E100" s="255"/>
      <c r="F100" s="235"/>
      <c r="G100" s="179"/>
      <c r="H100" s="13"/>
      <c r="I100" s="18"/>
      <c r="J100" s="18"/>
      <c r="K100" s="13"/>
      <c r="L100" s="13"/>
      <c r="M100" s="240"/>
      <c r="N100" s="240"/>
      <c r="O100" s="225"/>
    </row>
    <row r="101" ht="57.75" hidden="1" customHeight="1">
      <c r="A101" s="253"/>
      <c r="B101" s="179"/>
      <c r="C101" s="166"/>
      <c r="D101" s="255"/>
      <c r="E101" s="255"/>
      <c r="F101" s="235"/>
      <c r="G101" s="179"/>
      <c r="H101" s="13"/>
      <c r="I101" s="18"/>
      <c r="J101" s="18"/>
      <c r="K101" s="13"/>
      <c r="L101" s="13"/>
      <c r="M101" s="240"/>
      <c r="N101" s="240"/>
      <c r="O101" s="225"/>
    </row>
    <row r="102" ht="57.75" hidden="1" customHeight="1">
      <c r="A102" s="253"/>
      <c r="B102" s="179"/>
      <c r="C102" s="166"/>
      <c r="D102" s="255"/>
      <c r="E102" s="255"/>
      <c r="F102" s="235"/>
      <c r="G102" s="179"/>
      <c r="H102" s="13"/>
      <c r="I102" s="18"/>
      <c r="J102" s="18"/>
      <c r="K102" s="13"/>
      <c r="L102" s="13"/>
      <c r="M102" s="240"/>
      <c r="N102" s="240"/>
      <c r="O102" s="225"/>
    </row>
    <row r="103" ht="57.75" hidden="1" customHeight="1">
      <c r="A103" s="253"/>
      <c r="B103" s="179"/>
      <c r="C103" s="166"/>
      <c r="D103" s="255"/>
      <c r="E103" s="255"/>
      <c r="F103" s="235"/>
      <c r="G103" s="179"/>
      <c r="H103" s="13"/>
      <c r="I103" s="258"/>
      <c r="J103" s="18"/>
      <c r="K103" s="13"/>
      <c r="L103" s="13"/>
      <c r="M103" s="240"/>
      <c r="N103" s="240"/>
      <c r="O103" s="225"/>
    </row>
    <row r="104" ht="57.75" hidden="1" customHeight="1">
      <c r="A104" s="253"/>
      <c r="B104" s="179"/>
      <c r="C104" s="166"/>
      <c r="D104" s="255"/>
      <c r="E104" s="255"/>
      <c r="F104" s="235"/>
      <c r="G104" s="179"/>
      <c r="H104" s="13"/>
      <c r="I104" s="258"/>
      <c r="J104" s="18"/>
      <c r="K104" s="13"/>
      <c r="L104" s="13"/>
      <c r="M104" s="240"/>
      <c r="N104" s="240"/>
      <c r="O104" s="225"/>
    </row>
    <row r="105" ht="57.75" hidden="1" customHeight="1">
      <c r="A105" s="253"/>
      <c r="B105" s="179"/>
      <c r="C105" s="166"/>
      <c r="D105" s="255"/>
      <c r="E105" s="255"/>
      <c r="F105" s="235"/>
      <c r="G105" s="179"/>
      <c r="H105" s="13"/>
      <c r="I105" s="258"/>
      <c r="J105" s="18"/>
      <c r="K105" s="259"/>
      <c r="L105" s="260"/>
      <c r="M105" s="259"/>
      <c r="N105" s="259"/>
      <c r="O105" s="225"/>
    </row>
    <row r="106" ht="57.75" hidden="1" customHeight="1">
      <c r="A106" s="253"/>
      <c r="B106" s="179"/>
      <c r="C106" s="166"/>
      <c r="D106" s="255"/>
      <c r="E106" s="255"/>
      <c r="F106" s="235"/>
      <c r="G106" s="179"/>
      <c r="H106" s="13"/>
      <c r="I106" s="18"/>
      <c r="J106" s="18"/>
      <c r="K106" s="13"/>
      <c r="L106" s="13"/>
      <c r="M106" s="240"/>
      <c r="N106" s="240"/>
      <c r="O106" s="225"/>
    </row>
    <row r="107" ht="57.75" hidden="1" customHeight="1">
      <c r="A107" s="253"/>
      <c r="B107" s="179"/>
      <c r="C107" s="166"/>
      <c r="D107" s="255"/>
      <c r="E107" s="255"/>
      <c r="F107" s="235"/>
      <c r="G107" s="179"/>
      <c r="H107" s="13"/>
      <c r="I107" s="18"/>
      <c r="J107" s="18"/>
      <c r="K107" s="13"/>
      <c r="L107" s="13"/>
      <c r="M107" s="240"/>
      <c r="N107" s="240"/>
      <c r="O107" s="225"/>
    </row>
    <row r="108" ht="57.75" hidden="1" customHeight="1">
      <c r="A108" s="253"/>
      <c r="B108" s="179"/>
      <c r="C108" s="236"/>
      <c r="D108" s="255"/>
      <c r="E108" s="237"/>
      <c r="F108" s="179"/>
      <c r="G108" s="179"/>
      <c r="H108" s="13"/>
      <c r="I108" s="18"/>
      <c r="J108" s="18"/>
      <c r="K108" s="13"/>
      <c r="L108" s="13"/>
      <c r="M108" s="240"/>
      <c r="N108" s="240"/>
      <c r="O108" s="225"/>
    </row>
    <row r="109" ht="57.75" hidden="1" customHeight="1">
      <c r="A109" s="253"/>
      <c r="B109" s="179"/>
      <c r="C109" s="236"/>
      <c r="D109" s="255"/>
      <c r="E109" s="237"/>
      <c r="F109" s="179"/>
      <c r="G109" s="179"/>
      <c r="H109" s="13"/>
      <c r="I109" s="18"/>
      <c r="J109" s="18"/>
      <c r="K109" s="13"/>
      <c r="L109" s="13"/>
      <c r="M109" s="240"/>
      <c r="N109" s="240"/>
      <c r="O109" s="225"/>
    </row>
    <row r="110" ht="57.75" hidden="1" customHeight="1">
      <c r="A110" s="253"/>
      <c r="B110" s="179"/>
      <c r="C110" s="236"/>
      <c r="D110" s="255"/>
      <c r="E110" s="237"/>
      <c r="F110" s="179"/>
      <c r="G110" s="179"/>
      <c r="H110" s="13"/>
      <c r="I110" s="18"/>
      <c r="J110" s="18"/>
      <c r="K110" s="13"/>
      <c r="L110" s="13"/>
      <c r="M110" s="240"/>
      <c r="N110" s="240"/>
      <c r="O110" s="225"/>
    </row>
    <row r="111" ht="57.75" hidden="1" customHeight="1">
      <c r="A111" s="253"/>
      <c r="B111" s="179"/>
      <c r="C111" s="236"/>
      <c r="D111" s="255"/>
      <c r="E111" s="237"/>
      <c r="F111" s="179"/>
      <c r="G111" s="179"/>
      <c r="H111" s="13"/>
      <c r="I111" s="258"/>
      <c r="J111" s="18"/>
      <c r="K111" s="13"/>
      <c r="L111" s="13"/>
      <c r="M111" s="240"/>
      <c r="N111" s="240"/>
      <c r="O111" s="225"/>
    </row>
    <row r="112" ht="57.75" hidden="1" customHeight="1">
      <c r="A112" s="253"/>
      <c r="B112" s="179"/>
      <c r="C112" s="236"/>
      <c r="D112" s="237"/>
      <c r="E112" s="237"/>
      <c r="F112" s="179"/>
      <c r="G112" s="179"/>
      <c r="H112" s="13"/>
      <c r="I112" s="258"/>
      <c r="J112" s="18"/>
      <c r="K112" s="13"/>
      <c r="L112" s="13"/>
      <c r="M112" s="240"/>
      <c r="N112" s="240"/>
      <c r="O112" s="225"/>
    </row>
    <row r="113" ht="57.75" hidden="1" customHeight="1">
      <c r="A113" s="253"/>
      <c r="B113" s="179"/>
      <c r="C113" s="236"/>
      <c r="D113" s="237"/>
      <c r="E113" s="237"/>
      <c r="F113" s="179"/>
      <c r="G113" s="179"/>
      <c r="H113" s="13"/>
      <c r="I113" s="258"/>
      <c r="J113" s="258"/>
      <c r="K113" s="13"/>
      <c r="L113" s="13"/>
      <c r="M113" s="240"/>
      <c r="N113" s="240"/>
      <c r="O113" s="225"/>
    </row>
    <row r="114" ht="57.75" hidden="1" customHeight="1">
      <c r="A114" s="253"/>
      <c r="B114" s="179"/>
      <c r="C114" s="236"/>
      <c r="D114" s="255"/>
      <c r="E114" s="237"/>
      <c r="F114" s="179"/>
      <c r="G114" s="179"/>
      <c r="H114" s="13"/>
      <c r="I114" s="258"/>
      <c r="J114" s="18"/>
      <c r="K114" s="13"/>
      <c r="L114" s="13"/>
      <c r="M114" s="240"/>
      <c r="N114" s="240"/>
      <c r="O114" s="225"/>
    </row>
    <row r="115" ht="57.75" hidden="1" customHeight="1">
      <c r="A115" s="253"/>
      <c r="B115" s="179"/>
      <c r="C115" s="236"/>
      <c r="D115" s="255"/>
      <c r="E115" s="237"/>
      <c r="F115" s="179"/>
      <c r="G115" s="179"/>
      <c r="H115" s="13"/>
      <c r="I115" s="258"/>
      <c r="J115" s="18"/>
      <c r="K115" s="13"/>
      <c r="L115" s="13"/>
      <c r="M115" s="240"/>
      <c r="N115" s="240"/>
      <c r="O115" s="225"/>
    </row>
    <row r="116" ht="57.75" hidden="1" customHeight="1">
      <c r="A116" s="253"/>
      <c r="B116" s="179"/>
      <c r="C116" s="236"/>
      <c r="D116" s="237"/>
      <c r="E116" s="237"/>
      <c r="F116" s="179"/>
      <c r="G116" s="179"/>
      <c r="H116" s="13"/>
      <c r="I116" s="258"/>
      <c r="J116" s="258"/>
      <c r="K116" s="13"/>
      <c r="L116" s="13"/>
      <c r="M116" s="240"/>
      <c r="N116" s="240"/>
      <c r="O116" s="225"/>
    </row>
    <row r="117" ht="57.75" hidden="1" customHeight="1">
      <c r="A117" s="253"/>
      <c r="B117" s="179"/>
      <c r="C117" s="236"/>
      <c r="D117" s="237"/>
      <c r="E117" s="237"/>
      <c r="F117" s="179"/>
      <c r="G117" s="179"/>
      <c r="H117" s="13"/>
      <c r="I117" s="18"/>
      <c r="J117" s="18"/>
      <c r="K117" s="13"/>
      <c r="L117" s="13"/>
      <c r="M117" s="240"/>
      <c r="N117" s="240"/>
      <c r="O117" s="225"/>
    </row>
    <row r="118" ht="57.75" hidden="1" customHeight="1">
      <c r="A118" s="253"/>
      <c r="B118" s="179"/>
      <c r="C118" s="236"/>
      <c r="D118" s="237"/>
      <c r="E118" s="237"/>
      <c r="F118" s="179"/>
      <c r="G118" s="179"/>
      <c r="H118" s="13"/>
      <c r="I118" s="258"/>
      <c r="J118" s="258"/>
      <c r="K118" s="13"/>
      <c r="L118" s="13"/>
      <c r="M118" s="240"/>
      <c r="N118" s="240"/>
      <c r="O118" s="225"/>
    </row>
    <row r="119" ht="57.75" hidden="1" customHeight="1">
      <c r="A119" s="253"/>
      <c r="B119" s="179"/>
      <c r="C119" s="236"/>
      <c r="D119" s="237"/>
      <c r="E119" s="237"/>
      <c r="F119" s="179"/>
      <c r="G119" s="179"/>
      <c r="H119" s="13"/>
      <c r="I119" s="258"/>
      <c r="J119" s="18"/>
      <c r="K119" s="13"/>
      <c r="L119" s="13"/>
      <c r="M119" s="240"/>
      <c r="N119" s="240"/>
      <c r="O119" s="225"/>
    </row>
    <row r="120" ht="57.75" hidden="1" customHeight="1">
      <c r="A120" s="253"/>
      <c r="B120" s="179"/>
      <c r="C120" s="236"/>
      <c r="D120" s="237"/>
      <c r="E120" s="237"/>
      <c r="F120" s="179"/>
      <c r="G120" s="179"/>
      <c r="H120" s="13"/>
      <c r="I120" s="258"/>
      <c r="J120" s="18"/>
      <c r="K120" s="13"/>
      <c r="L120" s="13"/>
      <c r="M120" s="240"/>
      <c r="N120" s="240"/>
      <c r="O120" s="225"/>
    </row>
    <row r="121" ht="57.75" hidden="1" customHeight="1">
      <c r="A121" s="253"/>
      <c r="B121" s="179"/>
      <c r="C121" s="236"/>
      <c r="D121" s="237"/>
      <c r="E121" s="237"/>
      <c r="F121" s="179"/>
      <c r="G121" s="179"/>
      <c r="H121" s="13"/>
      <c r="I121" s="258"/>
      <c r="J121" s="18"/>
      <c r="K121" s="13"/>
      <c r="L121" s="13"/>
      <c r="M121" s="240"/>
      <c r="N121" s="240"/>
      <c r="O121" s="225"/>
    </row>
    <row r="122" ht="57.75" hidden="1" customHeight="1">
      <c r="A122" s="253"/>
      <c r="B122" s="179"/>
      <c r="C122" s="236"/>
      <c r="D122" s="237"/>
      <c r="E122" s="237"/>
      <c r="F122" s="179"/>
      <c r="G122" s="179"/>
      <c r="H122" s="13"/>
      <c r="I122" s="258"/>
      <c r="J122" s="18"/>
      <c r="K122" s="13"/>
      <c r="L122" s="13"/>
      <c r="M122" s="240"/>
      <c r="N122" s="240"/>
      <c r="O122" s="225"/>
    </row>
    <row r="123" ht="57.75" hidden="1" customHeight="1">
      <c r="A123" s="253"/>
      <c r="B123" s="179"/>
      <c r="C123" s="236"/>
      <c r="D123" s="237"/>
      <c r="E123" s="237"/>
      <c r="F123" s="179"/>
      <c r="G123" s="179"/>
      <c r="H123" s="13"/>
      <c r="I123" s="258"/>
      <c r="J123" s="18"/>
      <c r="K123" s="13"/>
      <c r="L123" s="13"/>
      <c r="M123" s="240"/>
      <c r="N123" s="240"/>
      <c r="O123" s="225"/>
    </row>
    <row r="124" ht="57.75" hidden="1" customHeight="1">
      <c r="A124" s="253"/>
      <c r="B124" s="179"/>
      <c r="C124" s="236"/>
      <c r="D124" s="237"/>
      <c r="E124" s="237"/>
      <c r="F124" s="179"/>
      <c r="G124" s="179"/>
      <c r="H124" s="13"/>
      <c r="I124" s="258"/>
      <c r="J124" s="18"/>
      <c r="K124" s="13"/>
      <c r="L124" s="13"/>
      <c r="M124" s="240"/>
      <c r="N124" s="240"/>
      <c r="O124" s="225"/>
    </row>
    <row r="125" ht="57.75" hidden="1" customHeight="1">
      <c r="A125" s="253"/>
      <c r="B125" s="179"/>
      <c r="C125" s="236"/>
      <c r="D125" s="237"/>
      <c r="E125" s="237"/>
      <c r="F125" s="179"/>
      <c r="G125" s="179"/>
      <c r="H125" s="13"/>
      <c r="I125" s="258"/>
      <c r="J125" s="18"/>
      <c r="K125" s="13"/>
      <c r="L125" s="13"/>
      <c r="M125" s="240"/>
      <c r="N125" s="240"/>
      <c r="O125" s="225"/>
    </row>
    <row r="126" ht="57.75" hidden="1" customHeight="1">
      <c r="A126" s="253"/>
      <c r="B126" s="179"/>
      <c r="C126" s="236"/>
      <c r="D126" s="237"/>
      <c r="E126" s="237"/>
      <c r="F126" s="179"/>
      <c r="G126" s="179"/>
      <c r="H126" s="13"/>
      <c r="I126" s="258"/>
      <c r="J126" s="18"/>
      <c r="K126" s="13"/>
      <c r="L126" s="13"/>
      <c r="M126" s="240"/>
      <c r="N126" s="240"/>
      <c r="O126" s="225"/>
    </row>
    <row r="127" ht="57.75" hidden="1" customHeight="1">
      <c r="A127" s="253"/>
      <c r="B127" s="179"/>
      <c r="C127" s="236"/>
      <c r="D127" s="237"/>
      <c r="E127" s="237"/>
      <c r="F127" s="179"/>
      <c r="G127" s="179"/>
      <c r="H127" s="13"/>
      <c r="I127" s="258"/>
      <c r="J127" s="18"/>
      <c r="K127" s="13"/>
      <c r="L127" s="13"/>
      <c r="M127" s="240"/>
      <c r="N127" s="240"/>
      <c r="O127" s="225"/>
    </row>
    <row r="128" ht="57.75" hidden="1" customHeight="1">
      <c r="A128" s="253"/>
      <c r="B128" s="179"/>
      <c r="C128" s="236"/>
      <c r="D128" s="237"/>
      <c r="E128" s="237"/>
      <c r="F128" s="179"/>
      <c r="G128" s="179"/>
      <c r="H128" s="13"/>
      <c r="I128" s="258"/>
      <c r="J128" s="18"/>
      <c r="K128" s="13"/>
      <c r="L128" s="13"/>
      <c r="M128" s="240"/>
      <c r="N128" s="240"/>
      <c r="O128" s="225"/>
    </row>
    <row r="129" ht="57.75" hidden="1" customHeight="1">
      <c r="A129" s="253"/>
      <c r="B129" s="179"/>
      <c r="C129" s="236"/>
      <c r="D129" s="237"/>
      <c r="E129" s="237"/>
      <c r="F129" s="179"/>
      <c r="G129" s="179"/>
      <c r="H129" s="13"/>
      <c r="I129" s="18"/>
      <c r="J129" s="18"/>
      <c r="K129" s="13"/>
      <c r="L129" s="13"/>
      <c r="M129" s="240"/>
      <c r="N129" s="240"/>
      <c r="O129" s="225"/>
    </row>
    <row r="130" ht="57.75" hidden="1" customHeight="1">
      <c r="A130" s="253"/>
      <c r="B130" s="179"/>
      <c r="C130" s="236"/>
      <c r="D130" s="237"/>
      <c r="E130" s="237"/>
      <c r="F130" s="179"/>
      <c r="G130" s="179"/>
      <c r="H130" s="13"/>
      <c r="I130" s="258"/>
      <c r="J130" s="18"/>
      <c r="K130" s="13"/>
      <c r="L130" s="13"/>
      <c r="M130" s="240"/>
      <c r="N130" s="240"/>
      <c r="O130" s="225"/>
    </row>
    <row r="131" ht="57.75" hidden="1" customHeight="1">
      <c r="A131" s="253"/>
      <c r="B131" s="179"/>
      <c r="C131" s="236"/>
      <c r="D131" s="237"/>
      <c r="E131" s="237"/>
      <c r="F131" s="179"/>
      <c r="G131" s="179"/>
      <c r="H131" s="13"/>
      <c r="I131" s="258"/>
      <c r="J131" s="18"/>
      <c r="K131" s="13"/>
      <c r="L131" s="13"/>
      <c r="M131" s="240"/>
      <c r="N131" s="240"/>
      <c r="O131" s="225"/>
    </row>
    <row r="132" ht="57.75" hidden="1" customHeight="1">
      <c r="A132" s="253"/>
      <c r="B132" s="179"/>
      <c r="C132" s="236"/>
      <c r="D132" s="237"/>
      <c r="E132" s="237"/>
      <c r="F132" s="179"/>
      <c r="G132" s="179"/>
      <c r="H132" s="13"/>
      <c r="I132" s="258"/>
      <c r="J132" s="18"/>
      <c r="K132" s="13"/>
      <c r="L132" s="13"/>
      <c r="M132" s="240"/>
      <c r="N132" s="240"/>
      <c r="O132" s="225"/>
    </row>
    <row r="133" ht="57.75" hidden="1" customHeight="1">
      <c r="A133" s="253"/>
      <c r="B133" s="179"/>
      <c r="C133" s="236"/>
      <c r="D133" s="237"/>
      <c r="E133" s="237"/>
      <c r="F133" s="179"/>
      <c r="G133" s="179"/>
      <c r="H133" s="13"/>
      <c r="I133" s="258"/>
      <c r="J133" s="18"/>
      <c r="K133" s="13"/>
      <c r="L133" s="13"/>
      <c r="M133" s="240"/>
      <c r="N133" s="240"/>
      <c r="O133" s="225"/>
    </row>
    <row r="134" ht="57.75" hidden="1" customHeight="1">
      <c r="A134" s="253"/>
      <c r="B134" s="179"/>
      <c r="C134" s="236"/>
      <c r="D134" s="237"/>
      <c r="E134" s="237"/>
      <c r="F134" s="179"/>
      <c r="G134" s="179"/>
      <c r="H134" s="13"/>
      <c r="I134" s="258"/>
      <c r="J134" s="18"/>
      <c r="K134" s="13"/>
      <c r="L134" s="13"/>
      <c r="M134" s="240"/>
      <c r="N134" s="240"/>
      <c r="O134" s="225"/>
    </row>
    <row r="135" ht="57.75" hidden="1" customHeight="1">
      <c r="A135" s="253"/>
      <c r="B135" s="179"/>
      <c r="C135" s="236"/>
      <c r="D135" s="237"/>
      <c r="E135" s="237"/>
      <c r="F135" s="179"/>
      <c r="G135" s="179"/>
      <c r="H135" s="13"/>
      <c r="I135" s="258"/>
      <c r="J135" s="18"/>
      <c r="K135" s="13"/>
      <c r="L135" s="13"/>
      <c r="M135" s="240"/>
      <c r="N135" s="240"/>
      <c r="O135" s="225"/>
    </row>
    <row r="136" ht="57.75" hidden="1" customHeight="1">
      <c r="A136" s="253"/>
      <c r="B136" s="179"/>
      <c r="C136" s="236"/>
      <c r="D136" s="237"/>
      <c r="E136" s="237"/>
      <c r="F136" s="179"/>
      <c r="G136" s="179"/>
      <c r="H136" s="13"/>
      <c r="I136" s="258"/>
      <c r="J136" s="18"/>
      <c r="K136" s="13"/>
      <c r="L136" s="13"/>
      <c r="M136" s="240"/>
      <c r="N136" s="240"/>
      <c r="O136" s="225"/>
    </row>
    <row r="137" ht="57.75" hidden="1" customHeight="1">
      <c r="A137" s="253"/>
      <c r="B137" s="179"/>
      <c r="C137" s="236"/>
      <c r="D137" s="237"/>
      <c r="E137" s="237"/>
      <c r="F137" s="179"/>
      <c r="G137" s="179"/>
      <c r="H137" s="13"/>
      <c r="I137" s="258"/>
      <c r="J137" s="18"/>
      <c r="K137" s="13"/>
      <c r="L137" s="13"/>
      <c r="M137" s="240"/>
      <c r="N137" s="240"/>
      <c r="O137" s="225"/>
    </row>
    <row r="138" ht="57.75" hidden="1" customHeight="1">
      <c r="A138" s="253"/>
      <c r="B138" s="179"/>
      <c r="C138" s="236"/>
      <c r="D138" s="237"/>
      <c r="E138" s="237"/>
      <c r="F138" s="179"/>
      <c r="G138" s="179"/>
      <c r="H138" s="13"/>
      <c r="I138" s="258"/>
      <c r="J138" s="18"/>
      <c r="K138" s="13"/>
      <c r="L138" s="13"/>
      <c r="M138" s="240"/>
      <c r="N138" s="240"/>
      <c r="O138" s="225"/>
    </row>
    <row r="139" ht="57.75" hidden="1" customHeight="1">
      <c r="A139" s="253"/>
      <c r="B139" s="179"/>
      <c r="C139" s="236"/>
      <c r="D139" s="237"/>
      <c r="E139" s="237"/>
      <c r="F139" s="179"/>
      <c r="G139" s="179"/>
      <c r="H139" s="13"/>
      <c r="I139" s="258"/>
      <c r="J139" s="18"/>
      <c r="K139" s="13"/>
      <c r="L139" s="13"/>
      <c r="M139" s="240"/>
      <c r="N139" s="240"/>
      <c r="O139" s="225"/>
    </row>
    <row r="140" ht="57.75" hidden="1" customHeight="1">
      <c r="A140" s="253"/>
      <c r="B140" s="179"/>
      <c r="C140" s="236"/>
      <c r="D140" s="237"/>
      <c r="E140" s="237"/>
      <c r="F140" s="179"/>
      <c r="G140" s="179"/>
      <c r="H140" s="13"/>
      <c r="I140" s="258"/>
      <c r="J140" s="18"/>
      <c r="K140" s="13"/>
      <c r="L140" s="13"/>
      <c r="M140" s="240"/>
      <c r="N140" s="240"/>
      <c r="O140" s="225"/>
    </row>
    <row r="141" ht="57.75" customHeight="1">
      <c r="A141" s="261"/>
      <c r="B141" s="262"/>
      <c r="C141" s="263"/>
      <c r="D141" s="264"/>
      <c r="E141" s="264"/>
      <c r="F141" s="262"/>
      <c r="G141" s="262"/>
      <c r="H141" s="240"/>
      <c r="I141" s="225"/>
      <c r="J141" s="225"/>
      <c r="K141" s="240"/>
      <c r="L141" s="240"/>
      <c r="M141" s="240"/>
      <c r="N141" s="240"/>
      <c r="O141" s="225"/>
    </row>
  </sheetData>
  <autoFilter ref="$A$1:$O$140">
    <filterColumn colId="8">
      <filters>
        <filter val="邦邦"/>
      </filters>
    </filterColumn>
  </autoFilter>
  <customSheetViews>
    <customSheetView guid="{BEBD1EEB-1477-4C60-A76F-C1C20538AC33}" filter="1" showAutoFilter="1">
      <autoFilter ref="$A$1:$O$140">
        <filterColumn colId="5">
          <filters>
            <filter val="NA"/>
          </filters>
        </filterColumn>
      </autoFilter>
    </customSheetView>
    <customSheetView guid="{7E71B5F7-61AF-4C93-AAAA-D905E381EEB1}" filter="1" showAutoFilter="1">
      <autoFilter ref="$A$1:$K$104"/>
    </customSheetView>
    <customSheetView guid="{E0F697A7-8F80-4AD9-9696-95D1452F7CEA}" filter="1" showAutoFilter="1">
      <autoFilter ref="$A$1:$L$67"/>
    </customSheetView>
    <customSheetView guid="{35A93920-2C98-4ACF-95FD-9E549BB0A80C}" filter="1" showAutoFilter="1">
      <autoFilter ref="$A$1:$O$140">
        <filterColumn colId="5">
          <filters>
            <filter val="NA"/>
          </filters>
        </filterColumn>
      </autoFilter>
    </customSheetView>
    <customSheetView guid="{029C2313-9411-4E27-907A-EFD996D6C4E5}" filter="1" showAutoFilter="1">
      <autoFilter ref="$F$1:$I$140"/>
    </customSheetView>
    <customSheetView guid="{3EDA368C-82AF-4F91-99D0-447C6D0C3AC0}" filter="1" showAutoFilter="1">
      <autoFilter ref="$A$1:$I$140"/>
    </customSheetView>
    <customSheetView guid="{DF01C596-C6C8-4FD7-8689-9293067D3717}" filter="1" showAutoFilter="1">
      <autoFilter ref="$A$1:$L$56"/>
    </customSheetView>
    <customSheetView guid="{14910ABA-25C5-4249-BD6C-ACF0CEBAD616}" filter="1" showAutoFilter="1">
      <autoFilter ref="$A$1:$I$140"/>
    </customSheetView>
    <customSheetView guid="{D5F0B65D-66C9-4347-A490-E122D728248F}" filter="1" showAutoFilter="1">
      <autoFilter ref="$A$1:$O$53"/>
    </customSheetView>
    <customSheetView guid="{4E722777-354C-41C4-BDAF-3C065BD42EC8}" filter="1" showAutoFilter="1">
      <autoFilter ref="$A$1:$K$129"/>
    </customSheetView>
    <customSheetView guid="{75472B64-22E8-45FC-A839-460B446DB55F}" filter="1" showAutoFilter="1">
      <autoFilter ref="$A$1:$I$140"/>
    </customSheetView>
    <customSheetView guid="{0373266D-FDE9-402D-B356-CC4A29DEE2C4}" filter="1" showAutoFilter="1">
      <autoFilter ref="$A$1:$I$140">
        <filterColumn colId="8">
          <filters blank="1">
            <filter val="小熊"/>
            <filter val="邦邦"/>
            <filter val="李果"/>
            <filter val="芳梅"/>
            <filter val="林峰"/>
            <filter val="嘉琨"/>
            <filter val="吉吉"/>
            <filter val="文亭"/>
            <filter val="川叔"/>
            <filter val="敏敏"/>
            <filter val="院长"/>
          </filters>
        </filterColumn>
      </autoFilter>
    </customSheetView>
    <customSheetView guid="{7CD3BC90-8565-4EF1-83E0-02DA5A629FB7}" filter="1" showAutoFilter="1">
      <autoFilter ref="$A$1:$K$130"/>
    </customSheetView>
  </customSheetViews>
  <conditionalFormatting sqref="F2:F141">
    <cfRule type="containsText" dxfId="0" priority="1" operator="containsText" text="Closed">
      <formula>NOT(ISERROR(SEARCH(("Closed"),(F2))))</formula>
    </cfRule>
  </conditionalFormatting>
  <conditionalFormatting sqref="F2:F141">
    <cfRule type="containsText" dxfId="3" priority="2" operator="containsText" text="Monitor">
      <formula>NOT(ISERROR(SEARCH(("Monitor"),(F2))))</formula>
    </cfRule>
  </conditionalFormatting>
  <conditionalFormatting sqref="F2:F141">
    <cfRule type="containsText" dxfId="4" priority="3" operator="containsText" text="Open">
      <formula>NOT(ISERROR(SEARCH(("Open"),(F2))))</formula>
    </cfRule>
  </conditionalFormatting>
  <dataValidations>
    <dataValidation type="list" allowBlank="1" sqref="B2:B141">
      <formula1>Option!$C$2:$C$16</formula1>
    </dataValidation>
    <dataValidation type="list" allowBlank="1" sqref="I2:J6 I7:I8 I9:J141">
      <formula1>Option!$K$2:$K$17</formula1>
    </dataValidation>
    <dataValidation type="list" allowBlank="1" sqref="C2:C141">
      <formula1>Option!$E$2:$E$13</formula1>
    </dataValidation>
    <dataValidation type="list" allowBlank="1" sqref="D2:D141">
      <formula1>Option!$D$2:$D$15</formula1>
    </dataValidation>
    <dataValidation type="list" allowBlank="1" sqref="F2:F141">
      <formula1>Option!$F$2:$F$5</formula1>
    </dataValidation>
    <dataValidation type="list" allowBlank="1" sqref="L2:N141">
      <formula1>"1.SCH,2.PCB,3.BOM,4.Parameter,5.SW/ME/RF/ANT/Component/MFG/Vendor,6.No Change"</formula1>
    </dataValidation>
    <dataValidation type="list" allowBlank="1" sqref="O9:O141">
      <formula1>Option!$L$2:$L$16</formula1>
    </dataValidation>
    <dataValidation type="list" allowBlank="1" sqref="E2:E141">
      <formula1>Option!$G$2:$G$5</formula1>
    </dataValidation>
  </dataValidations>
  <hyperlinks>
    <hyperlink r:id="rId4" ref="L34"/>
    <hyperlink r:id="rId5" ref="L35"/>
    <hyperlink r:id="rId6" ref="H38"/>
    <hyperlink r:id="rId7" ref="L41"/>
    <hyperlink r:id="rId8" ref="L42"/>
    <hyperlink r:id="rId9" ref="L43"/>
    <hyperlink r:id="rId10" ref="L44"/>
    <hyperlink r:id="rId11" ref="L45"/>
    <hyperlink r:id="rId12" ref="L48"/>
    <hyperlink r:id="rId13" ref="L50"/>
    <hyperlink r:id="rId14" ref="L51"/>
    <hyperlink r:id="rId15" ref="L52"/>
    <hyperlink r:id="rId16" ref="L53"/>
    <hyperlink r:id="rId17" ref="L54"/>
    <hyperlink r:id="rId18" ref="L55"/>
    <hyperlink r:id="rId19" ref="G63"/>
    <hyperlink r:id="rId20" ref="G64"/>
    <hyperlink r:id="rId21" ref="L64"/>
    <hyperlink r:id="rId22" ref="G66"/>
  </hyperlinks>
  <drawing r:id="rId23"/>
  <legacyDrawing r:id="rId24"/>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5.13" defaultRowHeight="15.0"/>
  <cols>
    <col customWidth="1" min="1" max="1" width="10.38"/>
    <col customWidth="1" min="2" max="2" width="10.88"/>
    <col customWidth="1" min="3" max="3" width="12.88"/>
    <col customWidth="1" min="4" max="4" width="14.88"/>
    <col customWidth="1" min="5" max="5" width="11.0"/>
    <col customWidth="1" min="6" max="6" width="10.0"/>
    <col customWidth="1" min="7" max="7" width="86.0"/>
    <col customWidth="1" min="8" max="8" width="7.38"/>
    <col customWidth="1" min="9" max="9" width="9.88"/>
    <col customWidth="1" min="10" max="10" width="12.38"/>
    <col customWidth="1" min="11" max="11" width="12.0"/>
    <col customWidth="1" min="12" max="12" width="23.13"/>
    <col customWidth="1" hidden="1" min="13" max="13" width="12.88"/>
  </cols>
  <sheetData>
    <row r="1">
      <c r="A1" s="4" t="s">
        <v>54</v>
      </c>
      <c r="B1" s="4" t="s">
        <v>1</v>
      </c>
      <c r="C1" s="4" t="s">
        <v>2</v>
      </c>
      <c r="D1" s="4" t="s">
        <v>3</v>
      </c>
      <c r="E1" s="4" t="s">
        <v>4</v>
      </c>
      <c r="F1" s="4" t="s">
        <v>5</v>
      </c>
      <c r="G1" s="4"/>
      <c r="H1" s="4" t="s">
        <v>7</v>
      </c>
      <c r="I1" s="3" t="s">
        <v>8</v>
      </c>
      <c r="J1" s="3" t="s">
        <v>9</v>
      </c>
      <c r="K1" s="4" t="s">
        <v>10</v>
      </c>
      <c r="L1" s="4" t="s">
        <v>11</v>
      </c>
      <c r="M1" s="213" t="s">
        <v>714</v>
      </c>
    </row>
    <row r="2">
      <c r="A2" s="200">
        <v>44063.0</v>
      </c>
      <c r="B2" s="130" t="s">
        <v>172</v>
      </c>
      <c r="C2" s="8" t="s">
        <v>26</v>
      </c>
      <c r="D2" s="132" t="s">
        <v>14</v>
      </c>
      <c r="E2" s="132" t="s">
        <v>22</v>
      </c>
      <c r="F2" s="179" t="s">
        <v>16</v>
      </c>
      <c r="G2" s="130" t="s">
        <v>900</v>
      </c>
      <c r="H2" s="265"/>
      <c r="I2" s="175" t="s">
        <v>463</v>
      </c>
      <c r="J2" s="175" t="s">
        <v>66</v>
      </c>
      <c r="K2" s="266"/>
      <c r="L2" s="27" t="s">
        <v>71</v>
      </c>
      <c r="M2" s="219"/>
    </row>
    <row r="3">
      <c r="A3" s="200">
        <v>44010.0</v>
      </c>
      <c r="B3" s="130" t="s">
        <v>12</v>
      </c>
      <c r="C3" s="8" t="s">
        <v>72</v>
      </c>
      <c r="D3" s="132" t="s">
        <v>14</v>
      </c>
      <c r="E3" s="132" t="s">
        <v>22</v>
      </c>
      <c r="F3" s="179" t="s">
        <v>16</v>
      </c>
      <c r="G3" s="130" t="s">
        <v>901</v>
      </c>
      <c r="H3" s="265"/>
      <c r="I3" s="175" t="s">
        <v>74</v>
      </c>
      <c r="J3" s="175"/>
      <c r="K3" s="266"/>
      <c r="L3" s="27" t="s">
        <v>71</v>
      </c>
      <c r="M3" s="219"/>
    </row>
    <row r="4">
      <c r="A4" s="200">
        <v>44004.0</v>
      </c>
      <c r="B4" s="130" t="s">
        <v>25</v>
      </c>
      <c r="C4" s="8" t="s">
        <v>49</v>
      </c>
      <c r="D4" s="132" t="s">
        <v>27</v>
      </c>
      <c r="E4" s="132" t="s">
        <v>64</v>
      </c>
      <c r="F4" s="179" t="s">
        <v>64</v>
      </c>
      <c r="G4" s="130" t="s">
        <v>902</v>
      </c>
      <c r="H4" s="265" t="s">
        <v>61</v>
      </c>
      <c r="I4" s="175" t="s">
        <v>115</v>
      </c>
      <c r="J4" s="175"/>
      <c r="K4" s="266"/>
      <c r="L4" s="27" t="s">
        <v>71</v>
      </c>
      <c r="M4" s="219"/>
    </row>
    <row r="5" ht="56.25" customHeight="1">
      <c r="A5" s="200">
        <v>43999.0</v>
      </c>
      <c r="B5" s="130" t="s">
        <v>19</v>
      </c>
      <c r="C5" s="8" t="s">
        <v>33</v>
      </c>
      <c r="D5" s="132" t="s">
        <v>89</v>
      </c>
      <c r="E5" s="132" t="s">
        <v>64</v>
      </c>
      <c r="F5" s="179" t="s">
        <v>64</v>
      </c>
      <c r="G5" s="130" t="s">
        <v>903</v>
      </c>
      <c r="H5" s="265"/>
      <c r="I5" s="175" t="s">
        <v>463</v>
      </c>
      <c r="J5" s="175"/>
      <c r="K5" s="266"/>
      <c r="L5" s="27" t="s">
        <v>71</v>
      </c>
      <c r="M5" s="219"/>
    </row>
    <row r="6">
      <c r="A6" s="200">
        <v>44004.0</v>
      </c>
      <c r="B6" s="130" t="s">
        <v>25</v>
      </c>
      <c r="C6" s="8" t="s">
        <v>57</v>
      </c>
      <c r="D6" s="132" t="s">
        <v>21</v>
      </c>
      <c r="E6" s="132" t="s">
        <v>15</v>
      </c>
      <c r="F6" s="179" t="s">
        <v>16</v>
      </c>
      <c r="G6" s="130" t="s">
        <v>904</v>
      </c>
      <c r="H6" s="265"/>
      <c r="I6" s="175" t="s">
        <v>66</v>
      </c>
      <c r="J6" s="175" t="s">
        <v>70</v>
      </c>
      <c r="K6" s="266"/>
      <c r="L6" s="27" t="s">
        <v>71</v>
      </c>
      <c r="M6" s="219"/>
    </row>
    <row r="7">
      <c r="A7" s="200">
        <v>44004.0</v>
      </c>
      <c r="B7" s="130" t="s">
        <v>25</v>
      </c>
      <c r="C7" s="8" t="s">
        <v>57</v>
      </c>
      <c r="D7" s="132" t="s">
        <v>21</v>
      </c>
      <c r="E7" s="132" t="s">
        <v>15</v>
      </c>
      <c r="F7" s="179" t="s">
        <v>16</v>
      </c>
      <c r="G7" s="130" t="s">
        <v>905</v>
      </c>
      <c r="H7" s="265"/>
      <c r="I7" s="175" t="s">
        <v>67</v>
      </c>
      <c r="J7" s="175" t="s">
        <v>70</v>
      </c>
      <c r="K7" s="266"/>
      <c r="L7" s="27" t="s">
        <v>71</v>
      </c>
      <c r="M7" s="219"/>
    </row>
    <row r="8" ht="56.25" customHeight="1">
      <c r="A8" s="200">
        <v>44001.0</v>
      </c>
      <c r="B8" s="130" t="s">
        <v>19</v>
      </c>
      <c r="C8" s="8" t="s">
        <v>30</v>
      </c>
      <c r="D8" s="132" t="s">
        <v>89</v>
      </c>
      <c r="E8" s="132" t="s">
        <v>64</v>
      </c>
      <c r="F8" s="179" t="s">
        <v>16</v>
      </c>
      <c r="G8" s="130" t="s">
        <v>906</v>
      </c>
      <c r="H8" s="265"/>
      <c r="I8" s="175" t="s">
        <v>127</v>
      </c>
      <c r="J8" s="175" t="s">
        <v>70</v>
      </c>
      <c r="K8" s="266"/>
      <c r="L8" s="27" t="s">
        <v>162</v>
      </c>
      <c r="M8" s="219"/>
    </row>
    <row r="9">
      <c r="A9" s="200">
        <v>43999.0</v>
      </c>
      <c r="B9" s="130" t="s">
        <v>43</v>
      </c>
      <c r="C9" s="8" t="s">
        <v>49</v>
      </c>
      <c r="D9" s="132" t="s">
        <v>89</v>
      </c>
      <c r="E9" s="132" t="s">
        <v>64</v>
      </c>
      <c r="F9" s="179" t="s">
        <v>16</v>
      </c>
      <c r="G9" s="130" t="s">
        <v>907</v>
      </c>
      <c r="H9" s="265" t="s">
        <v>61</v>
      </c>
      <c r="I9" s="175" t="s">
        <v>115</v>
      </c>
      <c r="J9" s="175" t="s">
        <v>346</v>
      </c>
      <c r="K9" s="266"/>
      <c r="L9" s="27" t="s">
        <v>162</v>
      </c>
      <c r="M9" s="219"/>
    </row>
    <row r="10" ht="56.25" customHeight="1">
      <c r="A10" s="200">
        <v>43992.0</v>
      </c>
      <c r="B10" s="130" t="s">
        <v>25</v>
      </c>
      <c r="C10" s="8" t="s">
        <v>57</v>
      </c>
      <c r="D10" s="132" t="s">
        <v>21</v>
      </c>
      <c r="E10" s="132" t="s">
        <v>22</v>
      </c>
      <c r="F10" s="179" t="s">
        <v>16</v>
      </c>
      <c r="G10" s="130" t="s">
        <v>908</v>
      </c>
      <c r="H10" s="265" t="s">
        <v>112</v>
      </c>
      <c r="I10" s="175" t="s">
        <v>115</v>
      </c>
      <c r="J10" s="175" t="s">
        <v>70</v>
      </c>
      <c r="K10" s="266"/>
      <c r="L10" s="27" t="s">
        <v>71</v>
      </c>
      <c r="M10" s="219"/>
    </row>
    <row r="11" ht="298.5" customHeight="1">
      <c r="A11" s="200">
        <v>43944.0</v>
      </c>
      <c r="B11" s="130" t="s">
        <v>43</v>
      </c>
      <c r="C11" s="8" t="s">
        <v>72</v>
      </c>
      <c r="D11" s="132" t="s">
        <v>27</v>
      </c>
      <c r="E11" s="132" t="s">
        <v>64</v>
      </c>
      <c r="F11" s="179" t="s">
        <v>16</v>
      </c>
      <c r="G11" s="267" t="s">
        <v>909</v>
      </c>
      <c r="H11" s="146" t="str">
        <f>HYPERLINK("https://docs.google.com/presentation/d/1EoIlOpgtajFwV90Wb2tkZSReVYjX7ljThfWe9VN41bQ/edit#slide=id.g5b08e3411b_0_2","link")</f>
        <v>link</v>
      </c>
      <c r="I11" s="175" t="s">
        <v>74</v>
      </c>
      <c r="J11" s="175" t="s">
        <v>699</v>
      </c>
      <c r="K11" s="266"/>
      <c r="L11" s="27" t="s">
        <v>71</v>
      </c>
      <c r="M11" s="219"/>
    </row>
    <row r="12" ht="114.75" customHeight="1">
      <c r="A12" s="200">
        <v>43976.0</v>
      </c>
      <c r="B12" s="130" t="s">
        <v>19</v>
      </c>
      <c r="C12" s="8" t="s">
        <v>33</v>
      </c>
      <c r="D12" s="132" t="s">
        <v>44</v>
      </c>
      <c r="E12" s="132" t="s">
        <v>22</v>
      </c>
      <c r="F12" s="179" t="s">
        <v>16</v>
      </c>
      <c r="G12" s="130" t="s">
        <v>910</v>
      </c>
      <c r="H12" s="144"/>
      <c r="I12" s="175" t="s">
        <v>463</v>
      </c>
      <c r="J12" s="175"/>
      <c r="K12" s="266"/>
      <c r="L12" s="27" t="s">
        <v>162</v>
      </c>
      <c r="M12" s="219"/>
    </row>
    <row r="13">
      <c r="A13" s="200">
        <v>43971.0</v>
      </c>
      <c r="B13" s="130" t="s">
        <v>43</v>
      </c>
      <c r="C13" s="8" t="s">
        <v>13</v>
      </c>
      <c r="D13" s="132" t="s">
        <v>27</v>
      </c>
      <c r="E13" s="132" t="s">
        <v>22</v>
      </c>
      <c r="F13" s="179" t="s">
        <v>16</v>
      </c>
      <c r="G13" s="130" t="s">
        <v>911</v>
      </c>
      <c r="H13" s="184" t="s">
        <v>112</v>
      </c>
      <c r="I13" s="175" t="s">
        <v>79</v>
      </c>
      <c r="J13" s="175"/>
      <c r="K13" s="268" t="s">
        <v>912</v>
      </c>
      <c r="L13" s="27" t="s">
        <v>68</v>
      </c>
      <c r="M13" s="219"/>
    </row>
    <row r="14">
      <c r="A14" s="200">
        <v>43976.0</v>
      </c>
      <c r="B14" s="130" t="s">
        <v>19</v>
      </c>
      <c r="C14" s="8" t="s">
        <v>83</v>
      </c>
      <c r="D14" s="132" t="s">
        <v>14</v>
      </c>
      <c r="E14" s="132" t="s">
        <v>64</v>
      </c>
      <c r="F14" s="179" t="s">
        <v>64</v>
      </c>
      <c r="G14" s="130" t="s">
        <v>913</v>
      </c>
      <c r="H14" s="184" t="s">
        <v>61</v>
      </c>
      <c r="I14" s="175" t="s">
        <v>66</v>
      </c>
      <c r="J14" s="175"/>
      <c r="K14" s="266"/>
      <c r="L14" s="98"/>
      <c r="M14" s="219"/>
    </row>
    <row r="15">
      <c r="A15" s="200">
        <v>43966.0</v>
      </c>
      <c r="B15" s="130" t="s">
        <v>43</v>
      </c>
      <c r="C15" s="8" t="s">
        <v>13</v>
      </c>
      <c r="D15" s="132" t="s">
        <v>44</v>
      </c>
      <c r="E15" s="132" t="s">
        <v>22</v>
      </c>
      <c r="F15" s="179" t="s">
        <v>16</v>
      </c>
      <c r="G15" s="130" t="s">
        <v>914</v>
      </c>
      <c r="H15" s="184" t="s">
        <v>112</v>
      </c>
      <c r="I15" s="175" t="s">
        <v>79</v>
      </c>
      <c r="J15" s="175"/>
      <c r="K15" s="266"/>
      <c r="L15" s="27" t="s">
        <v>162</v>
      </c>
      <c r="M15" s="219"/>
    </row>
    <row r="16" ht="129.75" customHeight="1">
      <c r="A16" s="200">
        <v>43957.0</v>
      </c>
      <c r="B16" s="130" t="s">
        <v>43</v>
      </c>
      <c r="C16" s="8" t="s">
        <v>57</v>
      </c>
      <c r="D16" s="132" t="s">
        <v>21</v>
      </c>
      <c r="E16" s="132" t="s">
        <v>22</v>
      </c>
      <c r="F16" s="179" t="s">
        <v>16</v>
      </c>
      <c r="G16" s="130" t="s">
        <v>915</v>
      </c>
      <c r="H16" s="146" t="str">
        <f>HYPERLINK("https://docs.google.com/presentation/d/1aWFR_hu-lCxrxLTRixaoPurgNKncJAnuhUScFXgmAac/edit#slide=id.g5b08e3411b_0_2","link")</f>
        <v>link</v>
      </c>
      <c r="I16" s="175" t="s">
        <v>70</v>
      </c>
      <c r="J16" s="175" t="s">
        <v>115</v>
      </c>
      <c r="K16" s="266"/>
      <c r="L16" s="98" t="s">
        <v>144</v>
      </c>
      <c r="M16" s="219"/>
    </row>
    <row r="17" ht="32.25" customHeight="1">
      <c r="A17" s="200">
        <v>43962.0</v>
      </c>
      <c r="B17" s="130" t="s">
        <v>19</v>
      </c>
      <c r="C17" s="8" t="s">
        <v>49</v>
      </c>
      <c r="D17" s="132" t="s">
        <v>27</v>
      </c>
      <c r="E17" s="132" t="s">
        <v>64</v>
      </c>
      <c r="F17" s="179" t="s">
        <v>16</v>
      </c>
      <c r="G17" s="130" t="s">
        <v>916</v>
      </c>
      <c r="H17" s="184" t="s">
        <v>61</v>
      </c>
      <c r="I17" s="175" t="s">
        <v>115</v>
      </c>
      <c r="J17" s="175" t="s">
        <v>699</v>
      </c>
      <c r="K17" s="266"/>
      <c r="L17" s="27"/>
      <c r="M17" s="219"/>
    </row>
    <row r="18" ht="85.5" customHeight="1">
      <c r="A18" s="200">
        <v>43957.0</v>
      </c>
      <c r="B18" s="130" t="s">
        <v>43</v>
      </c>
      <c r="C18" s="8" t="s">
        <v>57</v>
      </c>
      <c r="D18" s="132" t="s">
        <v>21</v>
      </c>
      <c r="E18" s="132" t="s">
        <v>22</v>
      </c>
      <c r="F18" s="179" t="s">
        <v>16</v>
      </c>
      <c r="G18" s="130" t="s">
        <v>917</v>
      </c>
      <c r="H18" s="144"/>
      <c r="I18" s="175" t="s">
        <v>70</v>
      </c>
      <c r="J18" s="175" t="s">
        <v>115</v>
      </c>
      <c r="K18" s="266"/>
      <c r="L18" s="27" t="s">
        <v>71</v>
      </c>
      <c r="M18" s="219"/>
    </row>
    <row r="19" ht="51.75" customHeight="1">
      <c r="A19" s="200">
        <v>43966.0</v>
      </c>
      <c r="B19" s="130" t="s">
        <v>19</v>
      </c>
      <c r="C19" s="8" t="s">
        <v>49</v>
      </c>
      <c r="D19" s="132" t="s">
        <v>58</v>
      </c>
      <c r="E19" s="132" t="s">
        <v>64</v>
      </c>
      <c r="F19" s="179" t="s">
        <v>16</v>
      </c>
      <c r="G19" s="130" t="s">
        <v>918</v>
      </c>
      <c r="H19" s="144"/>
      <c r="I19" s="175" t="s">
        <v>115</v>
      </c>
      <c r="J19" s="175" t="s">
        <v>66</v>
      </c>
      <c r="K19" s="266"/>
      <c r="L19" s="98" t="s">
        <v>71</v>
      </c>
      <c r="M19" s="219"/>
    </row>
    <row r="20">
      <c r="A20" s="200">
        <v>43966.0</v>
      </c>
      <c r="B20" s="130" t="s">
        <v>19</v>
      </c>
      <c r="C20" s="8" t="s">
        <v>49</v>
      </c>
      <c r="D20" s="132" t="s">
        <v>700</v>
      </c>
      <c r="E20" s="132" t="s">
        <v>64</v>
      </c>
      <c r="F20" s="179" t="s">
        <v>16</v>
      </c>
      <c r="G20" s="130" t="s">
        <v>919</v>
      </c>
      <c r="H20" s="144"/>
      <c r="I20" s="175" t="s">
        <v>115</v>
      </c>
      <c r="J20" s="175" t="s">
        <v>66</v>
      </c>
      <c r="K20" s="266"/>
      <c r="L20" s="98" t="s">
        <v>144</v>
      </c>
      <c r="M20" s="219"/>
    </row>
    <row r="21">
      <c r="A21" s="200">
        <v>43966.0</v>
      </c>
      <c r="B21" s="130" t="s">
        <v>19</v>
      </c>
      <c r="C21" s="8" t="s">
        <v>30</v>
      </c>
      <c r="D21" s="132" t="s">
        <v>700</v>
      </c>
      <c r="E21" s="132" t="s">
        <v>64</v>
      </c>
      <c r="F21" s="179" t="s">
        <v>16</v>
      </c>
      <c r="G21" s="130" t="s">
        <v>920</v>
      </c>
      <c r="H21" s="144"/>
      <c r="I21" s="175" t="s">
        <v>127</v>
      </c>
      <c r="J21" s="175" t="s">
        <v>66</v>
      </c>
      <c r="K21" s="266"/>
      <c r="L21" s="98" t="s">
        <v>144</v>
      </c>
      <c r="M21" s="219"/>
    </row>
    <row r="22">
      <c r="A22" s="200">
        <v>43950.0</v>
      </c>
      <c r="B22" s="130" t="s">
        <v>43</v>
      </c>
      <c r="C22" s="8" t="s">
        <v>36</v>
      </c>
      <c r="D22" s="132" t="s">
        <v>27</v>
      </c>
      <c r="E22" s="132" t="s">
        <v>64</v>
      </c>
      <c r="F22" s="179" t="s">
        <v>16</v>
      </c>
      <c r="G22" s="130" t="s">
        <v>921</v>
      </c>
      <c r="H22" s="146" t="str">
        <f>HYPERLINK("https://docs.google.com/presentation/d/17ViFhupwwtntu_6k2oZB8mrfFs9i3ogJwbeF5qzxsYA/edit","link")</f>
        <v>link</v>
      </c>
      <c r="I22" s="175" t="s">
        <v>66</v>
      </c>
      <c r="J22" s="175" t="s">
        <v>699</v>
      </c>
      <c r="K22" s="269" t="s">
        <v>922</v>
      </c>
      <c r="L22" s="98" t="s">
        <v>68</v>
      </c>
      <c r="M22" s="219"/>
    </row>
    <row r="23">
      <c r="A23" s="200">
        <v>43959.0</v>
      </c>
      <c r="B23" s="130" t="s">
        <v>43</v>
      </c>
      <c r="C23" s="8" t="s">
        <v>30</v>
      </c>
      <c r="D23" s="132" t="s">
        <v>14</v>
      </c>
      <c r="E23" s="132" t="s">
        <v>22</v>
      </c>
      <c r="F23" s="179" t="s">
        <v>16</v>
      </c>
      <c r="G23" s="130" t="s">
        <v>923</v>
      </c>
      <c r="H23" s="146" t="str">
        <f t="shared" ref="H23:H24" si="1">HYPERLINK("https://docs.google.com/presentation/d/1LkV9lAveBY24CH7rnOW3WdAbXr3SeNVzkYIMC2gTPwo/edit#slide=id.g850197b69d_0_7","Link")</f>
        <v>Link</v>
      </c>
      <c r="I23" s="175" t="s">
        <v>127</v>
      </c>
      <c r="J23" s="175"/>
      <c r="K23" s="266"/>
      <c r="L23" s="27" t="s">
        <v>167</v>
      </c>
      <c r="M23" s="219"/>
    </row>
    <row r="24">
      <c r="A24" s="200">
        <v>43957.0</v>
      </c>
      <c r="B24" s="130" t="s">
        <v>43</v>
      </c>
      <c r="C24" s="8" t="s">
        <v>30</v>
      </c>
      <c r="D24" s="132" t="s">
        <v>44</v>
      </c>
      <c r="E24" s="132" t="s">
        <v>22</v>
      </c>
      <c r="F24" s="179" t="s">
        <v>16</v>
      </c>
      <c r="G24" s="130" t="s">
        <v>924</v>
      </c>
      <c r="H24" s="146" t="str">
        <f t="shared" si="1"/>
        <v>Link</v>
      </c>
      <c r="I24" s="175" t="s">
        <v>127</v>
      </c>
      <c r="J24" s="175"/>
      <c r="K24" s="266"/>
      <c r="L24" s="27" t="s">
        <v>167</v>
      </c>
      <c r="M24" s="219"/>
    </row>
    <row r="25">
      <c r="A25" s="200">
        <v>43957.0</v>
      </c>
      <c r="B25" s="130" t="s">
        <v>43</v>
      </c>
      <c r="C25" s="8" t="s">
        <v>57</v>
      </c>
      <c r="D25" s="132" t="s">
        <v>21</v>
      </c>
      <c r="E25" s="132" t="s">
        <v>22</v>
      </c>
      <c r="F25" s="179" t="s">
        <v>16</v>
      </c>
      <c r="G25" s="130" t="s">
        <v>925</v>
      </c>
      <c r="H25" s="146" t="str">
        <f>HYPERLINK("https://docs.google.com/presentation/d/1N9Blfb6tIkmHsbjUKIxACRYU0w7urMybr_UQRogUe2s/edit#slide=id.p","link")</f>
        <v>link</v>
      </c>
      <c r="I25" s="175" t="s">
        <v>115</v>
      </c>
      <c r="J25" s="175" t="s">
        <v>70</v>
      </c>
      <c r="K25" s="266"/>
      <c r="L25" s="27" t="s">
        <v>144</v>
      </c>
      <c r="M25" s="219"/>
    </row>
    <row r="26">
      <c r="A26" s="200">
        <v>43957.0</v>
      </c>
      <c r="B26" s="130" t="s">
        <v>43</v>
      </c>
      <c r="C26" s="8" t="s">
        <v>57</v>
      </c>
      <c r="D26" s="132" t="s">
        <v>21</v>
      </c>
      <c r="E26" s="132" t="s">
        <v>22</v>
      </c>
      <c r="F26" s="179" t="s">
        <v>16</v>
      </c>
      <c r="G26" s="130" t="s">
        <v>926</v>
      </c>
      <c r="H26" s="144"/>
      <c r="I26" s="175" t="s">
        <v>70</v>
      </c>
      <c r="J26" s="175" t="s">
        <v>115</v>
      </c>
      <c r="K26" s="266"/>
      <c r="L26" s="27" t="s">
        <v>144</v>
      </c>
      <c r="M26" s="219"/>
    </row>
    <row r="27">
      <c r="A27" s="200">
        <v>43957.0</v>
      </c>
      <c r="B27" s="130" t="s">
        <v>43</v>
      </c>
      <c r="C27" s="8" t="s">
        <v>57</v>
      </c>
      <c r="D27" s="132" t="s">
        <v>21</v>
      </c>
      <c r="E27" s="132" t="s">
        <v>22</v>
      </c>
      <c r="F27" s="179" t="s">
        <v>16</v>
      </c>
      <c r="G27" s="130" t="s">
        <v>927</v>
      </c>
      <c r="H27" s="144"/>
      <c r="I27" s="175" t="s">
        <v>70</v>
      </c>
      <c r="J27" s="175" t="s">
        <v>115</v>
      </c>
      <c r="K27" s="266"/>
      <c r="L27" s="27" t="s">
        <v>71</v>
      </c>
      <c r="M27" s="219"/>
    </row>
    <row r="28" ht="244.5" customHeight="1">
      <c r="A28" s="200">
        <v>43936.0</v>
      </c>
      <c r="B28" s="130" t="s">
        <v>43</v>
      </c>
      <c r="C28" s="8" t="s">
        <v>57</v>
      </c>
      <c r="D28" s="132" t="s">
        <v>21</v>
      </c>
      <c r="E28" s="132" t="s">
        <v>22</v>
      </c>
      <c r="F28" s="179" t="s">
        <v>16</v>
      </c>
      <c r="G28" s="130" t="s">
        <v>928</v>
      </c>
      <c r="H28" s="146" t="str">
        <f>HYPERLINK("https://docs.google.com/presentation/d/1aWFR_hu-lCxrxLTRixaoPurgNKncJAnuhUScFXgmAac/edit#slide=id.g5b08e3411b_0_2","link")</f>
        <v>link</v>
      </c>
      <c r="I28" s="175" t="s">
        <v>70</v>
      </c>
      <c r="J28" s="175" t="s">
        <v>115</v>
      </c>
      <c r="K28" s="266"/>
      <c r="L28" s="27" t="s">
        <v>162</v>
      </c>
      <c r="M28" s="219"/>
    </row>
    <row r="29">
      <c r="A29" s="200">
        <v>43958.0</v>
      </c>
      <c r="B29" s="130" t="s">
        <v>43</v>
      </c>
      <c r="C29" s="8" t="s">
        <v>33</v>
      </c>
      <c r="D29" s="132" t="s">
        <v>21</v>
      </c>
      <c r="E29" s="132" t="s">
        <v>22</v>
      </c>
      <c r="F29" s="179" t="s">
        <v>16</v>
      </c>
      <c r="G29" s="130" t="s">
        <v>929</v>
      </c>
      <c r="H29" s="144"/>
      <c r="I29" s="175" t="s">
        <v>463</v>
      </c>
      <c r="J29" s="175"/>
      <c r="K29" s="266"/>
      <c r="L29" s="27" t="s">
        <v>71</v>
      </c>
      <c r="M29" s="219"/>
    </row>
    <row r="30">
      <c r="A30" s="200">
        <v>43962.0</v>
      </c>
      <c r="B30" s="130" t="s">
        <v>19</v>
      </c>
      <c r="C30" s="8" t="s">
        <v>49</v>
      </c>
      <c r="D30" s="132" t="s">
        <v>27</v>
      </c>
      <c r="E30" s="132" t="s">
        <v>64</v>
      </c>
      <c r="F30" s="179" t="s">
        <v>16</v>
      </c>
      <c r="G30" s="130" t="s">
        <v>930</v>
      </c>
      <c r="H30" s="146" t="str">
        <f>HYPERLINK("https://docs.google.com/presentation/d/1RcgPcihgArXZaozknPnn0jVKi9qHoJin2E5zffUZIIA/edit#slide=id.g5b08e3411b_0_2","link")</f>
        <v>link</v>
      </c>
      <c r="I30" s="175" t="s">
        <v>463</v>
      </c>
      <c r="J30" s="175" t="s">
        <v>66</v>
      </c>
      <c r="K30" s="266"/>
      <c r="L30" s="27" t="s">
        <v>71</v>
      </c>
      <c r="M30" s="219"/>
    </row>
    <row r="31">
      <c r="A31" s="200">
        <v>43957.0</v>
      </c>
      <c r="B31" s="130" t="s">
        <v>43</v>
      </c>
      <c r="C31" s="8" t="s">
        <v>57</v>
      </c>
      <c r="D31" s="132" t="s">
        <v>21</v>
      </c>
      <c r="E31" s="132" t="s">
        <v>64</v>
      </c>
      <c r="F31" s="179" t="s">
        <v>16</v>
      </c>
      <c r="G31" s="130" t="s">
        <v>931</v>
      </c>
      <c r="H31" s="144"/>
      <c r="I31" s="175" t="s">
        <v>70</v>
      </c>
      <c r="J31" s="175" t="s">
        <v>115</v>
      </c>
      <c r="K31" s="266"/>
      <c r="L31" s="27" t="s">
        <v>71</v>
      </c>
      <c r="M31" s="219"/>
    </row>
    <row r="32">
      <c r="A32" s="200">
        <v>43957.0</v>
      </c>
      <c r="B32" s="130" t="s">
        <v>43</v>
      </c>
      <c r="C32" s="8" t="s">
        <v>20</v>
      </c>
      <c r="D32" s="132" t="s">
        <v>27</v>
      </c>
      <c r="E32" s="132" t="s">
        <v>64</v>
      </c>
      <c r="F32" s="179" t="s">
        <v>16</v>
      </c>
      <c r="G32" s="130" t="s">
        <v>932</v>
      </c>
      <c r="H32" s="146" t="str">
        <f>HYPERLINK("https://docs.google.com/presentation/d/1q2SuegQ8guSZ7JIpLWf2u5OFLV6_NqH35wGD7q6w-TU/edit#slide=id.g5b08e3411b_0_2","link")</f>
        <v>link</v>
      </c>
      <c r="I32" s="175" t="s">
        <v>70</v>
      </c>
      <c r="J32" s="175" t="s">
        <v>66</v>
      </c>
      <c r="K32" s="266"/>
      <c r="L32" s="27" t="s">
        <v>68</v>
      </c>
      <c r="M32" s="219"/>
    </row>
    <row r="33">
      <c r="A33" s="200">
        <v>43947.0</v>
      </c>
      <c r="B33" s="130" t="s">
        <v>43</v>
      </c>
      <c r="C33" s="8" t="s">
        <v>20</v>
      </c>
      <c r="D33" s="132" t="s">
        <v>58</v>
      </c>
      <c r="E33" s="132" t="s">
        <v>64</v>
      </c>
      <c r="F33" s="179" t="s">
        <v>16</v>
      </c>
      <c r="G33" s="130" t="s">
        <v>933</v>
      </c>
      <c r="H33" s="144"/>
      <c r="I33" s="175" t="s">
        <v>66</v>
      </c>
      <c r="J33" s="175"/>
      <c r="K33" s="266"/>
      <c r="L33" s="27" t="s">
        <v>71</v>
      </c>
      <c r="M33" s="219"/>
    </row>
    <row r="34">
      <c r="A34" s="200">
        <v>43947.0</v>
      </c>
      <c r="B34" s="130" t="s">
        <v>43</v>
      </c>
      <c r="C34" s="8" t="s">
        <v>20</v>
      </c>
      <c r="D34" s="132" t="s">
        <v>21</v>
      </c>
      <c r="E34" s="132" t="s">
        <v>64</v>
      </c>
      <c r="F34" s="179" t="s">
        <v>16</v>
      </c>
      <c r="G34" s="130" t="s">
        <v>934</v>
      </c>
      <c r="H34" s="144"/>
      <c r="I34" s="175" t="s">
        <v>70</v>
      </c>
      <c r="J34" s="175" t="s">
        <v>67</v>
      </c>
      <c r="K34" s="266"/>
      <c r="L34" s="27" t="s">
        <v>68</v>
      </c>
      <c r="M34" s="219"/>
    </row>
    <row r="35" ht="64.5" customHeight="1">
      <c r="A35" s="200">
        <v>43945.0</v>
      </c>
      <c r="B35" s="130" t="s">
        <v>43</v>
      </c>
      <c r="C35" s="8" t="s">
        <v>57</v>
      </c>
      <c r="D35" s="132" t="s">
        <v>21</v>
      </c>
      <c r="E35" s="132" t="s">
        <v>64</v>
      </c>
      <c r="F35" s="179" t="s">
        <v>16</v>
      </c>
      <c r="G35" s="130" t="s">
        <v>935</v>
      </c>
      <c r="H35" s="144"/>
      <c r="I35" s="175" t="s">
        <v>70</v>
      </c>
      <c r="J35" s="175" t="s">
        <v>463</v>
      </c>
      <c r="K35" s="266"/>
      <c r="L35" s="27" t="s">
        <v>68</v>
      </c>
      <c r="M35" s="219"/>
    </row>
    <row r="36">
      <c r="A36" s="200">
        <v>43947.0</v>
      </c>
      <c r="B36" s="130" t="s">
        <v>43</v>
      </c>
      <c r="C36" s="8" t="s">
        <v>33</v>
      </c>
      <c r="D36" s="132" t="s">
        <v>21</v>
      </c>
      <c r="E36" s="132" t="s">
        <v>64</v>
      </c>
      <c r="F36" s="179" t="s">
        <v>16</v>
      </c>
      <c r="G36" s="130" t="s">
        <v>936</v>
      </c>
      <c r="H36" s="144"/>
      <c r="I36" s="175" t="s">
        <v>463</v>
      </c>
      <c r="J36" s="175"/>
      <c r="K36" s="266"/>
      <c r="L36" s="27" t="s">
        <v>68</v>
      </c>
      <c r="M36" s="219"/>
    </row>
    <row r="37" ht="103.5" customHeight="1">
      <c r="A37" s="200">
        <v>43934.0</v>
      </c>
      <c r="B37" s="130" t="s">
        <v>43</v>
      </c>
      <c r="C37" s="8" t="s">
        <v>49</v>
      </c>
      <c r="D37" s="132" t="s">
        <v>27</v>
      </c>
      <c r="E37" s="132" t="s">
        <v>22</v>
      </c>
      <c r="F37" s="179" t="s">
        <v>16</v>
      </c>
      <c r="G37" s="130" t="s">
        <v>937</v>
      </c>
      <c r="H37" s="270" t="str">
        <f>HYPERLINK("https://docs.google.com/presentation/d/1dfS2526Ns_YYVKruThWDRt6w5EK16tFo65o-zBrKOK4/edit#slide=id.g5b08e3411b_0_2","link")</f>
        <v>link</v>
      </c>
      <c r="I37" s="175" t="s">
        <v>115</v>
      </c>
      <c r="J37" s="175" t="s">
        <v>66</v>
      </c>
      <c r="K37" s="266"/>
      <c r="L37" s="27" t="s">
        <v>144</v>
      </c>
      <c r="M37" s="219"/>
    </row>
    <row r="38">
      <c r="A38" s="200">
        <v>43944.0</v>
      </c>
      <c r="B38" s="130" t="s">
        <v>43</v>
      </c>
      <c r="C38" s="8" t="s">
        <v>20</v>
      </c>
      <c r="D38" s="132" t="s">
        <v>44</v>
      </c>
      <c r="E38" s="132" t="s">
        <v>64</v>
      </c>
      <c r="F38" s="179" t="s">
        <v>16</v>
      </c>
      <c r="G38" s="130" t="s">
        <v>938</v>
      </c>
      <c r="H38" s="144"/>
      <c r="I38" s="175" t="s">
        <v>346</v>
      </c>
      <c r="J38" s="175" t="s">
        <v>67</v>
      </c>
      <c r="K38" s="266"/>
      <c r="L38" s="27" t="s">
        <v>71</v>
      </c>
      <c r="M38" s="219"/>
    </row>
    <row r="39">
      <c r="A39" s="200">
        <v>43944.0</v>
      </c>
      <c r="B39" s="130" t="s">
        <v>43</v>
      </c>
      <c r="C39" s="8" t="s">
        <v>26</v>
      </c>
      <c r="D39" s="132" t="s">
        <v>14</v>
      </c>
      <c r="E39" s="132" t="s">
        <v>64</v>
      </c>
      <c r="F39" s="179" t="s">
        <v>16</v>
      </c>
      <c r="G39" s="130" t="s">
        <v>939</v>
      </c>
      <c r="H39" s="184" t="s">
        <v>61</v>
      </c>
      <c r="I39" s="175" t="s">
        <v>66</v>
      </c>
      <c r="J39" s="175"/>
      <c r="K39" s="266"/>
      <c r="L39" s="27" t="s">
        <v>68</v>
      </c>
      <c r="M39" s="219"/>
    </row>
    <row r="40" ht="61.5" customHeight="1">
      <c r="A40" s="200">
        <v>43934.0</v>
      </c>
      <c r="B40" s="130" t="s">
        <v>43</v>
      </c>
      <c r="C40" s="8" t="s">
        <v>57</v>
      </c>
      <c r="D40" s="132" t="s">
        <v>44</v>
      </c>
      <c r="E40" s="132" t="s">
        <v>15</v>
      </c>
      <c r="F40" s="179" t="s">
        <v>16</v>
      </c>
      <c r="G40" s="130" t="s">
        <v>940</v>
      </c>
      <c r="H40" s="266"/>
      <c r="I40" s="175" t="s">
        <v>79</v>
      </c>
      <c r="J40" s="175" t="s">
        <v>70</v>
      </c>
      <c r="K40" s="266"/>
      <c r="L40" s="98" t="s">
        <v>71</v>
      </c>
      <c r="M40" s="219"/>
    </row>
    <row r="41" ht="45.0" customHeight="1">
      <c r="A41" s="200">
        <v>43938.0</v>
      </c>
      <c r="B41" s="130" t="s">
        <v>43</v>
      </c>
      <c r="C41" s="8" t="s">
        <v>49</v>
      </c>
      <c r="D41" s="132" t="s">
        <v>27</v>
      </c>
      <c r="E41" s="132" t="s">
        <v>22</v>
      </c>
      <c r="F41" s="179" t="s">
        <v>16</v>
      </c>
      <c r="G41" s="130" t="s">
        <v>941</v>
      </c>
      <c r="H41" s="266"/>
      <c r="I41" s="175" t="s">
        <v>115</v>
      </c>
      <c r="J41" s="175" t="s">
        <v>66</v>
      </c>
      <c r="K41" s="266"/>
      <c r="L41" s="98" t="s">
        <v>71</v>
      </c>
      <c r="M41" s="219"/>
    </row>
    <row r="42">
      <c r="A42" s="200">
        <v>43938.0</v>
      </c>
      <c r="B42" s="130" t="s">
        <v>43</v>
      </c>
      <c r="C42" s="8" t="s">
        <v>49</v>
      </c>
      <c r="D42" s="132" t="s">
        <v>27</v>
      </c>
      <c r="E42" s="132" t="s">
        <v>64</v>
      </c>
      <c r="F42" s="179" t="s">
        <v>16</v>
      </c>
      <c r="G42" s="130" t="s">
        <v>942</v>
      </c>
      <c r="H42" s="266"/>
      <c r="I42" s="175" t="s">
        <v>115</v>
      </c>
      <c r="J42" s="175" t="s">
        <v>66</v>
      </c>
      <c r="K42" s="266"/>
      <c r="L42" s="98" t="s">
        <v>71</v>
      </c>
      <c r="M42" s="219"/>
    </row>
    <row r="43" ht="45.0" customHeight="1">
      <c r="A43" s="200">
        <v>43936.0</v>
      </c>
      <c r="B43" s="130" t="s">
        <v>43</v>
      </c>
      <c r="C43" s="8" t="s">
        <v>49</v>
      </c>
      <c r="D43" s="132" t="s">
        <v>27</v>
      </c>
      <c r="E43" s="132" t="s">
        <v>64</v>
      </c>
      <c r="F43" s="179" t="s">
        <v>16</v>
      </c>
      <c r="G43" s="130" t="s">
        <v>943</v>
      </c>
      <c r="H43" s="266"/>
      <c r="I43" s="175" t="s">
        <v>115</v>
      </c>
      <c r="J43" s="175" t="s">
        <v>66</v>
      </c>
      <c r="K43" s="266"/>
      <c r="L43" s="98" t="s">
        <v>71</v>
      </c>
      <c r="M43" s="219"/>
    </row>
    <row r="44" ht="45.0" customHeight="1">
      <c r="A44" s="200">
        <v>43936.0</v>
      </c>
      <c r="B44" s="130" t="s">
        <v>43</v>
      </c>
      <c r="C44" s="8" t="s">
        <v>49</v>
      </c>
      <c r="D44" s="132" t="s">
        <v>27</v>
      </c>
      <c r="E44" s="132" t="s">
        <v>64</v>
      </c>
      <c r="F44" s="179" t="s">
        <v>16</v>
      </c>
      <c r="G44" s="130" t="s">
        <v>944</v>
      </c>
      <c r="H44" s="266"/>
      <c r="I44" s="175" t="s">
        <v>115</v>
      </c>
      <c r="J44" s="175" t="s">
        <v>66</v>
      </c>
      <c r="K44" s="266"/>
      <c r="L44" s="98" t="s">
        <v>71</v>
      </c>
      <c r="M44" s="219"/>
    </row>
    <row r="45" ht="45.0" customHeight="1">
      <c r="A45" s="200">
        <v>43934.0</v>
      </c>
      <c r="B45" s="130" t="s">
        <v>43</v>
      </c>
      <c r="C45" s="8" t="s">
        <v>49</v>
      </c>
      <c r="D45" s="132" t="s">
        <v>58</v>
      </c>
      <c r="E45" s="132" t="s">
        <v>22</v>
      </c>
      <c r="F45" s="179" t="s">
        <v>16</v>
      </c>
      <c r="G45" s="130" t="s">
        <v>945</v>
      </c>
      <c r="H45" s="146" t="str">
        <f>HYPERLINK("https://docs.google.com/presentation/d/1bQqBbGLbzWH55RdsrwtZJmhBg8_NHD8HVzHlczohUxg/edit#slide=id.g834a9e0aa2_0_4","link")</f>
        <v>link</v>
      </c>
      <c r="I45" s="175" t="s">
        <v>115</v>
      </c>
      <c r="J45" s="175"/>
      <c r="K45" s="266"/>
      <c r="L45" s="27" t="s">
        <v>167</v>
      </c>
      <c r="M45" s="219"/>
    </row>
    <row r="46">
      <c r="A46" s="200">
        <v>43931.0</v>
      </c>
      <c r="B46" s="130" t="s">
        <v>56</v>
      </c>
      <c r="C46" s="8" t="s">
        <v>57</v>
      </c>
      <c r="D46" s="132" t="s">
        <v>21</v>
      </c>
      <c r="E46" s="132" t="s">
        <v>22</v>
      </c>
      <c r="F46" s="179" t="s">
        <v>16</v>
      </c>
      <c r="G46" s="130" t="s">
        <v>946</v>
      </c>
      <c r="H46" s="270" t="str">
        <f>HYPERLINK("https://docs.google.com/presentation/d/1bQsbeXPeMzQAxI71M_kWYoz9eNFomOcv0-6tRNSnDww/edit#slide=id.g5b08e3411b_0_2","link")</f>
        <v>link</v>
      </c>
      <c r="I46" s="175" t="s">
        <v>66</v>
      </c>
      <c r="J46" s="175" t="s">
        <v>463</v>
      </c>
      <c r="K46" s="266"/>
      <c r="L46" s="27" t="s">
        <v>144</v>
      </c>
      <c r="M46" s="219"/>
    </row>
    <row r="47">
      <c r="A47" s="200">
        <v>43934.0</v>
      </c>
      <c r="B47" s="130" t="s">
        <v>43</v>
      </c>
      <c r="C47" s="8" t="s">
        <v>49</v>
      </c>
      <c r="D47" s="132" t="s">
        <v>95</v>
      </c>
      <c r="E47" s="132" t="s">
        <v>22</v>
      </c>
      <c r="F47" s="179" t="s">
        <v>16</v>
      </c>
      <c r="G47" s="130" t="s">
        <v>947</v>
      </c>
      <c r="H47" s="146" t="str">
        <f>HYPERLINK("https://docs.google.com/presentation/d/1bQqBbGLbzWH55RdsrwtZJmhBg8_NHD8HVzHlczohUxg/edit#slide=id.g834a9e0aa2_0_4","link")</f>
        <v>link</v>
      </c>
      <c r="I47" s="175" t="s">
        <v>115</v>
      </c>
      <c r="J47" s="175" t="s">
        <v>66</v>
      </c>
      <c r="K47" s="266"/>
      <c r="L47" s="27" t="s">
        <v>71</v>
      </c>
      <c r="M47" s="219"/>
    </row>
    <row r="48">
      <c r="A48" s="200">
        <v>43924.0</v>
      </c>
      <c r="B48" s="169" t="s">
        <v>56</v>
      </c>
      <c r="C48" s="8" t="s">
        <v>57</v>
      </c>
      <c r="D48" s="132" t="s">
        <v>89</v>
      </c>
      <c r="E48" s="132" t="s">
        <v>22</v>
      </c>
      <c r="F48" s="179" t="s">
        <v>16</v>
      </c>
      <c r="G48" s="130" t="s">
        <v>948</v>
      </c>
      <c r="H48" s="266"/>
      <c r="I48" s="175" t="s">
        <v>127</v>
      </c>
      <c r="J48" s="175" t="s">
        <v>70</v>
      </c>
      <c r="K48" s="266"/>
      <c r="L48" s="27" t="s">
        <v>63</v>
      </c>
      <c r="M48" s="219"/>
    </row>
    <row r="49">
      <c r="A49" s="200">
        <v>43927.0</v>
      </c>
      <c r="B49" s="130" t="s">
        <v>56</v>
      </c>
      <c r="C49" s="8" t="s">
        <v>33</v>
      </c>
      <c r="D49" s="132" t="s">
        <v>81</v>
      </c>
      <c r="E49" s="132" t="s">
        <v>22</v>
      </c>
      <c r="F49" s="179" t="s">
        <v>16</v>
      </c>
      <c r="G49" s="130" t="s">
        <v>949</v>
      </c>
      <c r="H49" s="266"/>
      <c r="I49" s="175" t="s">
        <v>463</v>
      </c>
      <c r="J49" s="175"/>
      <c r="K49" s="266"/>
      <c r="L49" s="98" t="s">
        <v>162</v>
      </c>
      <c r="M49" s="219"/>
    </row>
    <row r="50">
      <c r="A50" s="200">
        <v>43935.0</v>
      </c>
      <c r="B50" s="130" t="s">
        <v>56</v>
      </c>
      <c r="C50" s="8" t="s">
        <v>26</v>
      </c>
      <c r="D50" s="132" t="s">
        <v>44</v>
      </c>
      <c r="E50" s="132" t="s">
        <v>22</v>
      </c>
      <c r="F50" s="179" t="s">
        <v>16</v>
      </c>
      <c r="G50" s="130" t="s">
        <v>950</v>
      </c>
      <c r="H50" s="158" t="str">
        <f>HYPERLINK("https://docs.google.com/presentation/d/12CKVKJdBvYxyQ3USkIASFZRI-dMJvW3Zazu36w_8gzA/edit#slide=id.g4057557fca_0_46","link")</f>
        <v>link</v>
      </c>
      <c r="I50" s="175" t="s">
        <v>66</v>
      </c>
      <c r="J50" s="175" t="s">
        <v>463</v>
      </c>
      <c r="K50" s="266"/>
      <c r="L50" s="27" t="s">
        <v>71</v>
      </c>
      <c r="M50" s="219"/>
    </row>
    <row r="51">
      <c r="A51" s="200">
        <v>43928.0</v>
      </c>
      <c r="B51" s="169" t="s">
        <v>56</v>
      </c>
      <c r="C51" s="8" t="s">
        <v>76</v>
      </c>
      <c r="D51" s="132" t="s">
        <v>27</v>
      </c>
      <c r="E51" s="132" t="s">
        <v>22</v>
      </c>
      <c r="F51" s="179" t="s">
        <v>16</v>
      </c>
      <c r="G51" s="130" t="s">
        <v>951</v>
      </c>
      <c r="H51" s="146" t="str">
        <f>HYPERLINK("https://docs.google.com/presentation/d/1ENudDjgihvyydUvH47p-2mEPDrt7J29lHX-cuxQ5-RM/edit#slide=id.g8331b9c103_0_0","link")</f>
        <v>link</v>
      </c>
      <c r="I51" s="175" t="s">
        <v>346</v>
      </c>
      <c r="J51" s="175"/>
      <c r="K51" s="266"/>
      <c r="L51" s="27" t="s">
        <v>71</v>
      </c>
      <c r="M51" s="219"/>
    </row>
    <row r="52">
      <c r="A52" s="200">
        <v>43916.0</v>
      </c>
      <c r="B52" s="169" t="s">
        <v>56</v>
      </c>
      <c r="C52" s="8" t="s">
        <v>76</v>
      </c>
      <c r="D52" s="132" t="s">
        <v>58</v>
      </c>
      <c r="E52" s="132" t="s">
        <v>22</v>
      </c>
      <c r="F52" s="179" t="s">
        <v>16</v>
      </c>
      <c r="G52" s="130" t="s">
        <v>952</v>
      </c>
      <c r="H52" s="270" t="str">
        <f>HYPERLINK("https://docs.google.com/presentation/d/1WmgT9yBPSV6heGHtKwycvgaJ2kne0VpiJT8_7eMtXMQ/edit#slide=id.g5b08e3411b_0_2","link")</f>
        <v>link</v>
      </c>
      <c r="I52" s="175" t="s">
        <v>79</v>
      </c>
      <c r="J52" s="175"/>
      <c r="K52" s="266"/>
      <c r="L52" s="27" t="s">
        <v>71</v>
      </c>
      <c r="M52" s="219"/>
    </row>
    <row r="53">
      <c r="A53" s="200">
        <v>43916.0</v>
      </c>
      <c r="B53" s="169" t="s">
        <v>56</v>
      </c>
      <c r="C53" s="8" t="s">
        <v>26</v>
      </c>
      <c r="D53" s="132" t="s">
        <v>58</v>
      </c>
      <c r="E53" s="132" t="s">
        <v>22</v>
      </c>
      <c r="F53" s="179" t="s">
        <v>16</v>
      </c>
      <c r="G53" s="130" t="s">
        <v>953</v>
      </c>
      <c r="H53" s="270" t="str">
        <f>HYPERLINK("https://docs.google.com/presentation/d/1toFdrih6YjpaE9FyIJQI081qA_lHPioFvC_YMptzBfY/edit#slide=id.g8284b8d5f3_0_100","link")</f>
        <v>link</v>
      </c>
      <c r="I53" s="175" t="s">
        <v>67</v>
      </c>
      <c r="J53" s="175" t="s">
        <v>66</v>
      </c>
      <c r="K53" s="266"/>
      <c r="L53" s="27" t="s">
        <v>71</v>
      </c>
      <c r="M53" s="219"/>
    </row>
    <row r="54">
      <c r="A54" s="200">
        <v>43920.0</v>
      </c>
      <c r="B54" s="169" t="s">
        <v>56</v>
      </c>
      <c r="C54" s="8" t="s">
        <v>13</v>
      </c>
      <c r="D54" s="132" t="s">
        <v>58</v>
      </c>
      <c r="E54" s="132" t="s">
        <v>22</v>
      </c>
      <c r="F54" s="179" t="s">
        <v>16</v>
      </c>
      <c r="G54" s="130" t="s">
        <v>954</v>
      </c>
      <c r="H54" s="266"/>
      <c r="I54" s="175" t="s">
        <v>79</v>
      </c>
      <c r="J54" s="175" t="s">
        <v>66</v>
      </c>
      <c r="K54" s="266"/>
      <c r="L54" s="27" t="s">
        <v>71</v>
      </c>
      <c r="M54" s="219"/>
    </row>
    <row r="55">
      <c r="A55" s="200">
        <v>43921.0</v>
      </c>
      <c r="B55" s="169" t="s">
        <v>56</v>
      </c>
      <c r="C55" s="8" t="s">
        <v>36</v>
      </c>
      <c r="D55" s="132" t="s">
        <v>58</v>
      </c>
      <c r="E55" s="132" t="s">
        <v>22</v>
      </c>
      <c r="F55" s="179" t="s">
        <v>16</v>
      </c>
      <c r="G55" s="130" t="s">
        <v>955</v>
      </c>
      <c r="H55" s="266"/>
      <c r="I55" s="175" t="s">
        <v>66</v>
      </c>
      <c r="J55" s="175"/>
      <c r="K55" s="266"/>
      <c r="L55" s="27" t="s">
        <v>71</v>
      </c>
      <c r="M55" s="219"/>
    </row>
    <row r="56">
      <c r="A56" s="200">
        <v>43907.0</v>
      </c>
      <c r="B56" s="169" t="s">
        <v>56</v>
      </c>
      <c r="C56" s="8" t="s">
        <v>49</v>
      </c>
      <c r="D56" s="132" t="s">
        <v>58</v>
      </c>
      <c r="E56" s="132" t="s">
        <v>64</v>
      </c>
      <c r="F56" s="179" t="s">
        <v>16</v>
      </c>
      <c r="G56" s="130" t="s">
        <v>956</v>
      </c>
      <c r="H56" s="266"/>
      <c r="I56" s="175" t="s">
        <v>115</v>
      </c>
      <c r="J56" s="175" t="s">
        <v>66</v>
      </c>
      <c r="K56" s="270" t="str">
        <f>HYPERLINK("https://docs.google.com/spreadsheets/d/1thuEZ1HLjxNQ74BV-bpws9k5HeRo1teqVkAA--cY-xE/edit#gid=1555896233","test result")</f>
        <v>test result</v>
      </c>
      <c r="L56" s="27" t="s">
        <v>71</v>
      </c>
      <c r="M56" s="219"/>
    </row>
    <row r="57">
      <c r="A57" s="200">
        <v>43921.0</v>
      </c>
      <c r="B57" s="169" t="s">
        <v>56</v>
      </c>
      <c r="C57" s="8" t="s">
        <v>13</v>
      </c>
      <c r="D57" s="132" t="s">
        <v>14</v>
      </c>
      <c r="E57" s="132" t="s">
        <v>22</v>
      </c>
      <c r="F57" s="179" t="s">
        <v>16</v>
      </c>
      <c r="G57" s="130" t="s">
        <v>957</v>
      </c>
      <c r="H57" s="266"/>
      <c r="I57" s="175" t="s">
        <v>79</v>
      </c>
      <c r="J57" s="175" t="s">
        <v>66</v>
      </c>
      <c r="K57" s="266"/>
      <c r="L57" s="27" t="s">
        <v>71</v>
      </c>
      <c r="M57" s="219"/>
    </row>
    <row r="58">
      <c r="A58" s="200">
        <v>43916.0</v>
      </c>
      <c r="B58" s="169" t="s">
        <v>56</v>
      </c>
      <c r="C58" s="8" t="s">
        <v>26</v>
      </c>
      <c r="D58" s="132" t="s">
        <v>58</v>
      </c>
      <c r="E58" s="132" t="s">
        <v>22</v>
      </c>
      <c r="F58" s="179" t="s">
        <v>16</v>
      </c>
      <c r="G58" s="130" t="s">
        <v>958</v>
      </c>
      <c r="H58" s="266"/>
      <c r="I58" s="175" t="s">
        <v>66</v>
      </c>
      <c r="J58" s="175" t="s">
        <v>699</v>
      </c>
      <c r="K58" s="266"/>
      <c r="L58" s="27" t="s">
        <v>71</v>
      </c>
      <c r="M58" s="219"/>
    </row>
    <row r="59">
      <c r="A59" s="200">
        <v>43916.0</v>
      </c>
      <c r="B59" s="169" t="s">
        <v>56</v>
      </c>
      <c r="C59" s="8" t="s">
        <v>76</v>
      </c>
      <c r="D59" s="132" t="s">
        <v>58</v>
      </c>
      <c r="E59" s="132" t="s">
        <v>22</v>
      </c>
      <c r="F59" s="179" t="s">
        <v>16</v>
      </c>
      <c r="G59" s="130" t="s">
        <v>959</v>
      </c>
      <c r="H59" s="270" t="str">
        <f>HYPERLINK("https://docs.google.com/presentation/d/1toFdrih6YjpaE9FyIJQI081qA_lHPioFvC_YMptzBfY/edit#slide=id.g82c40b7d63_5_0","link")</f>
        <v>link</v>
      </c>
      <c r="I59" s="175" t="s">
        <v>346</v>
      </c>
      <c r="J59" s="175" t="s">
        <v>699</v>
      </c>
      <c r="K59" s="266"/>
      <c r="L59" s="27" t="s">
        <v>71</v>
      </c>
      <c r="M59" s="219"/>
    </row>
    <row r="60">
      <c r="A60" s="200">
        <v>43916.0</v>
      </c>
      <c r="B60" s="169" t="s">
        <v>56</v>
      </c>
      <c r="C60" s="8" t="s">
        <v>49</v>
      </c>
      <c r="D60" s="132" t="s">
        <v>58</v>
      </c>
      <c r="E60" s="132" t="s">
        <v>22</v>
      </c>
      <c r="F60" s="179" t="s">
        <v>16</v>
      </c>
      <c r="G60" s="130" t="s">
        <v>960</v>
      </c>
      <c r="H60" s="271" t="str">
        <f t="shared" ref="H60:H62" si="2">HYPERLINK("https://drive.google.com/drive/folders/1YGfQQAOxE-hqRi-FYT_UvisLSumj_IVp","Photo  link")</f>
        <v>Photo  link</v>
      </c>
      <c r="I60" s="175" t="s">
        <v>115</v>
      </c>
      <c r="J60" s="175" t="s">
        <v>699</v>
      </c>
      <c r="K60" s="266"/>
      <c r="L60" s="27" t="s">
        <v>71</v>
      </c>
      <c r="M60" s="219"/>
    </row>
    <row r="61">
      <c r="A61" s="200">
        <v>43916.0</v>
      </c>
      <c r="B61" s="169" t="s">
        <v>56</v>
      </c>
      <c r="C61" s="8" t="s">
        <v>76</v>
      </c>
      <c r="D61" s="132" t="s">
        <v>58</v>
      </c>
      <c r="E61" s="132" t="s">
        <v>22</v>
      </c>
      <c r="F61" s="179" t="s">
        <v>16</v>
      </c>
      <c r="G61" s="130" t="s">
        <v>961</v>
      </c>
      <c r="H61" s="271" t="str">
        <f t="shared" si="2"/>
        <v>Photo  link</v>
      </c>
      <c r="I61" s="175" t="s">
        <v>346</v>
      </c>
      <c r="J61" s="175" t="s">
        <v>699</v>
      </c>
      <c r="L61" s="27" t="s">
        <v>71</v>
      </c>
      <c r="M61" s="219"/>
    </row>
    <row r="62">
      <c r="A62" s="200">
        <v>43916.0</v>
      </c>
      <c r="B62" s="169" t="s">
        <v>56</v>
      </c>
      <c r="C62" s="8" t="s">
        <v>13</v>
      </c>
      <c r="D62" s="132" t="s">
        <v>58</v>
      </c>
      <c r="E62" s="132" t="s">
        <v>22</v>
      </c>
      <c r="F62" s="179" t="s">
        <v>16</v>
      </c>
      <c r="G62" s="130" t="s">
        <v>962</v>
      </c>
      <c r="H62" s="271" t="str">
        <f t="shared" si="2"/>
        <v>Photo  link</v>
      </c>
      <c r="I62" s="175" t="s">
        <v>463</v>
      </c>
      <c r="J62" s="175" t="s">
        <v>699</v>
      </c>
      <c r="K62" s="266"/>
      <c r="L62" s="27" t="s">
        <v>71</v>
      </c>
      <c r="M62" s="219"/>
    </row>
    <row r="63" ht="35.25" customHeight="1">
      <c r="A63" s="200">
        <v>43916.0</v>
      </c>
      <c r="B63" s="169" t="s">
        <v>56</v>
      </c>
      <c r="C63" s="8" t="s">
        <v>49</v>
      </c>
      <c r="D63" s="132" t="s">
        <v>58</v>
      </c>
      <c r="E63" s="132" t="s">
        <v>22</v>
      </c>
      <c r="F63" s="179" t="s">
        <v>16</v>
      </c>
      <c r="G63" s="130" t="s">
        <v>963</v>
      </c>
      <c r="H63" s="271" t="str">
        <f>HYPERLINK("https://drive.google.com/drive/folders/1X3LCueIAzmVF74ZKs_nrXOvmlgLxnIDq","photo link")</f>
        <v>photo link</v>
      </c>
      <c r="I63" s="175" t="s">
        <v>115</v>
      </c>
      <c r="J63" s="175"/>
      <c r="K63" s="266"/>
      <c r="L63" s="27" t="s">
        <v>71</v>
      </c>
      <c r="M63" s="219"/>
    </row>
    <row r="64">
      <c r="A64" s="200">
        <v>43916.0</v>
      </c>
      <c r="B64" s="169" t="s">
        <v>56</v>
      </c>
      <c r="C64" s="8" t="s">
        <v>76</v>
      </c>
      <c r="D64" s="132" t="s">
        <v>81</v>
      </c>
      <c r="E64" s="132" t="s">
        <v>22</v>
      </c>
      <c r="F64" s="179" t="s">
        <v>16</v>
      </c>
      <c r="G64" s="130" t="s">
        <v>964</v>
      </c>
      <c r="H64" s="266"/>
      <c r="I64" s="175" t="s">
        <v>127</v>
      </c>
      <c r="J64" s="175" t="s">
        <v>66</v>
      </c>
      <c r="K64" s="266"/>
      <c r="L64" s="27" t="s">
        <v>68</v>
      </c>
      <c r="M64" s="219"/>
    </row>
    <row r="65">
      <c r="A65" s="200">
        <v>43916.0</v>
      </c>
      <c r="B65" s="169" t="s">
        <v>56</v>
      </c>
      <c r="C65" s="8" t="s">
        <v>13</v>
      </c>
      <c r="D65" s="132" t="s">
        <v>58</v>
      </c>
      <c r="E65" s="132" t="s">
        <v>22</v>
      </c>
      <c r="F65" s="179" t="s">
        <v>16</v>
      </c>
      <c r="G65" s="130" t="s">
        <v>965</v>
      </c>
      <c r="H65" s="266"/>
      <c r="I65" s="175" t="s">
        <v>79</v>
      </c>
      <c r="J65" s="175"/>
      <c r="K65" s="266"/>
      <c r="L65" s="27" t="s">
        <v>71</v>
      </c>
      <c r="M65" s="219"/>
    </row>
    <row r="66">
      <c r="A66" s="200">
        <v>43907.0</v>
      </c>
      <c r="B66" s="169" t="s">
        <v>56</v>
      </c>
      <c r="C66" s="8" t="s">
        <v>83</v>
      </c>
      <c r="D66" s="132" t="s">
        <v>44</v>
      </c>
      <c r="E66" s="132" t="s">
        <v>22</v>
      </c>
      <c r="F66" s="179" t="s">
        <v>16</v>
      </c>
      <c r="G66" s="130" t="s">
        <v>966</v>
      </c>
      <c r="H66" s="270" t="str">
        <f>HYPERLINK("https://docs.google.com/presentation/d/1DCAXI9CtV27Zuym7_8lj19Cz1cJZOLEctNzse2a0qtY/edit#slide=id.g5be57e4615_2_781","link")</f>
        <v>link</v>
      </c>
      <c r="I66" s="175" t="s">
        <v>66</v>
      </c>
      <c r="J66" s="175"/>
      <c r="K66" s="138"/>
      <c r="L66" s="98" t="s">
        <v>71</v>
      </c>
      <c r="M66" s="219"/>
    </row>
    <row r="67">
      <c r="A67" s="200">
        <v>43895.0</v>
      </c>
      <c r="B67" s="169" t="s">
        <v>56</v>
      </c>
      <c r="C67" s="8" t="s">
        <v>371</v>
      </c>
      <c r="D67" s="132" t="s">
        <v>81</v>
      </c>
      <c r="E67" s="132" t="s">
        <v>22</v>
      </c>
      <c r="F67" s="179" t="s">
        <v>16</v>
      </c>
      <c r="G67" s="130" t="s">
        <v>967</v>
      </c>
      <c r="H67" s="138"/>
      <c r="I67" s="175" t="s">
        <v>346</v>
      </c>
      <c r="J67" s="175" t="s">
        <v>308</v>
      </c>
      <c r="K67" s="138"/>
      <c r="L67" s="98" t="s">
        <v>167</v>
      </c>
      <c r="M67" s="219"/>
    </row>
    <row r="68">
      <c r="A68" s="200">
        <v>43895.0</v>
      </c>
      <c r="B68" s="169" t="s">
        <v>56</v>
      </c>
      <c r="C68" s="8" t="s">
        <v>371</v>
      </c>
      <c r="D68" s="132" t="s">
        <v>81</v>
      </c>
      <c r="E68" s="132" t="s">
        <v>22</v>
      </c>
      <c r="F68" s="179" t="s">
        <v>16</v>
      </c>
      <c r="G68" s="130" t="s">
        <v>968</v>
      </c>
      <c r="H68" s="138"/>
      <c r="I68" s="175" t="s">
        <v>308</v>
      </c>
      <c r="J68" s="272"/>
      <c r="K68" s="138"/>
      <c r="L68" s="98" t="s">
        <v>167</v>
      </c>
      <c r="M68" s="219"/>
    </row>
    <row r="69">
      <c r="A69" s="200">
        <v>43895.0</v>
      </c>
      <c r="B69" s="169" t="s">
        <v>56</v>
      </c>
      <c r="C69" s="8" t="s">
        <v>76</v>
      </c>
      <c r="D69" s="132" t="s">
        <v>44</v>
      </c>
      <c r="E69" s="132" t="s">
        <v>22</v>
      </c>
      <c r="F69" s="179" t="s">
        <v>16</v>
      </c>
      <c r="G69" s="130" t="s">
        <v>969</v>
      </c>
      <c r="H69" s="138"/>
      <c r="I69" s="175" t="s">
        <v>346</v>
      </c>
      <c r="J69" s="272" t="s">
        <v>66</v>
      </c>
      <c r="K69" s="138"/>
      <c r="L69" s="143" t="s">
        <v>71</v>
      </c>
      <c r="M69" s="219"/>
    </row>
    <row r="70">
      <c r="A70" s="200">
        <v>43888.0</v>
      </c>
      <c r="B70" s="169" t="s">
        <v>56</v>
      </c>
      <c r="C70" s="8" t="s">
        <v>30</v>
      </c>
      <c r="D70" s="132" t="s">
        <v>81</v>
      </c>
      <c r="E70" s="132" t="s">
        <v>22</v>
      </c>
      <c r="F70" s="142" t="s">
        <v>16</v>
      </c>
      <c r="G70" s="130" t="s">
        <v>970</v>
      </c>
      <c r="H70" s="138"/>
      <c r="I70" s="175" t="s">
        <v>127</v>
      </c>
      <c r="J70" s="273"/>
      <c r="K70" s="138"/>
      <c r="L70" s="143" t="s">
        <v>167</v>
      </c>
      <c r="M70" s="219"/>
    </row>
    <row r="71">
      <c r="A71" s="234">
        <v>43887.0</v>
      </c>
      <c r="B71" s="235" t="s">
        <v>56</v>
      </c>
      <c r="C71" s="236" t="s">
        <v>20</v>
      </c>
      <c r="D71" s="237" t="s">
        <v>44</v>
      </c>
      <c r="E71" s="237" t="s">
        <v>22</v>
      </c>
      <c r="F71" s="179" t="s">
        <v>16</v>
      </c>
      <c r="G71" s="238" t="s">
        <v>971</v>
      </c>
      <c r="H71" s="241"/>
      <c r="I71" s="247" t="s">
        <v>67</v>
      </c>
      <c r="J71" s="18"/>
      <c r="K71" s="13"/>
      <c r="L71" s="13" t="s">
        <v>71</v>
      </c>
      <c r="M71" s="225"/>
    </row>
    <row r="72">
      <c r="A72" s="234">
        <v>43840.0</v>
      </c>
      <c r="B72" s="235" t="s">
        <v>56</v>
      </c>
      <c r="C72" s="236" t="s">
        <v>26</v>
      </c>
      <c r="D72" s="237" t="s">
        <v>58</v>
      </c>
      <c r="E72" s="237" t="s">
        <v>64</v>
      </c>
      <c r="F72" s="274" t="s">
        <v>16</v>
      </c>
      <c r="G72" s="238" t="s">
        <v>972</v>
      </c>
      <c r="H72" s="239" t="str">
        <f>HYPERLINK("https://docs.google.com/presentation/d/14rGnvWiBVMsLsOoEugly6gjkWEfZGC98e3wKBiJ7ED4/edit#slide=id.g5b08e3411b_0_2","link")</f>
        <v>link</v>
      </c>
      <c r="I72" s="247" t="s">
        <v>463</v>
      </c>
      <c r="J72" s="18" t="s">
        <v>66</v>
      </c>
      <c r="K72" s="13"/>
      <c r="L72" s="13" t="s">
        <v>68</v>
      </c>
      <c r="M72" s="225"/>
    </row>
    <row r="73">
      <c r="A73" s="234">
        <v>43840.0</v>
      </c>
      <c r="B73" s="235" t="s">
        <v>56</v>
      </c>
      <c r="C73" s="236" t="s">
        <v>26</v>
      </c>
      <c r="D73" s="237" t="s">
        <v>58</v>
      </c>
      <c r="E73" s="237" t="s">
        <v>22</v>
      </c>
      <c r="F73" s="179" t="s">
        <v>16</v>
      </c>
      <c r="G73" s="238" t="s">
        <v>973</v>
      </c>
      <c r="H73" s="239" t="str">
        <f>HYPERLINK("https://docs.google.com/presentation/d/1ugBYZGnSYvl84yrgJMssrTU3IQocxgNTqiSzxYEIkYM/edit#slide=id.g4057557fca_0_46","link")</f>
        <v>link</v>
      </c>
      <c r="I73" s="247" t="s">
        <v>66</v>
      </c>
      <c r="J73" s="18"/>
      <c r="K73" s="13"/>
      <c r="L73" s="13" t="s">
        <v>71</v>
      </c>
      <c r="M73" s="225"/>
    </row>
    <row r="74">
      <c r="A74" s="234">
        <v>43840.0</v>
      </c>
      <c r="B74" s="235" t="s">
        <v>56</v>
      </c>
      <c r="C74" s="236" t="s">
        <v>57</v>
      </c>
      <c r="D74" s="237" t="s">
        <v>58</v>
      </c>
      <c r="E74" s="237" t="s">
        <v>22</v>
      </c>
      <c r="F74" s="179" t="s">
        <v>16</v>
      </c>
      <c r="G74" s="238" t="s">
        <v>974</v>
      </c>
      <c r="H74" s="241"/>
      <c r="I74" s="247" t="s">
        <v>115</v>
      </c>
      <c r="J74" s="18"/>
      <c r="K74" s="13"/>
      <c r="L74" s="13" t="s">
        <v>68</v>
      </c>
      <c r="M74" s="225"/>
    </row>
    <row r="75">
      <c r="A75" s="234">
        <v>43840.0</v>
      </c>
      <c r="B75" s="235" t="s">
        <v>56</v>
      </c>
      <c r="C75" s="236" t="s">
        <v>57</v>
      </c>
      <c r="D75" s="237" t="s">
        <v>58</v>
      </c>
      <c r="E75" s="237" t="s">
        <v>64</v>
      </c>
      <c r="F75" s="179" t="s">
        <v>16</v>
      </c>
      <c r="G75" s="238" t="s">
        <v>975</v>
      </c>
      <c r="H75" s="239" t="str">
        <f>HYPERLINK("https://docs.google.com/presentation/d/1PkRHLCglMtoSVT4pW0i2mWw82GkX8mgnXTtqwqPQOIE/edit?ts=5de60e00#slide=id.g7a73435bb6_0_1","Link")</f>
        <v>Link</v>
      </c>
      <c r="I75" s="247" t="s">
        <v>70</v>
      </c>
      <c r="J75" s="18"/>
      <c r="K75" s="13"/>
      <c r="L75" s="13" t="s">
        <v>68</v>
      </c>
      <c r="M75" s="225"/>
    </row>
    <row r="76" ht="65.25" customHeight="1">
      <c r="A76" s="234">
        <v>43837.0</v>
      </c>
      <c r="B76" s="235" t="s">
        <v>75</v>
      </c>
      <c r="C76" s="236" t="s">
        <v>26</v>
      </c>
      <c r="D76" s="237" t="s">
        <v>81</v>
      </c>
      <c r="E76" s="237" t="s">
        <v>22</v>
      </c>
      <c r="F76" s="179" t="s">
        <v>16</v>
      </c>
      <c r="G76" s="238" t="s">
        <v>976</v>
      </c>
      <c r="H76" s="241"/>
      <c r="I76" s="247" t="s">
        <v>717</v>
      </c>
      <c r="J76" s="18" t="s">
        <v>66</v>
      </c>
      <c r="K76" s="13"/>
      <c r="L76" s="13" t="s">
        <v>63</v>
      </c>
      <c r="M76" s="225"/>
    </row>
    <row r="77" ht="65.25" customHeight="1">
      <c r="A77" s="234">
        <v>43837.0</v>
      </c>
      <c r="B77" s="235" t="s">
        <v>75</v>
      </c>
      <c r="C77" s="236" t="s">
        <v>76</v>
      </c>
      <c r="D77" s="237" t="s">
        <v>77</v>
      </c>
      <c r="E77" s="237" t="s">
        <v>22</v>
      </c>
      <c r="F77" s="179" t="s">
        <v>16</v>
      </c>
      <c r="G77" s="238" t="s">
        <v>977</v>
      </c>
      <c r="H77" s="239" t="str">
        <f>HYPERLINK("https://docs.google.com/presentation/d/1ENudDjgihvyydUvH47p-2mEPDrt7J29lHX-cuxQ5-RM/edit#slide=id.g5e20e671da_5_3","Link")</f>
        <v>Link</v>
      </c>
      <c r="I77" s="247" t="s">
        <v>346</v>
      </c>
      <c r="J77" s="18"/>
      <c r="K77" s="13"/>
      <c r="L77" s="13" t="s">
        <v>63</v>
      </c>
      <c r="M77" s="225"/>
    </row>
    <row r="78">
      <c r="A78" s="234">
        <v>43837.0</v>
      </c>
      <c r="B78" s="235" t="s">
        <v>75</v>
      </c>
      <c r="C78" s="236" t="s">
        <v>49</v>
      </c>
      <c r="D78" s="237" t="s">
        <v>44</v>
      </c>
      <c r="E78" s="237" t="s">
        <v>22</v>
      </c>
      <c r="F78" s="179" t="s">
        <v>16</v>
      </c>
      <c r="G78" s="238" t="s">
        <v>978</v>
      </c>
      <c r="H78" s="239" t="str">
        <f>HYPERLINK("https://docs.google.com/presentation/d/1RkwoIm0xhmj55L-ClPpgY39kprKviLHHgMmPmfD4O5o/edit#slide=id.g7c76addb82_0_167","LINK")</f>
        <v>LINK</v>
      </c>
      <c r="I78" s="247" t="s">
        <v>115</v>
      </c>
      <c r="J78" s="18"/>
      <c r="K78" s="13"/>
      <c r="L78" s="13" t="s">
        <v>68</v>
      </c>
      <c r="M78" s="225"/>
    </row>
    <row r="79">
      <c r="A79" s="234">
        <v>43802.0</v>
      </c>
      <c r="B79" s="235" t="s">
        <v>75</v>
      </c>
      <c r="C79" s="236" t="s">
        <v>30</v>
      </c>
      <c r="D79" s="237" t="s">
        <v>77</v>
      </c>
      <c r="E79" s="237" t="s">
        <v>22</v>
      </c>
      <c r="F79" s="179" t="s">
        <v>16</v>
      </c>
      <c r="G79" s="238" t="s">
        <v>979</v>
      </c>
      <c r="H79" s="239" t="str">
        <f>HYPERLINK("https://docs.google.com/presentation/d/1jXu2ej2yflc2mX_489NSrz4isaG837S0sspeC3gSV2g/edit#slide=id.g5b08e3411b_0_2","link")</f>
        <v>link</v>
      </c>
      <c r="I79" s="247" t="s">
        <v>66</v>
      </c>
      <c r="J79" s="18"/>
      <c r="K79" s="13"/>
      <c r="L79" s="13" t="s">
        <v>71</v>
      </c>
      <c r="M79" s="225"/>
    </row>
    <row r="80">
      <c r="A80" s="234">
        <v>43802.0</v>
      </c>
      <c r="B80" s="235" t="s">
        <v>75</v>
      </c>
      <c r="C80" s="236" t="s">
        <v>30</v>
      </c>
      <c r="D80" s="237" t="s">
        <v>81</v>
      </c>
      <c r="E80" s="237" t="s">
        <v>22</v>
      </c>
      <c r="F80" s="179" t="s">
        <v>16</v>
      </c>
      <c r="G80" s="238" t="s">
        <v>980</v>
      </c>
      <c r="H80" s="241"/>
      <c r="I80" s="247" t="s">
        <v>66</v>
      </c>
      <c r="J80" s="18" t="s">
        <v>127</v>
      </c>
      <c r="K80" s="13"/>
      <c r="L80" s="13" t="s">
        <v>63</v>
      </c>
      <c r="M80" s="225"/>
    </row>
    <row r="81">
      <c r="A81" s="234">
        <v>43802.0</v>
      </c>
      <c r="B81" s="235" t="s">
        <v>75</v>
      </c>
      <c r="C81" s="236" t="s">
        <v>30</v>
      </c>
      <c r="D81" s="237" t="s">
        <v>81</v>
      </c>
      <c r="E81" s="237" t="s">
        <v>64</v>
      </c>
      <c r="F81" s="179" t="s">
        <v>16</v>
      </c>
      <c r="G81" s="238" t="s">
        <v>981</v>
      </c>
      <c r="H81" s="241"/>
      <c r="I81" s="247" t="s">
        <v>66</v>
      </c>
      <c r="J81" s="18" t="s">
        <v>127</v>
      </c>
      <c r="K81" s="13"/>
      <c r="L81" s="13" t="s">
        <v>68</v>
      </c>
      <c r="M81" s="263"/>
    </row>
    <row r="82">
      <c r="A82" s="253"/>
      <c r="B82" s="235"/>
      <c r="C82" s="236"/>
      <c r="D82" s="237"/>
      <c r="E82" s="237"/>
      <c r="F82" s="179"/>
      <c r="G82" s="156"/>
      <c r="H82" s="275"/>
      <c r="I82" s="166"/>
      <c r="J82" s="166"/>
      <c r="K82" s="13"/>
      <c r="L82" s="13"/>
      <c r="M82" s="263"/>
    </row>
    <row r="83">
      <c r="A83" s="253"/>
      <c r="B83" s="235"/>
      <c r="C83" s="236"/>
      <c r="D83" s="237"/>
      <c r="E83" s="237"/>
      <c r="F83" s="179"/>
      <c r="G83" s="156"/>
      <c r="H83" s="275"/>
      <c r="I83" s="166"/>
      <c r="J83" s="166"/>
      <c r="K83" s="13"/>
      <c r="L83" s="13"/>
      <c r="M83" s="263"/>
    </row>
    <row r="84">
      <c r="A84" s="253"/>
      <c r="B84" s="235"/>
      <c r="C84" s="236"/>
      <c r="D84" s="237"/>
      <c r="E84" s="237"/>
      <c r="F84" s="179"/>
      <c r="G84" s="156"/>
      <c r="H84" s="275"/>
      <c r="I84" s="166"/>
      <c r="J84" s="166"/>
      <c r="K84" s="13"/>
      <c r="L84" s="13"/>
      <c r="M84" s="263"/>
    </row>
    <row r="85">
      <c r="A85" s="253"/>
      <c r="B85" s="235"/>
      <c r="C85" s="236"/>
      <c r="D85" s="237"/>
      <c r="E85" s="237"/>
      <c r="F85" s="179"/>
      <c r="G85" s="156"/>
      <c r="H85" s="275"/>
      <c r="I85" s="166"/>
      <c r="J85" s="166"/>
      <c r="K85" s="13"/>
      <c r="L85" s="13"/>
      <c r="M85" s="263"/>
    </row>
    <row r="86">
      <c r="A86" s="253"/>
      <c r="B86" s="235"/>
      <c r="C86" s="236"/>
      <c r="D86" s="237"/>
      <c r="E86" s="237"/>
      <c r="F86" s="179"/>
      <c r="G86" s="156"/>
      <c r="H86" s="275"/>
      <c r="I86" s="166"/>
      <c r="J86" s="166"/>
      <c r="K86" s="13"/>
      <c r="L86" s="13"/>
      <c r="M86" s="263"/>
    </row>
    <row r="87">
      <c r="A87" s="253"/>
      <c r="B87" s="235"/>
      <c r="C87" s="236"/>
      <c r="D87" s="237"/>
      <c r="E87" s="237"/>
      <c r="F87" s="179"/>
      <c r="G87" s="156"/>
      <c r="H87" s="275"/>
      <c r="I87" s="166"/>
      <c r="J87" s="166"/>
      <c r="K87" s="13"/>
      <c r="L87" s="13"/>
      <c r="M87" s="263"/>
    </row>
    <row r="88">
      <c r="A88" s="253"/>
      <c r="B88" s="235"/>
      <c r="C88" s="236"/>
      <c r="D88" s="237"/>
      <c r="E88" s="237"/>
      <c r="F88" s="179"/>
      <c r="G88" s="156"/>
      <c r="H88" s="275"/>
      <c r="I88" s="166"/>
      <c r="J88" s="166"/>
      <c r="K88" s="13"/>
      <c r="L88" s="13"/>
      <c r="M88" s="263"/>
    </row>
    <row r="89">
      <c r="A89" s="253"/>
      <c r="B89" s="235"/>
      <c r="C89" s="236"/>
      <c r="D89" s="237"/>
      <c r="E89" s="237"/>
      <c r="F89" s="179"/>
      <c r="G89" s="156"/>
      <c r="H89" s="275"/>
      <c r="I89" s="166"/>
      <c r="J89" s="166"/>
      <c r="K89" s="13"/>
      <c r="L89" s="13"/>
      <c r="M89" s="263"/>
    </row>
    <row r="90">
      <c r="A90" s="253"/>
      <c r="B90" s="235"/>
      <c r="C90" s="236"/>
      <c r="D90" s="237"/>
      <c r="E90" s="237"/>
      <c r="F90" s="179"/>
      <c r="G90" s="156"/>
      <c r="H90" s="275"/>
      <c r="I90" s="166"/>
      <c r="J90" s="166"/>
      <c r="K90" s="13"/>
      <c r="L90" s="13"/>
      <c r="M90" s="263"/>
    </row>
    <row r="91">
      <c r="A91" s="253"/>
      <c r="B91" s="235"/>
      <c r="C91" s="236"/>
      <c r="D91" s="237"/>
      <c r="E91" s="237"/>
      <c r="F91" s="179"/>
      <c r="G91" s="179"/>
      <c r="H91" s="275"/>
      <c r="I91" s="166"/>
      <c r="J91" s="166"/>
      <c r="K91" s="13"/>
      <c r="L91" s="13"/>
      <c r="M91" s="263"/>
    </row>
    <row r="92">
      <c r="A92" s="253"/>
      <c r="B92" s="235"/>
      <c r="C92" s="236"/>
      <c r="D92" s="237"/>
      <c r="E92" s="237"/>
      <c r="F92" s="179"/>
      <c r="G92" s="179"/>
      <c r="H92" s="275"/>
      <c r="I92" s="166"/>
      <c r="J92" s="166"/>
      <c r="K92" s="13"/>
      <c r="L92" s="13"/>
      <c r="M92" s="263"/>
    </row>
    <row r="93">
      <c r="A93" s="253"/>
      <c r="B93" s="235"/>
      <c r="C93" s="236"/>
      <c r="D93" s="237"/>
      <c r="E93" s="237"/>
      <c r="F93" s="179"/>
      <c r="G93" s="179"/>
      <c r="H93" s="275"/>
      <c r="I93" s="166"/>
      <c r="J93" s="166"/>
      <c r="K93" s="13"/>
      <c r="L93" s="13"/>
      <c r="M93" s="263"/>
    </row>
    <row r="94">
      <c r="A94" s="253"/>
      <c r="B94" s="179"/>
      <c r="C94" s="236"/>
      <c r="D94" s="237"/>
      <c r="E94" s="237"/>
      <c r="F94" s="179"/>
      <c r="G94" s="179"/>
      <c r="H94" s="275"/>
      <c r="I94" s="166"/>
      <c r="J94" s="166"/>
      <c r="K94" s="13"/>
      <c r="L94" s="13"/>
      <c r="M94" s="263"/>
    </row>
    <row r="95">
      <c r="A95" s="253"/>
      <c r="B95" s="179"/>
      <c r="C95" s="236"/>
      <c r="D95" s="237"/>
      <c r="E95" s="237"/>
      <c r="F95" s="179"/>
      <c r="G95" s="179"/>
      <c r="H95" s="275"/>
      <c r="I95" s="166"/>
      <c r="J95" s="166"/>
      <c r="K95" s="13"/>
      <c r="L95" s="13"/>
      <c r="M95" s="263"/>
    </row>
    <row r="96">
      <c r="A96" s="253"/>
      <c r="B96" s="179"/>
      <c r="C96" s="236"/>
      <c r="D96" s="237"/>
      <c r="E96" s="237"/>
      <c r="F96" s="179"/>
      <c r="G96" s="179"/>
      <c r="H96" s="275"/>
      <c r="I96" s="166"/>
      <c r="J96" s="166"/>
      <c r="K96" s="13"/>
      <c r="L96" s="13"/>
      <c r="M96" s="263"/>
    </row>
    <row r="97">
      <c r="A97" s="253"/>
      <c r="B97" s="179"/>
      <c r="C97" s="236"/>
      <c r="D97" s="237"/>
      <c r="E97" s="237"/>
      <c r="F97" s="179"/>
      <c r="G97" s="179"/>
      <c r="H97" s="275"/>
      <c r="I97" s="166"/>
      <c r="J97" s="166"/>
      <c r="K97" s="13"/>
      <c r="L97" s="13"/>
      <c r="M97" s="263"/>
    </row>
    <row r="98">
      <c r="A98" s="253"/>
      <c r="B98" s="179"/>
      <c r="C98" s="236"/>
      <c r="D98" s="237"/>
      <c r="E98" s="237"/>
      <c r="F98" s="179"/>
      <c r="G98" s="179"/>
      <c r="H98" s="276"/>
      <c r="I98" s="166"/>
      <c r="J98" s="166"/>
      <c r="K98" s="13"/>
      <c r="L98" s="13"/>
      <c r="M98" s="263"/>
    </row>
    <row r="99">
      <c r="A99" s="253"/>
      <c r="B99" s="235"/>
      <c r="C99" s="236"/>
      <c r="D99" s="237"/>
      <c r="E99" s="237"/>
      <c r="F99" s="179"/>
      <c r="G99" s="179"/>
      <c r="H99" s="275"/>
      <c r="I99" s="166"/>
      <c r="J99" s="166"/>
      <c r="K99" s="13"/>
      <c r="L99" s="13"/>
      <c r="M99" s="263"/>
    </row>
    <row r="100">
      <c r="A100" s="253"/>
      <c r="B100" s="179"/>
      <c r="C100" s="236"/>
      <c r="D100" s="237"/>
      <c r="E100" s="237"/>
      <c r="F100" s="179"/>
      <c r="G100" s="179"/>
      <c r="H100" s="275"/>
      <c r="I100" s="166"/>
      <c r="J100" s="166"/>
      <c r="K100" s="13"/>
      <c r="L100" s="13"/>
      <c r="M100" s="263"/>
    </row>
    <row r="101">
      <c r="A101" s="253"/>
      <c r="B101" s="179"/>
      <c r="C101" s="236"/>
      <c r="D101" s="237"/>
      <c r="E101" s="237"/>
      <c r="F101" s="179"/>
      <c r="G101" s="179"/>
      <c r="H101" s="275"/>
      <c r="I101" s="166"/>
      <c r="J101" s="166"/>
      <c r="K101" s="13"/>
      <c r="L101" s="13"/>
      <c r="M101" s="263"/>
    </row>
    <row r="102">
      <c r="A102" s="253"/>
      <c r="B102" s="179"/>
      <c r="C102" s="236"/>
      <c r="D102" s="237"/>
      <c r="E102" s="237"/>
      <c r="F102" s="179"/>
      <c r="G102" s="179"/>
      <c r="H102" s="275"/>
      <c r="I102" s="166"/>
      <c r="J102" s="166"/>
      <c r="K102" s="13"/>
      <c r="L102" s="13"/>
      <c r="M102" s="263"/>
    </row>
    <row r="103">
      <c r="A103" s="253"/>
      <c r="B103" s="179"/>
      <c r="C103" s="236"/>
      <c r="D103" s="237"/>
      <c r="E103" s="237"/>
      <c r="F103" s="179"/>
      <c r="G103" s="179"/>
      <c r="H103" s="275"/>
      <c r="I103" s="166"/>
      <c r="J103" s="166"/>
      <c r="K103" s="13"/>
      <c r="L103" s="13"/>
      <c r="M103" s="263"/>
    </row>
    <row r="104">
      <c r="A104" s="253"/>
      <c r="B104" s="179"/>
      <c r="C104" s="166"/>
      <c r="D104" s="255"/>
      <c r="E104" s="255"/>
      <c r="F104" s="235"/>
      <c r="G104" s="179"/>
      <c r="H104" s="13"/>
      <c r="I104" s="166"/>
      <c r="J104" s="166"/>
      <c r="K104" s="13"/>
      <c r="L104" s="13"/>
      <c r="M104" s="263"/>
    </row>
    <row r="105">
      <c r="A105" s="253"/>
      <c r="B105" s="179"/>
      <c r="C105" s="236"/>
      <c r="D105" s="237"/>
      <c r="E105" s="237"/>
      <c r="F105" s="179"/>
      <c r="G105" s="179"/>
      <c r="H105" s="13"/>
      <c r="I105" s="166"/>
      <c r="J105" s="166"/>
      <c r="K105" s="13"/>
      <c r="L105" s="13"/>
      <c r="M105" s="263"/>
    </row>
    <row r="106">
      <c r="A106" s="253"/>
      <c r="B106" s="179"/>
      <c r="C106" s="236"/>
      <c r="D106" s="255"/>
      <c r="E106" s="237"/>
      <c r="F106" s="179"/>
      <c r="G106" s="179"/>
      <c r="H106" s="13"/>
      <c r="I106" s="166"/>
      <c r="J106" s="166"/>
      <c r="K106" s="13"/>
      <c r="L106" s="13"/>
      <c r="M106" s="263"/>
    </row>
    <row r="107">
      <c r="A107" s="253"/>
      <c r="B107" s="179"/>
      <c r="C107" s="166"/>
      <c r="D107" s="255"/>
      <c r="E107" s="255"/>
      <c r="F107" s="235"/>
      <c r="G107" s="179"/>
      <c r="H107" s="13"/>
      <c r="I107" s="166"/>
      <c r="J107" s="166"/>
      <c r="K107" s="13"/>
      <c r="L107" s="13"/>
      <c r="M107" s="263"/>
    </row>
    <row r="108">
      <c r="A108" s="253"/>
      <c r="B108" s="179"/>
      <c r="C108" s="166"/>
      <c r="D108" s="255"/>
      <c r="E108" s="255"/>
      <c r="F108" s="235"/>
      <c r="G108" s="179"/>
      <c r="H108" s="277"/>
      <c r="I108" s="166"/>
      <c r="J108" s="166"/>
      <c r="K108" s="277"/>
      <c r="L108" s="278"/>
      <c r="M108" s="263"/>
    </row>
    <row r="109">
      <c r="A109" s="253"/>
      <c r="B109" s="179"/>
      <c r="C109" s="166"/>
      <c r="D109" s="255"/>
      <c r="E109" s="255"/>
      <c r="F109" s="235"/>
      <c r="G109" s="179"/>
      <c r="H109" s="13"/>
      <c r="I109" s="166"/>
      <c r="J109" s="166"/>
      <c r="K109" s="13"/>
      <c r="L109" s="13"/>
      <c r="M109" s="263"/>
    </row>
    <row r="110">
      <c r="A110" s="253"/>
      <c r="B110" s="179"/>
      <c r="C110" s="166"/>
      <c r="D110" s="255"/>
      <c r="E110" s="255"/>
      <c r="F110" s="235"/>
      <c r="G110" s="179"/>
      <c r="H110" s="13"/>
      <c r="I110" s="166"/>
      <c r="J110" s="166"/>
      <c r="K110" s="13"/>
      <c r="L110" s="13"/>
      <c r="M110" s="263"/>
    </row>
    <row r="111">
      <c r="A111" s="253"/>
      <c r="B111" s="179"/>
      <c r="C111" s="166"/>
      <c r="D111" s="255"/>
      <c r="E111" s="255"/>
      <c r="F111" s="235"/>
      <c r="G111" s="179"/>
      <c r="H111" s="13"/>
      <c r="I111" s="166"/>
      <c r="J111" s="166"/>
      <c r="K111" s="13"/>
      <c r="L111" s="13"/>
      <c r="M111" s="263"/>
    </row>
    <row r="112">
      <c r="A112" s="253"/>
      <c r="B112" s="179"/>
      <c r="C112" s="166"/>
      <c r="D112" s="255"/>
      <c r="E112" s="255"/>
      <c r="F112" s="235"/>
      <c r="G112" s="179"/>
      <c r="H112" s="13"/>
      <c r="I112" s="166"/>
      <c r="J112" s="166"/>
      <c r="K112" s="13"/>
      <c r="L112" s="13"/>
      <c r="M112" s="263"/>
    </row>
    <row r="113">
      <c r="A113" s="253"/>
      <c r="B113" s="179"/>
      <c r="C113" s="166"/>
      <c r="D113" s="255"/>
      <c r="E113" s="255"/>
      <c r="F113" s="235"/>
      <c r="G113" s="179"/>
      <c r="H113" s="13"/>
      <c r="I113" s="166"/>
      <c r="J113" s="166"/>
      <c r="K113" s="13"/>
      <c r="L113" s="13"/>
      <c r="M113" s="263"/>
    </row>
    <row r="114">
      <c r="A114" s="253"/>
      <c r="B114" s="179"/>
      <c r="C114" s="166"/>
      <c r="D114" s="255"/>
      <c r="E114" s="255"/>
      <c r="F114" s="235"/>
      <c r="G114" s="179"/>
      <c r="H114" s="13"/>
      <c r="I114" s="166"/>
      <c r="J114" s="166"/>
      <c r="K114" s="13"/>
      <c r="L114" s="13"/>
      <c r="M114" s="263"/>
    </row>
    <row r="115">
      <c r="A115" s="253"/>
      <c r="B115" s="179"/>
      <c r="C115" s="166"/>
      <c r="D115" s="255"/>
      <c r="E115" s="255"/>
      <c r="F115" s="235"/>
      <c r="G115" s="179"/>
      <c r="H115" s="13"/>
      <c r="I115" s="236"/>
      <c r="J115" s="166"/>
      <c r="K115" s="13"/>
      <c r="L115" s="13"/>
      <c r="M115" s="263"/>
    </row>
    <row r="116">
      <c r="A116" s="253"/>
      <c r="B116" s="179"/>
      <c r="C116" s="166"/>
      <c r="D116" s="255"/>
      <c r="E116" s="255"/>
      <c r="F116" s="235"/>
      <c r="G116" s="179"/>
      <c r="H116" s="13"/>
      <c r="I116" s="236"/>
      <c r="J116" s="166"/>
      <c r="K116" s="13"/>
      <c r="L116" s="13"/>
      <c r="M116" s="263"/>
    </row>
    <row r="117">
      <c r="A117" s="253"/>
      <c r="B117" s="179"/>
      <c r="C117" s="166"/>
      <c r="D117" s="255"/>
      <c r="E117" s="255"/>
      <c r="F117" s="235"/>
      <c r="G117" s="179"/>
      <c r="H117" s="13"/>
      <c r="I117" s="236"/>
      <c r="J117" s="166"/>
      <c r="K117" s="279"/>
      <c r="L117" s="280"/>
      <c r="M117" s="263"/>
    </row>
    <row r="118">
      <c r="A118" s="253"/>
      <c r="B118" s="179"/>
      <c r="C118" s="166"/>
      <c r="D118" s="255"/>
      <c r="E118" s="255"/>
      <c r="F118" s="235"/>
      <c r="G118" s="179"/>
      <c r="H118" s="13"/>
      <c r="I118" s="166"/>
      <c r="J118" s="166"/>
      <c r="K118" s="13"/>
      <c r="L118" s="13"/>
      <c r="M118" s="263"/>
    </row>
    <row r="119">
      <c r="A119" s="253"/>
      <c r="B119" s="179"/>
      <c r="C119" s="166"/>
      <c r="D119" s="255"/>
      <c r="E119" s="255"/>
      <c r="F119" s="235"/>
      <c r="G119" s="179"/>
      <c r="H119" s="13"/>
      <c r="I119" s="166"/>
      <c r="J119" s="166"/>
      <c r="K119" s="13"/>
      <c r="L119" s="13"/>
      <c r="M119" s="263"/>
    </row>
    <row r="120">
      <c r="A120" s="253"/>
      <c r="B120" s="179"/>
      <c r="C120" s="236"/>
      <c r="D120" s="255"/>
      <c r="E120" s="237"/>
      <c r="F120" s="179"/>
      <c r="G120" s="179"/>
      <c r="H120" s="13"/>
      <c r="I120" s="166"/>
      <c r="J120" s="166"/>
      <c r="K120" s="13"/>
      <c r="L120" s="13"/>
      <c r="M120" s="263"/>
    </row>
    <row r="121">
      <c r="A121" s="253"/>
      <c r="B121" s="179"/>
      <c r="C121" s="236"/>
      <c r="D121" s="255"/>
      <c r="E121" s="237"/>
      <c r="F121" s="179"/>
      <c r="G121" s="179"/>
      <c r="H121" s="13"/>
      <c r="I121" s="166"/>
      <c r="J121" s="166"/>
      <c r="K121" s="13"/>
      <c r="L121" s="13"/>
      <c r="M121" s="263"/>
    </row>
    <row r="122">
      <c r="A122" s="253"/>
      <c r="B122" s="179"/>
      <c r="C122" s="236"/>
      <c r="D122" s="255"/>
      <c r="E122" s="237"/>
      <c r="F122" s="179"/>
      <c r="G122" s="179"/>
      <c r="H122" s="13"/>
      <c r="I122" s="166"/>
      <c r="J122" s="166"/>
      <c r="K122" s="13"/>
      <c r="L122" s="13"/>
      <c r="M122" s="263"/>
    </row>
    <row r="123">
      <c r="A123" s="253"/>
      <c r="B123" s="179"/>
      <c r="C123" s="236"/>
      <c r="D123" s="255"/>
      <c r="E123" s="237"/>
      <c r="F123" s="179"/>
      <c r="G123" s="179"/>
      <c r="H123" s="13"/>
      <c r="I123" s="236"/>
      <c r="J123" s="166"/>
      <c r="K123" s="13"/>
      <c r="L123" s="13"/>
      <c r="M123" s="263"/>
    </row>
    <row r="124">
      <c r="A124" s="253"/>
      <c r="B124" s="179"/>
      <c r="C124" s="236"/>
      <c r="D124" s="237"/>
      <c r="E124" s="237"/>
      <c r="F124" s="179"/>
      <c r="G124" s="179"/>
      <c r="H124" s="13"/>
      <c r="I124" s="236"/>
      <c r="J124" s="166"/>
      <c r="K124" s="13"/>
      <c r="L124" s="13"/>
      <c r="M124" s="263"/>
    </row>
    <row r="125">
      <c r="A125" s="253"/>
      <c r="B125" s="179"/>
      <c r="C125" s="236"/>
      <c r="D125" s="237"/>
      <c r="E125" s="237"/>
      <c r="F125" s="179"/>
      <c r="G125" s="179"/>
      <c r="H125" s="13"/>
      <c r="I125" s="236"/>
      <c r="J125" s="236"/>
      <c r="K125" s="13"/>
      <c r="L125" s="13"/>
      <c r="M125" s="263"/>
    </row>
    <row r="126">
      <c r="A126" s="253"/>
      <c r="B126" s="179"/>
      <c r="C126" s="236"/>
      <c r="D126" s="255"/>
      <c r="E126" s="237"/>
      <c r="F126" s="179"/>
      <c r="G126" s="179"/>
      <c r="H126" s="13"/>
      <c r="I126" s="236"/>
      <c r="J126" s="166"/>
      <c r="K126" s="13"/>
      <c r="L126" s="13"/>
      <c r="M126" s="263"/>
    </row>
    <row r="127">
      <c r="A127" s="253"/>
      <c r="B127" s="179"/>
      <c r="C127" s="236"/>
      <c r="D127" s="255"/>
      <c r="E127" s="237"/>
      <c r="F127" s="179"/>
      <c r="G127" s="179"/>
      <c r="H127" s="13"/>
      <c r="I127" s="236"/>
      <c r="J127" s="166"/>
      <c r="K127" s="13"/>
      <c r="L127" s="13"/>
      <c r="M127" s="263"/>
    </row>
    <row r="128">
      <c r="A128" s="253"/>
      <c r="B128" s="179"/>
      <c r="C128" s="236"/>
      <c r="D128" s="237"/>
      <c r="E128" s="237"/>
      <c r="F128" s="179"/>
      <c r="G128" s="179"/>
      <c r="H128" s="13"/>
      <c r="I128" s="236"/>
      <c r="J128" s="236"/>
      <c r="K128" s="13"/>
      <c r="L128" s="13"/>
      <c r="M128" s="263"/>
    </row>
    <row r="129">
      <c r="A129" s="253"/>
      <c r="B129" s="179"/>
      <c r="C129" s="236"/>
      <c r="D129" s="237"/>
      <c r="E129" s="237"/>
      <c r="F129" s="179"/>
      <c r="G129" s="179"/>
      <c r="H129" s="13"/>
      <c r="I129" s="166"/>
      <c r="J129" s="166"/>
      <c r="K129" s="13"/>
      <c r="L129" s="13"/>
      <c r="M129" s="263"/>
    </row>
    <row r="130">
      <c r="A130" s="253"/>
      <c r="B130" s="179"/>
      <c r="C130" s="236"/>
      <c r="D130" s="237"/>
      <c r="E130" s="237"/>
      <c r="F130" s="179"/>
      <c r="G130" s="179"/>
      <c r="H130" s="13"/>
      <c r="I130" s="236"/>
      <c r="J130" s="236"/>
      <c r="K130" s="13"/>
      <c r="L130" s="13"/>
      <c r="M130" s="263"/>
    </row>
    <row r="131">
      <c r="A131" s="253"/>
      <c r="B131" s="179"/>
      <c r="C131" s="236"/>
      <c r="D131" s="237"/>
      <c r="E131" s="237"/>
      <c r="F131" s="179"/>
      <c r="G131" s="179"/>
      <c r="H131" s="13"/>
      <c r="I131" s="236"/>
      <c r="J131" s="166"/>
      <c r="K131" s="13"/>
      <c r="L131" s="13"/>
      <c r="M131" s="263"/>
    </row>
    <row r="132">
      <c r="A132" s="253"/>
      <c r="B132" s="179"/>
      <c r="C132" s="236"/>
      <c r="D132" s="237"/>
      <c r="E132" s="237"/>
      <c r="F132" s="179"/>
      <c r="G132" s="179"/>
      <c r="H132" s="13"/>
      <c r="I132" s="236"/>
      <c r="J132" s="166"/>
      <c r="K132" s="13"/>
      <c r="L132" s="13"/>
      <c r="M132" s="263"/>
    </row>
    <row r="133">
      <c r="A133" s="253"/>
      <c r="B133" s="179"/>
      <c r="C133" s="236"/>
      <c r="D133" s="237"/>
      <c r="E133" s="237"/>
      <c r="F133" s="179"/>
      <c r="G133" s="179"/>
      <c r="H133" s="13"/>
      <c r="I133" s="236"/>
      <c r="J133" s="166"/>
      <c r="K133" s="13"/>
      <c r="L133" s="13"/>
      <c r="M133" s="263"/>
    </row>
    <row r="134">
      <c r="A134" s="253"/>
      <c r="B134" s="179"/>
      <c r="C134" s="236"/>
      <c r="D134" s="237"/>
      <c r="E134" s="237"/>
      <c r="F134" s="179"/>
      <c r="G134" s="179"/>
      <c r="H134" s="13"/>
      <c r="I134" s="236"/>
      <c r="J134" s="166"/>
      <c r="K134" s="13"/>
      <c r="L134" s="13"/>
      <c r="M134" s="263"/>
    </row>
    <row r="135">
      <c r="A135" s="253"/>
      <c r="B135" s="179"/>
      <c r="C135" s="236"/>
      <c r="D135" s="237"/>
      <c r="E135" s="237"/>
      <c r="F135" s="179"/>
      <c r="G135" s="179"/>
      <c r="H135" s="13"/>
      <c r="I135" s="236"/>
      <c r="J135" s="166"/>
      <c r="K135" s="13"/>
      <c r="L135" s="13"/>
      <c r="M135" s="263"/>
    </row>
    <row r="136">
      <c r="A136" s="253"/>
      <c r="B136" s="179"/>
      <c r="C136" s="236"/>
      <c r="D136" s="237"/>
      <c r="E136" s="237"/>
      <c r="F136" s="179"/>
      <c r="G136" s="179"/>
      <c r="H136" s="13"/>
      <c r="I136" s="236"/>
      <c r="J136" s="166"/>
      <c r="K136" s="13"/>
      <c r="L136" s="13"/>
      <c r="M136" s="263"/>
    </row>
    <row r="137">
      <c r="A137" s="253"/>
      <c r="B137" s="179"/>
      <c r="C137" s="236"/>
      <c r="D137" s="237"/>
      <c r="E137" s="237"/>
      <c r="F137" s="179"/>
      <c r="G137" s="179"/>
      <c r="H137" s="13"/>
      <c r="I137" s="236"/>
      <c r="J137" s="166"/>
      <c r="K137" s="13"/>
      <c r="L137" s="13"/>
      <c r="M137" s="263"/>
    </row>
    <row r="138">
      <c r="A138" s="253"/>
      <c r="B138" s="179"/>
      <c r="C138" s="236"/>
      <c r="D138" s="237"/>
      <c r="E138" s="237"/>
      <c r="F138" s="179"/>
      <c r="G138" s="179"/>
      <c r="H138" s="13"/>
      <c r="I138" s="236"/>
      <c r="J138" s="166"/>
      <c r="K138" s="13"/>
      <c r="L138" s="13"/>
      <c r="M138" s="263"/>
    </row>
    <row r="139">
      <c r="A139" s="253"/>
      <c r="B139" s="179"/>
      <c r="C139" s="236"/>
      <c r="D139" s="237"/>
      <c r="E139" s="237"/>
      <c r="F139" s="179"/>
      <c r="G139" s="179"/>
      <c r="H139" s="13"/>
      <c r="I139" s="236"/>
      <c r="J139" s="166"/>
      <c r="K139" s="13"/>
      <c r="L139" s="13"/>
      <c r="M139" s="263"/>
    </row>
    <row r="140">
      <c r="A140" s="253"/>
      <c r="B140" s="179"/>
      <c r="C140" s="236"/>
      <c r="D140" s="237"/>
      <c r="E140" s="237"/>
      <c r="F140" s="179"/>
      <c r="G140" s="179"/>
      <c r="H140" s="13"/>
      <c r="I140" s="236"/>
      <c r="J140" s="166"/>
      <c r="K140" s="13"/>
      <c r="L140" s="13"/>
      <c r="M140" s="263"/>
    </row>
    <row r="141">
      <c r="A141" s="253"/>
      <c r="B141" s="179"/>
      <c r="C141" s="236"/>
      <c r="D141" s="237"/>
      <c r="E141" s="237"/>
      <c r="F141" s="179"/>
      <c r="G141" s="179"/>
      <c r="H141" s="13"/>
      <c r="I141" s="166"/>
      <c r="J141" s="166"/>
      <c r="K141" s="13"/>
      <c r="L141" s="13"/>
      <c r="M141" s="263"/>
    </row>
    <row r="142">
      <c r="A142" s="253"/>
      <c r="B142" s="179"/>
      <c r="C142" s="236"/>
      <c r="D142" s="237"/>
      <c r="E142" s="237"/>
      <c r="F142" s="179"/>
      <c r="G142" s="179" t="s">
        <v>102</v>
      </c>
      <c r="H142" s="13"/>
      <c r="I142" s="236"/>
      <c r="J142" s="166"/>
      <c r="K142" s="13"/>
      <c r="L142" s="13"/>
      <c r="M142" s="263"/>
    </row>
    <row r="143">
      <c r="A143" s="253"/>
      <c r="B143" s="179"/>
      <c r="C143" s="236"/>
      <c r="D143" s="237"/>
      <c r="E143" s="237"/>
      <c r="F143" s="179"/>
      <c r="G143" s="179"/>
      <c r="H143" s="13"/>
      <c r="I143" s="236"/>
      <c r="J143" s="166"/>
      <c r="K143" s="13"/>
      <c r="L143" s="13"/>
      <c r="M143" s="263"/>
    </row>
    <row r="144">
      <c r="A144" s="253"/>
      <c r="B144" s="179"/>
      <c r="C144" s="236"/>
      <c r="D144" s="237"/>
      <c r="E144" s="237"/>
      <c r="F144" s="179"/>
      <c r="G144" s="179"/>
      <c r="H144" s="13"/>
      <c r="I144" s="236"/>
      <c r="J144" s="166"/>
      <c r="K144" s="13"/>
      <c r="L144" s="13"/>
      <c r="M144" s="263"/>
    </row>
    <row r="145">
      <c r="A145" s="253"/>
      <c r="B145" s="179"/>
      <c r="C145" s="236"/>
      <c r="D145" s="237"/>
      <c r="E145" s="237"/>
      <c r="F145" s="179"/>
      <c r="G145" s="179"/>
      <c r="H145" s="13"/>
      <c r="I145" s="236"/>
      <c r="J145" s="166"/>
      <c r="K145" s="13"/>
      <c r="L145" s="13"/>
      <c r="M145" s="263"/>
    </row>
    <row r="146">
      <c r="A146" s="253"/>
      <c r="B146" s="179"/>
      <c r="C146" s="236"/>
      <c r="D146" s="237"/>
      <c r="E146" s="237"/>
      <c r="F146" s="179"/>
      <c r="G146" s="179"/>
      <c r="H146" s="13"/>
      <c r="I146" s="236"/>
      <c r="J146" s="166"/>
      <c r="K146" s="13"/>
      <c r="L146" s="13"/>
      <c r="M146" s="263"/>
    </row>
    <row r="147">
      <c r="A147" s="253"/>
      <c r="B147" s="179"/>
      <c r="C147" s="236"/>
      <c r="D147" s="237"/>
      <c r="E147" s="237"/>
      <c r="F147" s="179"/>
      <c r="G147" s="179"/>
      <c r="H147" s="13"/>
      <c r="I147" s="236"/>
      <c r="J147" s="166"/>
      <c r="K147" s="13"/>
      <c r="L147" s="13"/>
      <c r="M147" s="263"/>
    </row>
    <row r="148">
      <c r="A148" s="253"/>
      <c r="B148" s="179"/>
      <c r="C148" s="236"/>
      <c r="D148" s="237"/>
      <c r="E148" s="237"/>
      <c r="F148" s="179"/>
      <c r="G148" s="179"/>
      <c r="H148" s="13"/>
      <c r="I148" s="236"/>
      <c r="J148" s="166"/>
      <c r="K148" s="13"/>
      <c r="L148" s="13"/>
      <c r="M148" s="263"/>
    </row>
    <row r="149">
      <c r="A149" s="253"/>
      <c r="B149" s="179"/>
      <c r="C149" s="236"/>
      <c r="D149" s="237"/>
      <c r="E149" s="237"/>
      <c r="F149" s="179"/>
      <c r="G149" s="179"/>
      <c r="H149" s="13"/>
      <c r="I149" s="236"/>
      <c r="J149" s="166"/>
      <c r="K149" s="13"/>
      <c r="L149" s="13"/>
      <c r="M149" s="263"/>
    </row>
    <row r="150">
      <c r="A150" s="253"/>
      <c r="B150" s="179"/>
      <c r="C150" s="236"/>
      <c r="D150" s="237"/>
      <c r="E150" s="237"/>
      <c r="F150" s="179"/>
      <c r="G150" s="179"/>
      <c r="H150" s="13"/>
      <c r="I150" s="236"/>
      <c r="J150" s="166"/>
      <c r="K150" s="13"/>
      <c r="L150" s="13"/>
      <c r="M150" s="263"/>
    </row>
    <row r="151">
      <c r="A151" s="253"/>
      <c r="B151" s="179"/>
      <c r="C151" s="236"/>
      <c r="D151" s="237"/>
      <c r="E151" s="237"/>
      <c r="F151" s="179"/>
      <c r="G151" s="179"/>
      <c r="H151" s="13"/>
      <c r="I151" s="236"/>
      <c r="J151" s="166"/>
      <c r="K151" s="13"/>
      <c r="L151" s="13"/>
      <c r="M151" s="263"/>
    </row>
    <row r="152">
      <c r="A152" s="253"/>
      <c r="B152" s="179"/>
      <c r="C152" s="236"/>
      <c r="D152" s="237"/>
      <c r="E152" s="237"/>
      <c r="F152" s="179"/>
      <c r="G152" s="179"/>
      <c r="H152" s="13"/>
      <c r="I152" s="236"/>
      <c r="J152" s="166"/>
      <c r="K152" s="13"/>
      <c r="L152" s="13"/>
      <c r="M152" s="263"/>
    </row>
  </sheetData>
  <autoFilter ref="$A$1:$M$152"/>
  <customSheetViews>
    <customSheetView guid="{7E71B5F7-61AF-4C93-AAAA-D905E381EEB1}" filter="1" showAutoFilter="1">
      <autoFilter ref="$A$1:$K$116"/>
    </customSheetView>
    <customSheetView guid="{0373266D-FDE9-402D-B356-CC4A29DEE2C4}" filter="1" showAutoFilter="1">
      <autoFilter ref="$A$1:$I$152">
        <filterColumn colId="8">
          <filters blank="1">
            <filter val="小熊"/>
            <filter val="芳梅"/>
            <filter val="李果"/>
            <filter val="邦邦"/>
            <filter val="林峰"/>
            <filter val="嘉琨"/>
            <filter val="文亭"/>
            <filter val="吉吉"/>
            <filter val="敏敏"/>
            <filter val="院长"/>
            <filter val="艳红"/>
          </filters>
        </filterColumn>
      </autoFilter>
    </customSheetView>
    <customSheetView guid="{029C2313-9411-4E27-907A-EFD996D6C4E5}" filter="1" showAutoFilter="1">
      <autoFilter ref="$F$1:$I$152"/>
    </customSheetView>
    <customSheetView guid="{35A93920-2C98-4ACF-95FD-9E549BB0A80C}" filter="1" showAutoFilter="1">
      <autoFilter ref="$A$1:$M$152">
        <filterColumn colId="5">
          <filters>
            <filter val="NA"/>
          </filters>
        </filterColumn>
      </autoFilter>
    </customSheetView>
    <customSheetView guid="{E0F697A7-8F80-4AD9-9696-95D1452F7CEA}" filter="1" showAutoFilter="1">
      <autoFilter ref="$A$1:$L$81"/>
    </customSheetView>
    <customSheetView guid="{BEBD1EEB-1477-4C60-A76F-C1C20538AC33}" filter="1" showAutoFilter="1">
      <autoFilter ref="$A$1:$M$152">
        <filterColumn colId="5">
          <filters>
            <filter val="NA"/>
          </filters>
        </filterColumn>
      </autoFilter>
    </customSheetView>
    <customSheetView guid="{4E722777-354C-41C4-BDAF-3C065BD42EC8}" filter="1" showAutoFilter="1">
      <autoFilter ref="$A$1:$K$142"/>
    </customSheetView>
    <customSheetView guid="{DF01C596-C6C8-4FD7-8689-9293067D3717}" filter="1" showAutoFilter="1">
      <autoFilter ref="$A$1:$L$81"/>
    </customSheetView>
    <customSheetView guid="{75472B64-22E8-45FC-A839-460B446DB55F}" filter="1" showAutoFilter="1">
      <autoFilter ref="$A$1:$I$152"/>
    </customSheetView>
    <customSheetView guid="{7CD3BC90-8565-4EF1-83E0-02DA5A629FB7}" filter="1" showAutoFilter="1">
      <autoFilter ref="$A$1:$K$142">
        <filterColumn colId="2">
          <filters>
            <filter val="5.Camera"/>
          </filters>
        </filterColumn>
      </autoFilter>
    </customSheetView>
    <customSheetView guid="{14910ABA-25C5-4249-BD6C-ACF0CEBAD616}" filter="1" showAutoFilter="1">
      <autoFilter ref="$A$1:$I$152"/>
    </customSheetView>
    <customSheetView guid="{3EDA368C-82AF-4F91-99D0-447C6D0C3AC0}" filter="1" showAutoFilter="1">
      <autoFilter ref="$A$1:$I$152"/>
    </customSheetView>
  </customSheetViews>
  <conditionalFormatting sqref="F2:F152">
    <cfRule type="containsText" dxfId="0" priority="1" operator="containsText" text="Closed">
      <formula>NOT(ISERROR(SEARCH(("Closed"),(F2))))</formula>
    </cfRule>
  </conditionalFormatting>
  <conditionalFormatting sqref="F2:F152">
    <cfRule type="containsText" dxfId="3" priority="2" operator="containsText" text="Monitor">
      <formula>NOT(ISERROR(SEARCH(("Monitor"),(F2))))</formula>
    </cfRule>
  </conditionalFormatting>
  <conditionalFormatting sqref="F2:F152">
    <cfRule type="containsText" dxfId="4" priority="3" operator="containsText" text="Open">
      <formula>NOT(ISERROR(SEARCH(("Open"),(F2))))</formula>
    </cfRule>
  </conditionalFormatting>
  <dataValidations>
    <dataValidation type="list" allowBlank="1" sqref="B2:B152">
      <formula1>Option!$C$2:$C$16</formula1>
    </dataValidation>
    <dataValidation type="list" allowBlank="1" sqref="I2:J152">
      <formula1>Option!$K$2:$K$17</formula1>
    </dataValidation>
    <dataValidation type="list" allowBlank="1" sqref="C2:C152">
      <formula1>Option!$E$2:$E$13</formula1>
    </dataValidation>
    <dataValidation type="list" allowBlank="1" sqref="D2:D152">
      <formula1>Option!$D$2:$D$15</formula1>
    </dataValidation>
    <dataValidation type="list" allowBlank="1" sqref="F2:F152">
      <formula1>Option!$F$2:$F$5</formula1>
    </dataValidation>
    <dataValidation type="list" allowBlank="1" sqref="L2:L152">
      <formula1>"1.SCH,2.PCB,3.BOM,4.Parameter,5.SW/ME/RF/ANT/Component/MFG/Vendor,6.No Change"</formula1>
    </dataValidation>
    <dataValidation type="list" allowBlank="1" sqref="M81:M152">
      <formula1>Option!$L$2:$L$16</formula1>
    </dataValidation>
    <dataValidation type="list" allowBlank="1" sqref="E2:E152">
      <formula1>Option!$G$2:$G$5</formula1>
    </dataValidation>
  </dataValidations>
  <hyperlinks>
    <hyperlink r:id="rId4" location="slide=id.g89e70e8b37_0_23" ref="H4"/>
    <hyperlink r:id="rId5" location="slide=id.p" ref="H9"/>
    <hyperlink r:id="rId6" location="slide=id.g5b08e3411b_0_2" ref="H10"/>
    <hyperlink r:id="rId7" location="slide=id.p2" ref="H13"/>
    <hyperlink r:id="rId8" location="slide=id.g8585c1b7c0_0_10" ref="K13"/>
    <hyperlink r:id="rId9" ref="H14"/>
    <hyperlink r:id="rId10" ref="H15"/>
    <hyperlink r:id="rId11" location="gid=2053556349" ref="H17"/>
    <hyperlink r:id="rId12" ref="K22"/>
    <hyperlink r:id="rId13" location="slide=id.g5b08e3411b_0_2" ref="H39"/>
  </hyperlinks>
  <drawing r:id="rId14"/>
  <legacyDrawing r:id="rId15"/>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5.13" defaultRowHeight="15.0"/>
  <cols>
    <col customWidth="1" min="1" max="1" width="10.38"/>
    <col customWidth="1" min="2" max="2" width="10.75"/>
    <col customWidth="1" min="3" max="3" width="12.88"/>
    <col customWidth="1" min="4" max="4" width="14.88"/>
    <col customWidth="1" min="5" max="5" width="10.88"/>
    <col customWidth="1" min="6" max="6" width="10.5"/>
    <col customWidth="1" min="7" max="7" width="155.13"/>
    <col customWidth="1" min="8" max="8" width="8.88"/>
    <col customWidth="1" min="9" max="9" width="9.88"/>
    <col customWidth="1" min="10" max="10" width="12.25"/>
    <col customWidth="1" min="11" max="11" width="12.0"/>
    <col customWidth="1" min="12" max="12" width="11.63"/>
    <col customWidth="1" hidden="1" min="13" max="13" width="12.88"/>
  </cols>
  <sheetData>
    <row r="1">
      <c r="A1" s="4" t="s">
        <v>54</v>
      </c>
      <c r="B1" s="4" t="s">
        <v>1</v>
      </c>
      <c r="C1" s="4" t="s">
        <v>2</v>
      </c>
      <c r="D1" s="4" t="s">
        <v>3</v>
      </c>
      <c r="E1" s="4" t="s">
        <v>4</v>
      </c>
      <c r="F1" s="4" t="s">
        <v>5</v>
      </c>
      <c r="G1" s="4" t="s">
        <v>6</v>
      </c>
      <c r="H1" s="4" t="s">
        <v>7</v>
      </c>
      <c r="I1" s="3" t="s">
        <v>8</v>
      </c>
      <c r="J1" s="3" t="s">
        <v>9</v>
      </c>
      <c r="K1" s="4" t="s">
        <v>10</v>
      </c>
      <c r="L1" s="213" t="s">
        <v>11</v>
      </c>
      <c r="M1" s="213" t="s">
        <v>714</v>
      </c>
    </row>
    <row r="2">
      <c r="A2" s="31">
        <v>44270.0</v>
      </c>
      <c r="B2" s="169" t="s">
        <v>172</v>
      </c>
      <c r="C2" s="8" t="s">
        <v>36</v>
      </c>
      <c r="D2" s="140" t="s">
        <v>14</v>
      </c>
      <c r="E2" s="141" t="s">
        <v>64</v>
      </c>
      <c r="F2" s="130" t="s">
        <v>16</v>
      </c>
      <c r="G2" s="212" t="s">
        <v>982</v>
      </c>
      <c r="H2" s="268" t="s">
        <v>61</v>
      </c>
      <c r="I2" s="148" t="s">
        <v>66</v>
      </c>
      <c r="J2" s="175" t="s">
        <v>67</v>
      </c>
      <c r="K2" s="281"/>
      <c r="L2" s="28"/>
      <c r="M2" s="219"/>
    </row>
    <row r="3">
      <c r="A3" s="31">
        <v>44270.0</v>
      </c>
      <c r="B3" s="169" t="s">
        <v>172</v>
      </c>
      <c r="C3" s="8" t="s">
        <v>36</v>
      </c>
      <c r="D3" s="140" t="s">
        <v>14</v>
      </c>
      <c r="E3" s="141" t="s">
        <v>64</v>
      </c>
      <c r="F3" s="130" t="s">
        <v>16</v>
      </c>
      <c r="G3" s="212" t="s">
        <v>983</v>
      </c>
      <c r="H3" s="268" t="s">
        <v>984</v>
      </c>
      <c r="I3" s="148" t="s">
        <v>66</v>
      </c>
      <c r="J3" s="148"/>
      <c r="K3" s="281"/>
      <c r="L3" s="28"/>
      <c r="M3" s="219"/>
    </row>
    <row r="4">
      <c r="A4" s="31">
        <v>44270.0</v>
      </c>
      <c r="B4" s="169" t="s">
        <v>172</v>
      </c>
      <c r="C4" s="8" t="s">
        <v>36</v>
      </c>
      <c r="D4" s="140" t="s">
        <v>14</v>
      </c>
      <c r="E4" s="141" t="s">
        <v>64</v>
      </c>
      <c r="F4" s="130" t="s">
        <v>16</v>
      </c>
      <c r="G4" s="212" t="s">
        <v>985</v>
      </c>
      <c r="H4" s="268" t="s">
        <v>984</v>
      </c>
      <c r="I4" s="148" t="s">
        <v>66</v>
      </c>
      <c r="J4" s="148"/>
      <c r="K4" s="281"/>
      <c r="L4" s="28"/>
      <c r="M4" s="219"/>
    </row>
    <row r="5">
      <c r="A5" s="20">
        <v>44270.0</v>
      </c>
      <c r="B5" s="130" t="s">
        <v>172</v>
      </c>
      <c r="C5" s="8" t="s">
        <v>36</v>
      </c>
      <c r="D5" s="132" t="s">
        <v>14</v>
      </c>
      <c r="E5" s="133" t="s">
        <v>64</v>
      </c>
      <c r="F5" s="130" t="s">
        <v>16</v>
      </c>
      <c r="G5" s="188" t="s">
        <v>986</v>
      </c>
      <c r="H5" s="268" t="s">
        <v>987</v>
      </c>
      <c r="I5" s="175" t="s">
        <v>66</v>
      </c>
      <c r="J5" s="175"/>
      <c r="K5" s="173"/>
      <c r="L5" s="98"/>
      <c r="M5" s="219"/>
    </row>
    <row r="6">
      <c r="A6" s="20">
        <v>44256.0</v>
      </c>
      <c r="B6" s="130" t="s">
        <v>172</v>
      </c>
      <c r="C6" s="8" t="s">
        <v>20</v>
      </c>
      <c r="D6" s="132" t="s">
        <v>27</v>
      </c>
      <c r="E6" s="141" t="s">
        <v>64</v>
      </c>
      <c r="F6" s="130" t="s">
        <v>16</v>
      </c>
      <c r="G6" s="212" t="s">
        <v>988</v>
      </c>
      <c r="H6" s="184"/>
      <c r="I6" s="175" t="s">
        <v>67</v>
      </c>
      <c r="J6" s="175" t="s">
        <v>66</v>
      </c>
      <c r="K6" s="173"/>
      <c r="L6" s="98"/>
      <c r="M6" s="219"/>
    </row>
    <row r="7">
      <c r="A7" s="31">
        <v>44182.0</v>
      </c>
      <c r="B7" s="130" t="s">
        <v>25</v>
      </c>
      <c r="C7" s="131" t="s">
        <v>13</v>
      </c>
      <c r="D7" s="140" t="s">
        <v>14</v>
      </c>
      <c r="E7" s="141" t="s">
        <v>64</v>
      </c>
      <c r="F7" s="130" t="s">
        <v>16</v>
      </c>
      <c r="G7" s="212" t="s">
        <v>989</v>
      </c>
      <c r="H7" s="184" t="s">
        <v>61</v>
      </c>
      <c r="I7" s="148" t="s">
        <v>79</v>
      </c>
      <c r="J7" s="175" t="s">
        <v>67</v>
      </c>
      <c r="K7" s="173"/>
      <c r="L7" s="27" t="s">
        <v>71</v>
      </c>
      <c r="M7" s="219"/>
    </row>
    <row r="8">
      <c r="A8" s="200">
        <v>44182.0</v>
      </c>
      <c r="B8" s="130" t="s">
        <v>25</v>
      </c>
      <c r="C8" s="8" t="s">
        <v>13</v>
      </c>
      <c r="D8" s="132" t="s">
        <v>14</v>
      </c>
      <c r="E8" s="133" t="s">
        <v>64</v>
      </c>
      <c r="F8" s="179" t="s">
        <v>16</v>
      </c>
      <c r="G8" s="188" t="s">
        <v>990</v>
      </c>
      <c r="H8" s="184" t="s">
        <v>991</v>
      </c>
      <c r="I8" s="175" t="s">
        <v>346</v>
      </c>
      <c r="J8" s="175" t="s">
        <v>79</v>
      </c>
      <c r="K8" s="55"/>
      <c r="L8" s="27" t="s">
        <v>71</v>
      </c>
      <c r="M8" s="219"/>
    </row>
    <row r="9">
      <c r="A9" s="200">
        <v>44175.0</v>
      </c>
      <c r="B9" s="130" t="s">
        <v>43</v>
      </c>
      <c r="C9" s="8" t="s">
        <v>57</v>
      </c>
      <c r="D9" s="132" t="s">
        <v>21</v>
      </c>
      <c r="E9" s="133" t="s">
        <v>64</v>
      </c>
      <c r="F9" s="179" t="s">
        <v>16</v>
      </c>
      <c r="G9" s="188" t="s">
        <v>992</v>
      </c>
      <c r="H9" s="184"/>
      <c r="I9" s="175" t="s">
        <v>70</v>
      </c>
      <c r="J9" s="175"/>
      <c r="K9" s="202"/>
      <c r="L9" s="27" t="s">
        <v>68</v>
      </c>
      <c r="M9" s="219"/>
    </row>
    <row r="10">
      <c r="A10" s="200">
        <v>44167.0</v>
      </c>
      <c r="B10" s="130" t="s">
        <v>43</v>
      </c>
      <c r="C10" s="8" t="s">
        <v>26</v>
      </c>
      <c r="D10" s="132" t="s">
        <v>14</v>
      </c>
      <c r="E10" s="133" t="s">
        <v>64</v>
      </c>
      <c r="F10" s="179" t="s">
        <v>16</v>
      </c>
      <c r="G10" s="188" t="s">
        <v>993</v>
      </c>
      <c r="H10" s="184" t="s">
        <v>61</v>
      </c>
      <c r="I10" s="175" t="s">
        <v>74</v>
      </c>
      <c r="J10" s="175" t="s">
        <v>66</v>
      </c>
      <c r="K10" s="202"/>
      <c r="L10" s="27" t="s">
        <v>71</v>
      </c>
      <c r="M10" s="219"/>
    </row>
    <row r="11">
      <c r="A11" s="200">
        <v>44158.0</v>
      </c>
      <c r="B11" s="130" t="s">
        <v>43</v>
      </c>
      <c r="C11" s="8" t="s">
        <v>33</v>
      </c>
      <c r="D11" s="132" t="s">
        <v>21</v>
      </c>
      <c r="E11" s="133" t="s">
        <v>22</v>
      </c>
      <c r="F11" s="179" t="s">
        <v>16</v>
      </c>
      <c r="G11" s="188" t="s">
        <v>994</v>
      </c>
      <c r="H11" s="184"/>
      <c r="I11" s="175" t="s">
        <v>463</v>
      </c>
      <c r="J11" s="175"/>
      <c r="K11" s="202"/>
      <c r="L11" s="27" t="s">
        <v>68</v>
      </c>
      <c r="M11" s="219"/>
    </row>
    <row r="12">
      <c r="A12" s="200">
        <v>44158.0</v>
      </c>
      <c r="B12" s="130" t="s">
        <v>43</v>
      </c>
      <c r="C12" s="8" t="s">
        <v>57</v>
      </c>
      <c r="D12" s="132" t="s">
        <v>21</v>
      </c>
      <c r="E12" s="133" t="s">
        <v>22</v>
      </c>
      <c r="F12" s="179" t="s">
        <v>16</v>
      </c>
      <c r="G12" s="188" t="s">
        <v>995</v>
      </c>
      <c r="H12" s="184"/>
      <c r="I12" s="175" t="s">
        <v>70</v>
      </c>
      <c r="J12" s="175" t="s">
        <v>334</v>
      </c>
      <c r="K12" s="202"/>
      <c r="L12" s="27" t="s">
        <v>68</v>
      </c>
      <c r="M12" s="219"/>
    </row>
    <row r="13">
      <c r="A13" s="200">
        <v>44158.0</v>
      </c>
      <c r="B13" s="130" t="s">
        <v>43</v>
      </c>
      <c r="C13" s="8" t="s">
        <v>57</v>
      </c>
      <c r="D13" s="132" t="s">
        <v>21</v>
      </c>
      <c r="E13" s="133" t="s">
        <v>64</v>
      </c>
      <c r="F13" s="179" t="s">
        <v>16</v>
      </c>
      <c r="G13" s="188" t="s">
        <v>996</v>
      </c>
      <c r="H13" s="184"/>
      <c r="I13" s="175" t="s">
        <v>70</v>
      </c>
      <c r="J13" s="175" t="s">
        <v>334</v>
      </c>
      <c r="K13" s="202"/>
      <c r="L13" s="27" t="s">
        <v>68</v>
      </c>
      <c r="M13" s="219"/>
    </row>
    <row r="14">
      <c r="A14" s="200">
        <v>44158.0</v>
      </c>
      <c r="B14" s="130" t="s">
        <v>43</v>
      </c>
      <c r="C14" s="8" t="s">
        <v>33</v>
      </c>
      <c r="D14" s="132" t="s">
        <v>21</v>
      </c>
      <c r="E14" s="133" t="s">
        <v>22</v>
      </c>
      <c r="F14" s="179" t="s">
        <v>16</v>
      </c>
      <c r="G14" s="188" t="s">
        <v>997</v>
      </c>
      <c r="H14" s="184"/>
      <c r="I14" s="175" t="s">
        <v>463</v>
      </c>
      <c r="J14" s="175"/>
      <c r="K14" s="202"/>
      <c r="L14" s="27" t="s">
        <v>144</v>
      </c>
      <c r="M14" s="219"/>
    </row>
    <row r="15" ht="181.5" customHeight="1">
      <c r="A15" s="200">
        <v>44175.0</v>
      </c>
      <c r="B15" s="130" t="s">
        <v>43</v>
      </c>
      <c r="C15" s="8" t="s">
        <v>26</v>
      </c>
      <c r="D15" s="132" t="s">
        <v>44</v>
      </c>
      <c r="E15" s="133" t="s">
        <v>64</v>
      </c>
      <c r="F15" s="179" t="s">
        <v>16</v>
      </c>
      <c r="G15" s="282" t="s">
        <v>998</v>
      </c>
      <c r="H15" s="184"/>
      <c r="I15" s="175" t="s">
        <v>66</v>
      </c>
      <c r="J15" s="175"/>
      <c r="K15" s="202"/>
      <c r="L15" s="27" t="s">
        <v>71</v>
      </c>
      <c r="M15" s="219"/>
    </row>
    <row r="16" ht="173.25" customHeight="1">
      <c r="A16" s="200">
        <v>44097.0</v>
      </c>
      <c r="B16" s="130" t="s">
        <v>56</v>
      </c>
      <c r="C16" s="8" t="s">
        <v>30</v>
      </c>
      <c r="D16" s="132" t="s">
        <v>44</v>
      </c>
      <c r="E16" s="132" t="s">
        <v>22</v>
      </c>
      <c r="F16" s="179" t="s">
        <v>16</v>
      </c>
      <c r="G16" s="188" t="s">
        <v>999</v>
      </c>
      <c r="H16" s="184" t="s">
        <v>112</v>
      </c>
      <c r="I16" s="175" t="s">
        <v>127</v>
      </c>
      <c r="J16" s="175"/>
      <c r="K16" s="202"/>
      <c r="L16" s="27" t="s">
        <v>63</v>
      </c>
      <c r="M16" s="219"/>
    </row>
    <row r="17">
      <c r="A17" s="200">
        <v>44158.0</v>
      </c>
      <c r="B17" s="130" t="s">
        <v>43</v>
      </c>
      <c r="C17" s="8" t="s">
        <v>26</v>
      </c>
      <c r="D17" s="132" t="s">
        <v>44</v>
      </c>
      <c r="E17" s="133" t="s">
        <v>64</v>
      </c>
      <c r="F17" s="179" t="s">
        <v>16</v>
      </c>
      <c r="G17" s="188" t="s">
        <v>1000</v>
      </c>
      <c r="H17" s="184" t="s">
        <v>61</v>
      </c>
      <c r="I17" s="175" t="s">
        <v>66</v>
      </c>
      <c r="J17" s="175" t="s">
        <v>463</v>
      </c>
      <c r="K17" s="202"/>
      <c r="L17" s="27" t="s">
        <v>68</v>
      </c>
      <c r="M17" s="219"/>
    </row>
    <row r="18">
      <c r="A18" s="200">
        <v>44158.0</v>
      </c>
      <c r="B18" s="130" t="s">
        <v>43</v>
      </c>
      <c r="C18" s="8" t="s">
        <v>49</v>
      </c>
      <c r="D18" s="132" t="s">
        <v>1001</v>
      </c>
      <c r="E18" s="133" t="s">
        <v>64</v>
      </c>
      <c r="F18" s="179" t="s">
        <v>16</v>
      </c>
      <c r="G18" s="188" t="s">
        <v>1002</v>
      </c>
      <c r="H18" s="184"/>
      <c r="I18" s="175" t="s">
        <v>115</v>
      </c>
      <c r="J18" s="175" t="s">
        <v>66</v>
      </c>
      <c r="K18" s="202"/>
      <c r="L18" s="27" t="s">
        <v>68</v>
      </c>
      <c r="M18" s="219"/>
    </row>
    <row r="19" ht="42.75" customHeight="1">
      <c r="A19" s="200">
        <v>44101.0</v>
      </c>
      <c r="B19" s="130" t="s">
        <v>56</v>
      </c>
      <c r="C19" s="8" t="s">
        <v>49</v>
      </c>
      <c r="D19" s="132" t="s">
        <v>21</v>
      </c>
      <c r="E19" s="132" t="s">
        <v>22</v>
      </c>
      <c r="F19" s="179" t="s">
        <v>16</v>
      </c>
      <c r="G19" s="201" t="s">
        <v>1003</v>
      </c>
      <c r="H19" s="184"/>
      <c r="I19" s="175" t="s">
        <v>115</v>
      </c>
      <c r="J19" s="175"/>
      <c r="K19" s="34"/>
      <c r="L19" s="27" t="s">
        <v>162</v>
      </c>
      <c r="M19" s="219"/>
    </row>
    <row r="20" ht="186.75" customHeight="1">
      <c r="A20" s="200">
        <v>44145.0</v>
      </c>
      <c r="B20" s="130" t="s">
        <v>43</v>
      </c>
      <c r="C20" s="8" t="s">
        <v>57</v>
      </c>
      <c r="D20" s="132" t="s">
        <v>21</v>
      </c>
      <c r="E20" s="133" t="s">
        <v>22</v>
      </c>
      <c r="F20" s="179" t="s">
        <v>16</v>
      </c>
      <c r="G20" s="188" t="s">
        <v>1004</v>
      </c>
      <c r="H20" s="184" t="s">
        <v>61</v>
      </c>
      <c r="I20" s="175" t="s">
        <v>70</v>
      </c>
      <c r="J20" s="175" t="s">
        <v>334</v>
      </c>
      <c r="K20" s="202"/>
      <c r="L20" s="27" t="s">
        <v>144</v>
      </c>
      <c r="M20" s="219"/>
    </row>
    <row r="21">
      <c r="A21" s="200">
        <v>44113.0</v>
      </c>
      <c r="B21" s="130" t="s">
        <v>56</v>
      </c>
      <c r="C21" s="8" t="s">
        <v>49</v>
      </c>
      <c r="D21" s="132" t="s">
        <v>21</v>
      </c>
      <c r="E21" s="132" t="s">
        <v>22</v>
      </c>
      <c r="F21" s="179" t="s">
        <v>16</v>
      </c>
      <c r="G21" s="188" t="s">
        <v>1005</v>
      </c>
      <c r="H21" s="184" t="s">
        <v>61</v>
      </c>
      <c r="I21" s="175" t="s">
        <v>70</v>
      </c>
      <c r="J21" s="175"/>
      <c r="K21" s="202"/>
      <c r="L21" s="27" t="s">
        <v>144</v>
      </c>
      <c r="M21" s="219"/>
    </row>
    <row r="22">
      <c r="A22" s="200">
        <v>44133.0</v>
      </c>
      <c r="B22" s="130" t="s">
        <v>56</v>
      </c>
      <c r="C22" s="8" t="s">
        <v>83</v>
      </c>
      <c r="D22" s="132" t="s">
        <v>95</v>
      </c>
      <c r="E22" s="132" t="s">
        <v>64</v>
      </c>
      <c r="F22" s="179" t="s">
        <v>16</v>
      </c>
      <c r="G22" s="188" t="s">
        <v>1006</v>
      </c>
      <c r="H22" s="184"/>
      <c r="I22" s="175" t="s">
        <v>66</v>
      </c>
      <c r="J22" s="175"/>
      <c r="K22" s="283" t="s">
        <v>1007</v>
      </c>
      <c r="L22" s="27" t="s">
        <v>68</v>
      </c>
      <c r="M22" s="219"/>
    </row>
    <row r="23">
      <c r="A23" s="200">
        <v>44126.0</v>
      </c>
      <c r="B23" s="130" t="s">
        <v>56</v>
      </c>
      <c r="C23" s="8" t="s">
        <v>20</v>
      </c>
      <c r="D23" s="132" t="s">
        <v>21</v>
      </c>
      <c r="E23" s="132" t="s">
        <v>64</v>
      </c>
      <c r="F23" s="179" t="s">
        <v>16</v>
      </c>
      <c r="G23" s="188" t="s">
        <v>1008</v>
      </c>
      <c r="H23" s="184" t="s">
        <v>97</v>
      </c>
      <c r="I23" s="175" t="s">
        <v>67</v>
      </c>
      <c r="J23" s="175"/>
      <c r="K23" s="202"/>
      <c r="L23" s="27" t="s">
        <v>68</v>
      </c>
      <c r="M23" s="219"/>
    </row>
    <row r="24">
      <c r="A24" s="200">
        <v>44133.0</v>
      </c>
      <c r="B24" s="130" t="s">
        <v>56</v>
      </c>
      <c r="C24" s="8" t="s">
        <v>76</v>
      </c>
      <c r="D24" s="132" t="s">
        <v>27</v>
      </c>
      <c r="E24" s="133" t="s">
        <v>22</v>
      </c>
      <c r="F24" s="284" t="s">
        <v>16</v>
      </c>
      <c r="G24" s="188" t="s">
        <v>1009</v>
      </c>
      <c r="H24" s="184" t="s">
        <v>97</v>
      </c>
      <c r="I24" s="175" t="s">
        <v>346</v>
      </c>
      <c r="J24" s="175"/>
      <c r="K24" s="180" t="s">
        <v>1010</v>
      </c>
      <c r="L24" s="27" t="s">
        <v>71</v>
      </c>
      <c r="M24" s="219"/>
    </row>
    <row r="25">
      <c r="A25" s="200">
        <v>44101.0</v>
      </c>
      <c r="B25" s="130" t="s">
        <v>56</v>
      </c>
      <c r="C25" s="8" t="s">
        <v>20</v>
      </c>
      <c r="D25" s="132" t="s">
        <v>21</v>
      </c>
      <c r="E25" s="132" t="s">
        <v>22</v>
      </c>
      <c r="F25" s="179" t="s">
        <v>16</v>
      </c>
      <c r="G25" s="188" t="s">
        <v>1011</v>
      </c>
      <c r="H25" s="184"/>
      <c r="I25" s="175" t="s">
        <v>70</v>
      </c>
      <c r="J25" s="175"/>
      <c r="K25" s="202"/>
      <c r="L25" s="27" t="s">
        <v>63</v>
      </c>
      <c r="M25" s="219"/>
    </row>
    <row r="26">
      <c r="A26" s="200">
        <v>44113.0</v>
      </c>
      <c r="B26" s="130" t="s">
        <v>56</v>
      </c>
      <c r="C26" s="8" t="s">
        <v>49</v>
      </c>
      <c r="D26" s="132" t="s">
        <v>21</v>
      </c>
      <c r="E26" s="132" t="s">
        <v>22</v>
      </c>
      <c r="F26" s="179" t="s">
        <v>16</v>
      </c>
      <c r="G26" s="188" t="s">
        <v>1012</v>
      </c>
      <c r="H26" s="184"/>
      <c r="I26" s="175" t="s">
        <v>70</v>
      </c>
      <c r="J26" s="175"/>
      <c r="K26" s="202"/>
      <c r="L26" s="27" t="s">
        <v>68</v>
      </c>
      <c r="M26" s="219"/>
    </row>
    <row r="27">
      <c r="A27" s="200">
        <v>44101.0</v>
      </c>
      <c r="B27" s="130" t="s">
        <v>56</v>
      </c>
      <c r="C27" s="8" t="s">
        <v>20</v>
      </c>
      <c r="D27" s="132" t="s">
        <v>27</v>
      </c>
      <c r="E27" s="132" t="s">
        <v>64</v>
      </c>
      <c r="F27" s="179" t="s">
        <v>16</v>
      </c>
      <c r="G27" s="201" t="s">
        <v>1013</v>
      </c>
      <c r="H27" s="184"/>
      <c r="I27" s="175" t="s">
        <v>67</v>
      </c>
      <c r="J27" s="175"/>
      <c r="K27" s="34"/>
      <c r="L27" s="27" t="s">
        <v>71</v>
      </c>
      <c r="M27" s="219"/>
    </row>
    <row r="28">
      <c r="A28" s="200">
        <v>44101.0</v>
      </c>
      <c r="B28" s="130" t="s">
        <v>56</v>
      </c>
      <c r="C28" s="8" t="s">
        <v>72</v>
      </c>
      <c r="D28" s="132" t="s">
        <v>58</v>
      </c>
      <c r="E28" s="132" t="s">
        <v>22</v>
      </c>
      <c r="F28" s="179" t="s">
        <v>16</v>
      </c>
      <c r="G28" s="201" t="s">
        <v>1014</v>
      </c>
      <c r="H28" s="184"/>
      <c r="I28" s="175" t="s">
        <v>74</v>
      </c>
      <c r="J28" s="175" t="s">
        <v>70</v>
      </c>
      <c r="K28" s="34"/>
      <c r="L28" s="27" t="s">
        <v>71</v>
      </c>
      <c r="M28" s="219"/>
    </row>
    <row r="29">
      <c r="A29" s="200">
        <v>44114.0</v>
      </c>
      <c r="B29" s="130" t="s">
        <v>56</v>
      </c>
      <c r="C29" s="8" t="s">
        <v>83</v>
      </c>
      <c r="D29" s="132" t="s">
        <v>44</v>
      </c>
      <c r="E29" s="133" t="s">
        <v>64</v>
      </c>
      <c r="F29" s="179" t="s">
        <v>16</v>
      </c>
      <c r="G29" s="188" t="s">
        <v>1015</v>
      </c>
      <c r="H29" s="184"/>
      <c r="I29" s="175" t="s">
        <v>66</v>
      </c>
      <c r="J29" s="175" t="s">
        <v>127</v>
      </c>
      <c r="K29" s="202"/>
      <c r="L29" s="27" t="s">
        <v>63</v>
      </c>
      <c r="M29" s="219"/>
    </row>
    <row r="30" ht="106.5" customHeight="1">
      <c r="A30" s="200">
        <v>44097.0</v>
      </c>
      <c r="B30" s="130" t="s">
        <v>56</v>
      </c>
      <c r="C30" s="8" t="s">
        <v>13</v>
      </c>
      <c r="D30" s="132" t="s">
        <v>44</v>
      </c>
      <c r="E30" s="133" t="s">
        <v>64</v>
      </c>
      <c r="F30" s="179" t="s">
        <v>16</v>
      </c>
      <c r="G30" s="285" t="s">
        <v>1016</v>
      </c>
      <c r="H30" s="184" t="s">
        <v>97</v>
      </c>
      <c r="I30" s="175" t="s">
        <v>79</v>
      </c>
      <c r="J30" s="175" t="s">
        <v>346</v>
      </c>
      <c r="K30" s="202"/>
      <c r="L30" s="27" t="s">
        <v>162</v>
      </c>
      <c r="M30" s="219"/>
    </row>
    <row r="31" ht="46.5" customHeight="1">
      <c r="A31" s="200">
        <v>44101.0</v>
      </c>
      <c r="B31" s="130" t="s">
        <v>56</v>
      </c>
      <c r="C31" s="8" t="s">
        <v>49</v>
      </c>
      <c r="D31" s="132" t="s">
        <v>21</v>
      </c>
      <c r="E31" s="132" t="s">
        <v>22</v>
      </c>
      <c r="F31" s="179" t="s">
        <v>16</v>
      </c>
      <c r="G31" s="201" t="s">
        <v>1017</v>
      </c>
      <c r="H31" s="184"/>
      <c r="I31" s="175" t="s">
        <v>115</v>
      </c>
      <c r="J31" s="175"/>
      <c r="K31" s="34"/>
      <c r="L31" s="27" t="s">
        <v>71</v>
      </c>
      <c r="M31" s="219"/>
    </row>
    <row r="32">
      <c r="A32" s="200">
        <v>44097.0</v>
      </c>
      <c r="B32" s="130" t="s">
        <v>56</v>
      </c>
      <c r="C32" s="8" t="s">
        <v>33</v>
      </c>
      <c r="D32" s="132" t="s">
        <v>27</v>
      </c>
      <c r="E32" s="132" t="s">
        <v>22</v>
      </c>
      <c r="F32" s="179" t="s">
        <v>16</v>
      </c>
      <c r="G32" s="285" t="s">
        <v>1018</v>
      </c>
      <c r="H32" s="184"/>
      <c r="I32" s="175" t="s">
        <v>463</v>
      </c>
      <c r="J32" s="175"/>
      <c r="K32" s="202"/>
      <c r="L32" s="27" t="s">
        <v>162</v>
      </c>
      <c r="M32" s="219"/>
    </row>
    <row r="33">
      <c r="A33" s="200">
        <v>44097.0</v>
      </c>
      <c r="B33" s="130" t="s">
        <v>56</v>
      </c>
      <c r="C33" s="8" t="s">
        <v>33</v>
      </c>
      <c r="D33" s="132" t="s">
        <v>27</v>
      </c>
      <c r="E33" s="132" t="s">
        <v>64</v>
      </c>
      <c r="F33" s="179" t="s">
        <v>16</v>
      </c>
      <c r="G33" s="285" t="s">
        <v>1019</v>
      </c>
      <c r="H33" s="184"/>
      <c r="I33" s="175" t="s">
        <v>463</v>
      </c>
      <c r="J33" s="175"/>
      <c r="K33" s="202"/>
      <c r="L33" s="27" t="s">
        <v>71</v>
      </c>
      <c r="M33" s="219"/>
    </row>
    <row r="34" ht="30.75" customHeight="1">
      <c r="A34" s="200">
        <v>44101.0</v>
      </c>
      <c r="B34" s="130" t="s">
        <v>56</v>
      </c>
      <c r="C34" s="8" t="s">
        <v>83</v>
      </c>
      <c r="D34" s="132" t="s">
        <v>44</v>
      </c>
      <c r="E34" s="132" t="s">
        <v>64</v>
      </c>
      <c r="F34" s="179" t="s">
        <v>16</v>
      </c>
      <c r="G34" s="201" t="s">
        <v>1020</v>
      </c>
      <c r="H34" s="184" t="s">
        <v>61</v>
      </c>
      <c r="I34" s="175" t="s">
        <v>66</v>
      </c>
      <c r="J34" s="175"/>
      <c r="K34" s="34"/>
      <c r="L34" s="27" t="s">
        <v>68</v>
      </c>
      <c r="M34" s="219"/>
    </row>
    <row r="35">
      <c r="A35" s="200">
        <v>44097.0</v>
      </c>
      <c r="B35" s="130" t="s">
        <v>56</v>
      </c>
      <c r="C35" s="8" t="s">
        <v>13</v>
      </c>
      <c r="D35" s="132" t="s">
        <v>44</v>
      </c>
      <c r="E35" s="132" t="s">
        <v>64</v>
      </c>
      <c r="F35" s="179" t="s">
        <v>16</v>
      </c>
      <c r="G35" s="201" t="s">
        <v>1021</v>
      </c>
      <c r="H35" s="184"/>
      <c r="I35" s="175" t="s">
        <v>79</v>
      </c>
      <c r="J35" s="175" t="s">
        <v>66</v>
      </c>
      <c r="K35" s="202"/>
      <c r="L35" s="27" t="s">
        <v>71</v>
      </c>
      <c r="M35" s="219"/>
    </row>
    <row r="36">
      <c r="A36" s="200">
        <v>44097.0</v>
      </c>
      <c r="B36" s="130" t="s">
        <v>56</v>
      </c>
      <c r="C36" s="8" t="s">
        <v>83</v>
      </c>
      <c r="D36" s="132" t="s">
        <v>44</v>
      </c>
      <c r="E36" s="132" t="s">
        <v>22</v>
      </c>
      <c r="F36" s="179" t="s">
        <v>16</v>
      </c>
      <c r="G36" s="285" t="s">
        <v>1022</v>
      </c>
      <c r="H36" s="184"/>
      <c r="I36" s="175" t="s">
        <v>66</v>
      </c>
      <c r="J36" s="175"/>
      <c r="K36" s="202"/>
      <c r="L36" s="27" t="s">
        <v>68</v>
      </c>
      <c r="M36" s="219"/>
    </row>
    <row r="37">
      <c r="A37" s="200">
        <v>44063.0</v>
      </c>
      <c r="B37" s="130" t="s">
        <v>75</v>
      </c>
      <c r="C37" s="8" t="s">
        <v>76</v>
      </c>
      <c r="D37" s="132" t="s">
        <v>265</v>
      </c>
      <c r="E37" s="132" t="s">
        <v>64</v>
      </c>
      <c r="F37" s="179" t="s">
        <v>16</v>
      </c>
      <c r="G37" s="201" t="s">
        <v>1023</v>
      </c>
      <c r="H37" s="184"/>
      <c r="I37" s="175" t="s">
        <v>346</v>
      </c>
      <c r="J37" s="175"/>
      <c r="K37" s="202"/>
      <c r="L37" s="27" t="s">
        <v>71</v>
      </c>
      <c r="M37" s="219"/>
    </row>
    <row r="38">
      <c r="A38" s="200">
        <v>43990.0</v>
      </c>
      <c r="B38" s="130" t="s">
        <v>385</v>
      </c>
      <c r="C38" s="8" t="s">
        <v>33</v>
      </c>
      <c r="D38" s="132" t="s">
        <v>265</v>
      </c>
      <c r="E38" s="132" t="s">
        <v>64</v>
      </c>
      <c r="F38" s="179" t="s">
        <v>16</v>
      </c>
      <c r="G38" s="285" t="s">
        <v>1024</v>
      </c>
      <c r="H38" s="184" t="s">
        <v>1025</v>
      </c>
      <c r="I38" s="175" t="s">
        <v>463</v>
      </c>
      <c r="J38" s="175"/>
      <c r="K38" s="202"/>
      <c r="L38" s="27" t="s">
        <v>71</v>
      </c>
      <c r="M38" s="219"/>
    </row>
    <row r="39">
      <c r="A39" s="200">
        <v>44090.0</v>
      </c>
      <c r="B39" s="235" t="s">
        <v>56</v>
      </c>
      <c r="C39" s="236" t="s">
        <v>26</v>
      </c>
      <c r="D39" s="237" t="s">
        <v>77</v>
      </c>
      <c r="E39" s="237" t="s">
        <v>64</v>
      </c>
      <c r="F39" s="179" t="s">
        <v>16</v>
      </c>
      <c r="G39" s="156" t="s">
        <v>1026</v>
      </c>
      <c r="H39" s="275"/>
      <c r="I39" s="166" t="s">
        <v>66</v>
      </c>
      <c r="J39" s="166"/>
      <c r="K39" s="13"/>
      <c r="L39" s="27" t="s">
        <v>71</v>
      </c>
      <c r="M39" s="263"/>
    </row>
    <row r="40">
      <c r="A40" s="200">
        <v>44084.0</v>
      </c>
      <c r="B40" s="235" t="s">
        <v>56</v>
      </c>
      <c r="C40" s="236" t="s">
        <v>26</v>
      </c>
      <c r="D40" s="237" t="s">
        <v>77</v>
      </c>
      <c r="E40" s="237" t="s">
        <v>64</v>
      </c>
      <c r="F40" s="179" t="s">
        <v>16</v>
      </c>
      <c r="G40" s="156" t="s">
        <v>1027</v>
      </c>
      <c r="H40" s="275"/>
      <c r="I40" s="166" t="s">
        <v>74</v>
      </c>
      <c r="J40" s="166"/>
      <c r="K40" s="13"/>
      <c r="L40" s="27" t="s">
        <v>71</v>
      </c>
      <c r="M40" s="263"/>
    </row>
    <row r="41">
      <c r="A41" s="253"/>
      <c r="B41" s="235"/>
      <c r="C41" s="236"/>
      <c r="D41" s="237"/>
      <c r="E41" s="237"/>
      <c r="F41" s="179"/>
      <c r="G41" s="156"/>
      <c r="H41" s="275"/>
      <c r="I41" s="166"/>
      <c r="J41" s="166"/>
      <c r="K41" s="13"/>
      <c r="L41" s="27"/>
      <c r="M41" s="263"/>
    </row>
    <row r="42">
      <c r="A42" s="253"/>
      <c r="B42" s="235"/>
      <c r="C42" s="236"/>
      <c r="D42" s="237"/>
      <c r="E42" s="237"/>
      <c r="F42" s="179"/>
      <c r="G42" s="156"/>
      <c r="H42" s="275"/>
      <c r="I42" s="166"/>
      <c r="J42" s="166"/>
      <c r="K42" s="13"/>
      <c r="L42" s="27"/>
      <c r="M42" s="263"/>
    </row>
    <row r="43">
      <c r="A43" s="253"/>
      <c r="B43" s="235"/>
      <c r="C43" s="236"/>
      <c r="D43" s="237"/>
      <c r="E43" s="237"/>
      <c r="F43" s="179"/>
      <c r="G43" s="156"/>
      <c r="H43" s="275"/>
      <c r="I43" s="166"/>
      <c r="J43" s="166"/>
      <c r="K43" s="13"/>
      <c r="L43" s="27"/>
      <c r="M43" s="263"/>
    </row>
    <row r="44">
      <c r="A44" s="253"/>
      <c r="B44" s="235"/>
      <c r="C44" s="236"/>
      <c r="D44" s="237"/>
      <c r="E44" s="237"/>
      <c r="F44" s="179"/>
      <c r="G44" s="156"/>
      <c r="H44" s="275"/>
      <c r="I44" s="166"/>
      <c r="J44" s="166"/>
      <c r="K44" s="13"/>
      <c r="L44" s="27"/>
      <c r="M44" s="263"/>
    </row>
    <row r="45">
      <c r="A45" s="253"/>
      <c r="B45" s="235"/>
      <c r="C45" s="236"/>
      <c r="D45" s="237"/>
      <c r="E45" s="237"/>
      <c r="F45" s="179"/>
      <c r="G45" s="156"/>
      <c r="H45" s="275"/>
      <c r="I45" s="166"/>
      <c r="J45" s="166"/>
      <c r="K45" s="13"/>
      <c r="L45" s="27"/>
      <c r="M45" s="263"/>
    </row>
    <row r="46">
      <c r="A46" s="253"/>
      <c r="B46" s="235"/>
      <c r="C46" s="236"/>
      <c r="D46" s="237"/>
      <c r="E46" s="237"/>
      <c r="F46" s="179"/>
      <c r="G46" s="156"/>
      <c r="H46" s="275"/>
      <c r="I46" s="166"/>
      <c r="J46" s="166"/>
      <c r="K46" s="13"/>
      <c r="L46" s="27"/>
      <c r="M46" s="263"/>
    </row>
    <row r="47">
      <c r="A47" s="253"/>
      <c r="B47" s="235"/>
      <c r="C47" s="236"/>
      <c r="D47" s="237"/>
      <c r="E47" s="237"/>
      <c r="F47" s="179"/>
      <c r="G47" s="156"/>
      <c r="H47" s="275"/>
      <c r="I47" s="166"/>
      <c r="J47" s="166"/>
      <c r="K47" s="13"/>
      <c r="L47" s="27"/>
      <c r="M47" s="263"/>
    </row>
    <row r="48">
      <c r="A48" s="253"/>
      <c r="B48" s="235"/>
      <c r="C48" s="236"/>
      <c r="D48" s="237"/>
      <c r="E48" s="237"/>
      <c r="F48" s="179"/>
      <c r="G48" s="179"/>
      <c r="H48" s="275"/>
      <c r="I48" s="166"/>
      <c r="J48" s="166"/>
      <c r="K48" s="13"/>
      <c r="L48" s="27"/>
      <c r="M48" s="263"/>
    </row>
    <row r="49">
      <c r="A49" s="253"/>
      <c r="B49" s="235"/>
      <c r="C49" s="236"/>
      <c r="D49" s="237"/>
      <c r="E49" s="237"/>
      <c r="F49" s="179"/>
      <c r="G49" s="179"/>
      <c r="H49" s="275"/>
      <c r="I49" s="166"/>
      <c r="J49" s="166"/>
      <c r="K49" s="13"/>
      <c r="L49" s="27"/>
      <c r="M49" s="263"/>
    </row>
    <row r="50">
      <c r="A50" s="253"/>
      <c r="B50" s="235"/>
      <c r="C50" s="236"/>
      <c r="D50" s="237"/>
      <c r="E50" s="237"/>
      <c r="F50" s="179"/>
      <c r="G50" s="179"/>
      <c r="H50" s="275"/>
      <c r="I50" s="166"/>
      <c r="J50" s="166"/>
      <c r="K50" s="13"/>
      <c r="L50" s="27"/>
      <c r="M50" s="263"/>
    </row>
    <row r="51">
      <c r="A51" s="253"/>
      <c r="B51" s="179"/>
      <c r="C51" s="236"/>
      <c r="D51" s="237"/>
      <c r="E51" s="237"/>
      <c r="F51" s="179"/>
      <c r="G51" s="179"/>
      <c r="H51" s="275"/>
      <c r="I51" s="166"/>
      <c r="J51" s="166"/>
      <c r="K51" s="13"/>
      <c r="L51" s="27"/>
      <c r="M51" s="263"/>
    </row>
    <row r="52">
      <c r="A52" s="253"/>
      <c r="B52" s="179"/>
      <c r="C52" s="236"/>
      <c r="D52" s="237"/>
      <c r="E52" s="237"/>
      <c r="F52" s="179"/>
      <c r="G52" s="179"/>
      <c r="H52" s="275"/>
      <c r="I52" s="166"/>
      <c r="J52" s="166"/>
      <c r="K52" s="13"/>
      <c r="L52" s="27"/>
      <c r="M52" s="263"/>
    </row>
    <row r="53">
      <c r="A53" s="253"/>
      <c r="B53" s="179"/>
      <c r="C53" s="236"/>
      <c r="D53" s="237"/>
      <c r="E53" s="237"/>
      <c r="F53" s="179"/>
      <c r="G53" s="179"/>
      <c r="H53" s="275"/>
      <c r="I53" s="166"/>
      <c r="J53" s="166"/>
      <c r="K53" s="13"/>
      <c r="L53" s="27"/>
      <c r="M53" s="263"/>
    </row>
    <row r="54">
      <c r="A54" s="253"/>
      <c r="B54" s="179"/>
      <c r="C54" s="236"/>
      <c r="D54" s="237"/>
      <c r="E54" s="237"/>
      <c r="F54" s="179"/>
      <c r="G54" s="179"/>
      <c r="H54" s="275"/>
      <c r="I54" s="166"/>
      <c r="J54" s="166"/>
      <c r="K54" s="13"/>
      <c r="L54" s="13"/>
      <c r="M54" s="263"/>
    </row>
    <row r="55">
      <c r="A55" s="253"/>
      <c r="B55" s="179"/>
      <c r="C55" s="236"/>
      <c r="D55" s="237"/>
      <c r="E55" s="237"/>
      <c r="F55" s="179"/>
      <c r="G55" s="179"/>
      <c r="H55" s="276"/>
      <c r="I55" s="166"/>
      <c r="J55" s="166"/>
      <c r="K55" s="13"/>
      <c r="L55" s="13"/>
      <c r="M55" s="263"/>
    </row>
    <row r="56">
      <c r="A56" s="253"/>
      <c r="B56" s="235"/>
      <c r="C56" s="236"/>
      <c r="D56" s="237"/>
      <c r="E56" s="237"/>
      <c r="F56" s="179"/>
      <c r="G56" s="179"/>
      <c r="H56" s="275"/>
      <c r="I56" s="166"/>
      <c r="J56" s="166"/>
      <c r="K56" s="13"/>
      <c r="L56" s="13"/>
      <c r="M56" s="263"/>
    </row>
    <row r="57">
      <c r="A57" s="253"/>
      <c r="B57" s="179"/>
      <c r="C57" s="236"/>
      <c r="D57" s="237"/>
      <c r="E57" s="237"/>
      <c r="F57" s="179"/>
      <c r="G57" s="179"/>
      <c r="H57" s="275"/>
      <c r="I57" s="166"/>
      <c r="J57" s="166"/>
      <c r="K57" s="13"/>
      <c r="L57" s="13"/>
      <c r="M57" s="263"/>
    </row>
    <row r="58">
      <c r="A58" s="253"/>
      <c r="B58" s="179"/>
      <c r="C58" s="236"/>
      <c r="D58" s="237"/>
      <c r="E58" s="237"/>
      <c r="F58" s="179"/>
      <c r="G58" s="179"/>
      <c r="H58" s="275"/>
      <c r="I58" s="166"/>
      <c r="J58" s="166"/>
      <c r="K58" s="13"/>
      <c r="L58" s="13"/>
      <c r="M58" s="263"/>
    </row>
    <row r="59">
      <c r="A59" s="253"/>
      <c r="B59" s="179"/>
      <c r="C59" s="236"/>
      <c r="D59" s="237"/>
      <c r="E59" s="237"/>
      <c r="F59" s="179"/>
      <c r="G59" s="179"/>
      <c r="H59" s="275"/>
      <c r="I59" s="166"/>
      <c r="J59" s="166"/>
      <c r="K59" s="13"/>
      <c r="L59" s="13"/>
      <c r="M59" s="263"/>
    </row>
    <row r="60">
      <c r="A60" s="253"/>
      <c r="B60" s="179"/>
      <c r="C60" s="236"/>
      <c r="D60" s="237"/>
      <c r="E60" s="237"/>
      <c r="F60" s="179"/>
      <c r="G60" s="179"/>
      <c r="H60" s="275"/>
      <c r="I60" s="166"/>
      <c r="J60" s="166"/>
      <c r="K60" s="13"/>
      <c r="L60" s="13"/>
      <c r="M60" s="263"/>
    </row>
    <row r="61">
      <c r="A61" s="253"/>
      <c r="B61" s="179"/>
      <c r="C61" s="166"/>
      <c r="D61" s="255"/>
      <c r="E61" s="255"/>
      <c r="F61" s="235"/>
      <c r="G61" s="179"/>
      <c r="H61" s="13"/>
      <c r="I61" s="166"/>
      <c r="J61" s="166"/>
      <c r="K61" s="13"/>
      <c r="L61" s="13"/>
      <c r="M61" s="263"/>
    </row>
    <row r="62">
      <c r="A62" s="253"/>
      <c r="B62" s="179"/>
      <c r="C62" s="236"/>
      <c r="D62" s="237"/>
      <c r="E62" s="237"/>
      <c r="F62" s="179"/>
      <c r="G62" s="179"/>
      <c r="H62" s="13"/>
      <c r="I62" s="166"/>
      <c r="J62" s="166"/>
      <c r="K62" s="13"/>
      <c r="L62" s="13"/>
      <c r="M62" s="263"/>
    </row>
    <row r="63">
      <c r="A63" s="253"/>
      <c r="B63" s="179"/>
      <c r="C63" s="236"/>
      <c r="D63" s="255"/>
      <c r="E63" s="237"/>
      <c r="F63" s="179"/>
      <c r="G63" s="179"/>
      <c r="H63" s="13"/>
      <c r="I63" s="166"/>
      <c r="J63" s="166"/>
      <c r="K63" s="13"/>
      <c r="L63" s="13"/>
      <c r="M63" s="263"/>
    </row>
    <row r="64">
      <c r="A64" s="253"/>
      <c r="B64" s="179"/>
      <c r="C64" s="166"/>
      <c r="D64" s="255"/>
      <c r="E64" s="255"/>
      <c r="F64" s="235"/>
      <c r="G64" s="179"/>
      <c r="H64" s="13"/>
      <c r="I64" s="166"/>
      <c r="J64" s="166"/>
      <c r="K64" s="13"/>
      <c r="L64" s="13"/>
      <c r="M64" s="263"/>
    </row>
    <row r="65">
      <c r="A65" s="253"/>
      <c r="B65" s="179"/>
      <c r="C65" s="166"/>
      <c r="D65" s="255"/>
      <c r="E65" s="255"/>
      <c r="F65" s="235"/>
      <c r="G65" s="179"/>
      <c r="H65" s="277"/>
      <c r="I65" s="166"/>
      <c r="J65" s="166"/>
      <c r="K65" s="277"/>
      <c r="L65" s="278"/>
      <c r="M65" s="263"/>
    </row>
    <row r="66">
      <c r="A66" s="253"/>
      <c r="B66" s="179"/>
      <c r="C66" s="166"/>
      <c r="D66" s="255"/>
      <c r="E66" s="255"/>
      <c r="F66" s="235"/>
      <c r="G66" s="179"/>
      <c r="H66" s="13"/>
      <c r="I66" s="166"/>
      <c r="J66" s="166"/>
      <c r="K66" s="13"/>
      <c r="L66" s="13"/>
      <c r="M66" s="263"/>
    </row>
    <row r="67">
      <c r="A67" s="253"/>
      <c r="B67" s="179"/>
      <c r="C67" s="166"/>
      <c r="D67" s="255"/>
      <c r="E67" s="255"/>
      <c r="F67" s="235"/>
      <c r="G67" s="179"/>
      <c r="H67" s="13"/>
      <c r="I67" s="166"/>
      <c r="J67" s="166"/>
      <c r="K67" s="13"/>
      <c r="L67" s="13"/>
      <c r="M67" s="263"/>
    </row>
    <row r="68">
      <c r="A68" s="253"/>
      <c r="B68" s="179"/>
      <c r="C68" s="166"/>
      <c r="D68" s="255"/>
      <c r="E68" s="255"/>
      <c r="F68" s="235"/>
      <c r="G68" s="179"/>
      <c r="H68" s="13"/>
      <c r="I68" s="166"/>
      <c r="J68" s="166"/>
      <c r="K68" s="13"/>
      <c r="L68" s="13"/>
      <c r="M68" s="263"/>
    </row>
    <row r="69">
      <c r="A69" s="253"/>
      <c r="B69" s="179"/>
      <c r="C69" s="166"/>
      <c r="D69" s="255"/>
      <c r="E69" s="255"/>
      <c r="F69" s="235"/>
      <c r="G69" s="179"/>
      <c r="H69" s="13"/>
      <c r="I69" s="166"/>
      <c r="J69" s="166"/>
      <c r="K69" s="13"/>
      <c r="L69" s="13"/>
      <c r="M69" s="263"/>
    </row>
    <row r="70">
      <c r="A70" s="253"/>
      <c r="B70" s="179"/>
      <c r="C70" s="166"/>
      <c r="D70" s="255"/>
      <c r="E70" s="255"/>
      <c r="F70" s="235"/>
      <c r="G70" s="179"/>
      <c r="H70" s="13"/>
      <c r="I70" s="166"/>
      <c r="J70" s="166"/>
      <c r="K70" s="13"/>
      <c r="L70" s="13"/>
      <c r="M70" s="263"/>
    </row>
    <row r="71">
      <c r="A71" s="253"/>
      <c r="B71" s="179"/>
      <c r="C71" s="166"/>
      <c r="D71" s="255"/>
      <c r="E71" s="255"/>
      <c r="F71" s="235"/>
      <c r="G71" s="179"/>
      <c r="H71" s="13"/>
      <c r="I71" s="166"/>
      <c r="J71" s="166"/>
      <c r="K71" s="13"/>
      <c r="L71" s="13"/>
      <c r="M71" s="263"/>
    </row>
    <row r="72">
      <c r="A72" s="253"/>
      <c r="B72" s="179"/>
      <c r="C72" s="166"/>
      <c r="D72" s="255"/>
      <c r="E72" s="255"/>
      <c r="F72" s="235"/>
      <c r="G72" s="179"/>
      <c r="H72" s="13"/>
      <c r="I72" s="236"/>
      <c r="J72" s="166"/>
      <c r="K72" s="13"/>
      <c r="L72" s="13"/>
      <c r="M72" s="263"/>
    </row>
    <row r="73">
      <c r="A73" s="253"/>
      <c r="B73" s="179"/>
      <c r="C73" s="166"/>
      <c r="D73" s="255"/>
      <c r="E73" s="255"/>
      <c r="F73" s="235"/>
      <c r="G73" s="179"/>
      <c r="H73" s="13"/>
      <c r="I73" s="236"/>
      <c r="J73" s="166"/>
      <c r="K73" s="13"/>
      <c r="L73" s="13"/>
      <c r="M73" s="263"/>
    </row>
    <row r="74">
      <c r="A74" s="253"/>
      <c r="B74" s="179"/>
      <c r="C74" s="166"/>
      <c r="D74" s="255"/>
      <c r="E74" s="255"/>
      <c r="F74" s="235"/>
      <c r="G74" s="179"/>
      <c r="H74" s="13"/>
      <c r="I74" s="236"/>
      <c r="J74" s="166"/>
      <c r="K74" s="279"/>
      <c r="L74" s="280"/>
      <c r="M74" s="263"/>
    </row>
    <row r="75">
      <c r="A75" s="253"/>
      <c r="B75" s="179"/>
      <c r="C75" s="166"/>
      <c r="D75" s="255"/>
      <c r="E75" s="255"/>
      <c r="F75" s="235"/>
      <c r="G75" s="179"/>
      <c r="H75" s="13"/>
      <c r="I75" s="166"/>
      <c r="J75" s="166"/>
      <c r="K75" s="13"/>
      <c r="L75" s="13"/>
      <c r="M75" s="263"/>
    </row>
    <row r="76">
      <c r="A76" s="253"/>
      <c r="B76" s="179"/>
      <c r="C76" s="166"/>
      <c r="D76" s="255"/>
      <c r="E76" s="255"/>
      <c r="F76" s="235"/>
      <c r="G76" s="179"/>
      <c r="H76" s="13"/>
      <c r="I76" s="166"/>
      <c r="J76" s="166"/>
      <c r="K76" s="13"/>
      <c r="L76" s="13"/>
      <c r="M76" s="263"/>
    </row>
    <row r="77">
      <c r="A77" s="253"/>
      <c r="B77" s="179"/>
      <c r="C77" s="236"/>
      <c r="D77" s="255"/>
      <c r="E77" s="237"/>
      <c r="F77" s="179"/>
      <c r="G77" s="179"/>
      <c r="H77" s="13"/>
      <c r="I77" s="166"/>
      <c r="J77" s="166"/>
      <c r="K77" s="13"/>
      <c r="L77" s="13"/>
      <c r="M77" s="263"/>
    </row>
    <row r="78">
      <c r="A78" s="253"/>
      <c r="B78" s="179"/>
      <c r="C78" s="236"/>
      <c r="D78" s="255"/>
      <c r="E78" s="237"/>
      <c r="F78" s="179"/>
      <c r="G78" s="179"/>
      <c r="H78" s="13"/>
      <c r="I78" s="166"/>
      <c r="J78" s="166"/>
      <c r="K78" s="13"/>
      <c r="L78" s="13"/>
      <c r="M78" s="263"/>
    </row>
    <row r="79">
      <c r="A79" s="253"/>
      <c r="B79" s="179"/>
      <c r="C79" s="236"/>
      <c r="D79" s="255"/>
      <c r="E79" s="237"/>
      <c r="F79" s="179"/>
      <c r="G79" s="179"/>
      <c r="H79" s="13"/>
      <c r="I79" s="166"/>
      <c r="J79" s="166"/>
      <c r="K79" s="13"/>
      <c r="L79" s="13"/>
      <c r="M79" s="263"/>
    </row>
    <row r="80">
      <c r="A80" s="253"/>
      <c r="B80" s="179"/>
      <c r="C80" s="236"/>
      <c r="D80" s="255"/>
      <c r="E80" s="237"/>
      <c r="F80" s="179"/>
      <c r="G80" s="179"/>
      <c r="H80" s="13"/>
      <c r="I80" s="236"/>
      <c r="J80" s="166"/>
      <c r="K80" s="13"/>
      <c r="L80" s="13"/>
      <c r="M80" s="263"/>
    </row>
    <row r="81">
      <c r="A81" s="253"/>
      <c r="B81" s="179"/>
      <c r="C81" s="236"/>
      <c r="D81" s="237"/>
      <c r="E81" s="237"/>
      <c r="F81" s="179"/>
      <c r="G81" s="179"/>
      <c r="H81" s="13"/>
      <c r="I81" s="236"/>
      <c r="J81" s="166"/>
      <c r="K81" s="13"/>
      <c r="L81" s="13"/>
      <c r="M81" s="263"/>
    </row>
    <row r="82">
      <c r="A82" s="253"/>
      <c r="B82" s="179"/>
      <c r="C82" s="236"/>
      <c r="D82" s="237"/>
      <c r="E82" s="237"/>
      <c r="F82" s="179"/>
      <c r="G82" s="179"/>
      <c r="H82" s="13"/>
      <c r="I82" s="236"/>
      <c r="J82" s="236"/>
      <c r="K82" s="13"/>
      <c r="L82" s="13"/>
      <c r="M82" s="263"/>
    </row>
    <row r="83">
      <c r="A83" s="253"/>
      <c r="B83" s="179"/>
      <c r="C83" s="236"/>
      <c r="D83" s="255"/>
      <c r="E83" s="237"/>
      <c r="F83" s="179"/>
      <c r="G83" s="179"/>
      <c r="H83" s="13"/>
      <c r="I83" s="236"/>
      <c r="J83" s="166"/>
      <c r="K83" s="13"/>
      <c r="L83" s="13"/>
      <c r="M83" s="263"/>
    </row>
    <row r="84">
      <c r="A84" s="253"/>
      <c r="B84" s="179"/>
      <c r="C84" s="236"/>
      <c r="D84" s="255"/>
      <c r="E84" s="237"/>
      <c r="F84" s="179"/>
      <c r="G84" s="179"/>
      <c r="H84" s="13"/>
      <c r="I84" s="236"/>
      <c r="J84" s="166"/>
      <c r="K84" s="13"/>
      <c r="L84" s="13"/>
      <c r="M84" s="263"/>
    </row>
    <row r="85">
      <c r="A85" s="253"/>
      <c r="B85" s="179"/>
      <c r="C85" s="236"/>
      <c r="D85" s="237"/>
      <c r="E85" s="237"/>
      <c r="F85" s="179"/>
      <c r="G85" s="179"/>
      <c r="H85" s="13"/>
      <c r="I85" s="236"/>
      <c r="J85" s="236"/>
      <c r="K85" s="13"/>
      <c r="L85" s="13"/>
      <c r="M85" s="263"/>
    </row>
    <row r="86">
      <c r="A86" s="253"/>
      <c r="B86" s="179"/>
      <c r="C86" s="236"/>
      <c r="D86" s="237"/>
      <c r="E86" s="237"/>
      <c r="F86" s="179"/>
      <c r="G86" s="179"/>
      <c r="H86" s="13"/>
      <c r="I86" s="166"/>
      <c r="J86" s="166"/>
      <c r="K86" s="13"/>
      <c r="L86" s="13"/>
      <c r="M86" s="263"/>
    </row>
    <row r="87">
      <c r="A87" s="253"/>
      <c r="B87" s="179"/>
      <c r="C87" s="236"/>
      <c r="D87" s="237"/>
      <c r="E87" s="237"/>
      <c r="F87" s="179"/>
      <c r="G87" s="179"/>
      <c r="H87" s="13"/>
      <c r="I87" s="236"/>
      <c r="J87" s="236"/>
      <c r="K87" s="13"/>
      <c r="L87" s="13"/>
      <c r="M87" s="263"/>
    </row>
    <row r="88">
      <c r="A88" s="253"/>
      <c r="B88" s="179"/>
      <c r="C88" s="236"/>
      <c r="D88" s="237"/>
      <c r="E88" s="237"/>
      <c r="F88" s="179"/>
      <c r="G88" s="179"/>
      <c r="H88" s="13"/>
      <c r="I88" s="236"/>
      <c r="J88" s="166"/>
      <c r="K88" s="13"/>
      <c r="L88" s="13"/>
      <c r="M88" s="263"/>
    </row>
    <row r="89">
      <c r="A89" s="253"/>
      <c r="B89" s="179"/>
      <c r="C89" s="236"/>
      <c r="D89" s="237"/>
      <c r="E89" s="237"/>
      <c r="F89" s="179"/>
      <c r="G89" s="179"/>
      <c r="H89" s="13"/>
      <c r="I89" s="236"/>
      <c r="J89" s="166"/>
      <c r="K89" s="13"/>
      <c r="L89" s="13"/>
      <c r="M89" s="263"/>
    </row>
    <row r="90">
      <c r="A90" s="253"/>
      <c r="B90" s="179"/>
      <c r="C90" s="236"/>
      <c r="D90" s="237"/>
      <c r="E90" s="237"/>
      <c r="F90" s="179"/>
      <c r="G90" s="179"/>
      <c r="H90" s="13"/>
      <c r="I90" s="236"/>
      <c r="J90" s="166"/>
      <c r="K90" s="13"/>
      <c r="L90" s="13"/>
      <c r="M90" s="263"/>
    </row>
    <row r="91">
      <c r="A91" s="253"/>
      <c r="B91" s="179"/>
      <c r="C91" s="236"/>
      <c r="D91" s="237"/>
      <c r="E91" s="237"/>
      <c r="F91" s="179"/>
      <c r="G91" s="179"/>
      <c r="H91" s="13"/>
      <c r="I91" s="236"/>
      <c r="J91" s="166"/>
      <c r="K91" s="13"/>
      <c r="L91" s="13"/>
      <c r="M91" s="263"/>
    </row>
    <row r="92">
      <c r="A92" s="253"/>
      <c r="B92" s="179"/>
      <c r="C92" s="236"/>
      <c r="D92" s="237"/>
      <c r="E92" s="237"/>
      <c r="F92" s="179"/>
      <c r="G92" s="179"/>
      <c r="H92" s="13"/>
      <c r="I92" s="236"/>
      <c r="J92" s="166"/>
      <c r="K92" s="13"/>
      <c r="L92" s="13"/>
      <c r="M92" s="263"/>
    </row>
    <row r="93">
      <c r="A93" s="253"/>
      <c r="B93" s="179"/>
      <c r="C93" s="236"/>
      <c r="D93" s="237"/>
      <c r="E93" s="237"/>
      <c r="F93" s="179"/>
      <c r="G93" s="179"/>
      <c r="H93" s="13"/>
      <c r="I93" s="236"/>
      <c r="J93" s="166"/>
      <c r="K93" s="13"/>
      <c r="L93" s="13"/>
      <c r="M93" s="263"/>
    </row>
    <row r="94">
      <c r="A94" s="253"/>
      <c r="B94" s="179"/>
      <c r="C94" s="236"/>
      <c r="D94" s="237"/>
      <c r="E94" s="237"/>
      <c r="F94" s="179"/>
      <c r="G94" s="179"/>
      <c r="H94" s="13"/>
      <c r="I94" s="236"/>
      <c r="J94" s="166"/>
      <c r="K94" s="13"/>
      <c r="L94" s="13"/>
      <c r="M94" s="263"/>
    </row>
    <row r="95">
      <c r="A95" s="253"/>
      <c r="B95" s="179"/>
      <c r="C95" s="236"/>
      <c r="D95" s="237"/>
      <c r="E95" s="237"/>
      <c r="F95" s="179"/>
      <c r="G95" s="179"/>
      <c r="H95" s="13"/>
      <c r="I95" s="236"/>
      <c r="J95" s="166"/>
      <c r="K95" s="13"/>
      <c r="L95" s="13"/>
      <c r="M95" s="263"/>
    </row>
    <row r="96">
      <c r="A96" s="253"/>
      <c r="B96" s="179"/>
      <c r="C96" s="236"/>
      <c r="D96" s="237"/>
      <c r="E96" s="237"/>
      <c r="F96" s="179"/>
      <c r="G96" s="179"/>
      <c r="H96" s="13"/>
      <c r="I96" s="236"/>
      <c r="J96" s="166"/>
      <c r="K96" s="13"/>
      <c r="L96" s="13"/>
      <c r="M96" s="263"/>
    </row>
    <row r="97">
      <c r="A97" s="253"/>
      <c r="B97" s="179"/>
      <c r="C97" s="236"/>
      <c r="D97" s="237"/>
      <c r="E97" s="237"/>
      <c r="F97" s="179"/>
      <c r="G97" s="179"/>
      <c r="H97" s="13"/>
      <c r="I97" s="236"/>
      <c r="J97" s="166"/>
      <c r="K97" s="13"/>
      <c r="L97" s="13"/>
      <c r="M97" s="263"/>
    </row>
    <row r="98">
      <c r="A98" s="253"/>
      <c r="B98" s="179"/>
      <c r="C98" s="236"/>
      <c r="D98" s="237"/>
      <c r="E98" s="237"/>
      <c r="F98" s="179"/>
      <c r="G98" s="179"/>
      <c r="H98" s="13"/>
      <c r="I98" s="166"/>
      <c r="J98" s="166"/>
      <c r="K98" s="13"/>
      <c r="L98" s="13"/>
      <c r="M98" s="263"/>
    </row>
    <row r="99">
      <c r="A99" s="253"/>
      <c r="B99" s="179"/>
      <c r="C99" s="236"/>
      <c r="D99" s="237"/>
      <c r="E99" s="237"/>
      <c r="F99" s="179"/>
      <c r="G99" s="179" t="s">
        <v>102</v>
      </c>
      <c r="H99" s="13"/>
      <c r="I99" s="236"/>
      <c r="J99" s="166"/>
      <c r="K99" s="13"/>
      <c r="L99" s="13"/>
      <c r="M99" s="263"/>
    </row>
    <row r="100">
      <c r="A100" s="253"/>
      <c r="B100" s="179"/>
      <c r="C100" s="236"/>
      <c r="D100" s="237"/>
      <c r="E100" s="237"/>
      <c r="F100" s="179"/>
      <c r="G100" s="179"/>
      <c r="H100" s="13"/>
      <c r="I100" s="236"/>
      <c r="J100" s="166"/>
      <c r="K100" s="13"/>
      <c r="L100" s="13"/>
      <c r="M100" s="263"/>
    </row>
    <row r="101">
      <c r="A101" s="253"/>
      <c r="B101" s="179"/>
      <c r="C101" s="236"/>
      <c r="D101" s="237"/>
      <c r="E101" s="237"/>
      <c r="F101" s="179"/>
      <c r="G101" s="179"/>
      <c r="H101" s="13"/>
      <c r="I101" s="236"/>
      <c r="J101" s="166"/>
      <c r="K101" s="13"/>
      <c r="L101" s="13"/>
      <c r="M101" s="263"/>
    </row>
    <row r="102">
      <c r="A102" s="253"/>
      <c r="B102" s="179"/>
      <c r="C102" s="236"/>
      <c r="D102" s="237"/>
      <c r="E102" s="237"/>
      <c r="F102" s="179"/>
      <c r="G102" s="179"/>
      <c r="H102" s="13"/>
      <c r="I102" s="236"/>
      <c r="J102" s="166"/>
      <c r="K102" s="13"/>
      <c r="L102" s="13"/>
      <c r="M102" s="263"/>
    </row>
    <row r="103">
      <c r="A103" s="253"/>
      <c r="B103" s="179"/>
      <c r="C103" s="236"/>
      <c r="D103" s="237"/>
      <c r="E103" s="237"/>
      <c r="F103" s="179"/>
      <c r="G103" s="179"/>
      <c r="H103" s="13"/>
      <c r="I103" s="236"/>
      <c r="J103" s="166"/>
      <c r="K103" s="13"/>
      <c r="L103" s="13"/>
      <c r="M103" s="263"/>
    </row>
    <row r="104">
      <c r="A104" s="253"/>
      <c r="B104" s="179"/>
      <c r="C104" s="236"/>
      <c r="D104" s="237"/>
      <c r="E104" s="237"/>
      <c r="F104" s="179"/>
      <c r="G104" s="179"/>
      <c r="H104" s="13"/>
      <c r="I104" s="236"/>
      <c r="J104" s="166"/>
      <c r="K104" s="13"/>
      <c r="L104" s="13"/>
      <c r="M104" s="263"/>
    </row>
    <row r="105">
      <c r="A105" s="253"/>
      <c r="B105" s="179"/>
      <c r="C105" s="236"/>
      <c r="D105" s="237"/>
      <c r="E105" s="237"/>
      <c r="F105" s="179"/>
      <c r="G105" s="179"/>
      <c r="H105" s="13"/>
      <c r="I105" s="236"/>
      <c r="J105" s="166"/>
      <c r="K105" s="13"/>
      <c r="L105" s="13"/>
      <c r="M105" s="263"/>
    </row>
    <row r="106">
      <c r="A106" s="253"/>
      <c r="B106" s="179"/>
      <c r="C106" s="236"/>
      <c r="D106" s="237"/>
      <c r="E106" s="237"/>
      <c r="F106" s="179"/>
      <c r="G106" s="179"/>
      <c r="H106" s="13"/>
      <c r="I106" s="236"/>
      <c r="J106" s="166"/>
      <c r="K106" s="13"/>
      <c r="L106" s="13"/>
      <c r="M106" s="263"/>
    </row>
    <row r="107">
      <c r="A107" s="253"/>
      <c r="B107" s="179"/>
      <c r="C107" s="236"/>
      <c r="D107" s="237"/>
      <c r="E107" s="237"/>
      <c r="F107" s="179"/>
      <c r="G107" s="179"/>
      <c r="H107" s="13"/>
      <c r="I107" s="236"/>
      <c r="J107" s="166"/>
      <c r="K107" s="13"/>
      <c r="L107" s="13"/>
      <c r="M107" s="263"/>
    </row>
    <row r="108">
      <c r="A108" s="253"/>
      <c r="B108" s="179"/>
      <c r="C108" s="236"/>
      <c r="D108" s="237"/>
      <c r="E108" s="237"/>
      <c r="F108" s="179"/>
      <c r="G108" s="179"/>
      <c r="H108" s="13"/>
      <c r="I108" s="236"/>
      <c r="J108" s="166"/>
      <c r="K108" s="13"/>
      <c r="L108" s="13"/>
      <c r="M108" s="263"/>
    </row>
    <row r="109">
      <c r="A109" s="253"/>
      <c r="B109" s="179"/>
      <c r="C109" s="236"/>
      <c r="D109" s="237"/>
      <c r="E109" s="237"/>
      <c r="F109" s="179"/>
      <c r="G109" s="179"/>
      <c r="H109" s="13"/>
      <c r="I109" s="236"/>
      <c r="J109" s="166"/>
      <c r="K109" s="13"/>
      <c r="L109" s="13"/>
      <c r="M109" s="263"/>
    </row>
  </sheetData>
  <autoFilter ref="$A$1:$M$109"/>
  <customSheetViews>
    <customSheetView guid="{7CD3BC90-8565-4EF1-83E0-02DA5A629FB7}" filter="1" showAutoFilter="1">
      <autoFilter ref="$A$1:$K$99"/>
    </customSheetView>
    <customSheetView guid="{BEBD1EEB-1477-4C60-A76F-C1C20538AC33}" filter="1" showAutoFilter="1">
      <autoFilter ref="$A$1:$M$109">
        <filterColumn colId="5">
          <filters/>
        </filterColumn>
      </autoFilter>
    </customSheetView>
    <customSheetView guid="{7E71B5F7-61AF-4C93-AAAA-D905E381EEB1}" filter="1" showAutoFilter="1">
      <autoFilter ref="$A$1:$K$73"/>
    </customSheetView>
    <customSheetView guid="{14910ABA-25C5-4249-BD6C-ACF0CEBAD616}" filter="1" showAutoFilter="1">
      <autoFilter ref="$A$1:$I$109"/>
    </customSheetView>
    <customSheetView guid="{029C2313-9411-4E27-907A-EFD996D6C4E5}" filter="1" showAutoFilter="1">
      <autoFilter ref="$F$1:$I$109"/>
    </customSheetView>
    <customSheetView guid="{0373266D-FDE9-402D-B356-CC4A29DEE2C4}" filter="1" showAutoFilter="1">
      <autoFilter ref="$A$1:$I$109">
        <filterColumn colId="8">
          <filters blank="1">
            <filter val="小熊"/>
            <filter val="芳梅"/>
            <filter val="邦邦"/>
            <filter val="李果"/>
            <filter val="嘉琨"/>
            <filter val="林峰"/>
            <filter val="文亭"/>
            <filter val="敏敏"/>
            <filter val="院长"/>
          </filters>
        </filterColumn>
      </autoFilter>
    </customSheetView>
    <customSheetView guid="{DF01C596-C6C8-4FD7-8689-9293067D3717}" filter="1" showAutoFilter="1">
      <autoFilter ref="$A$1:$L$53"/>
    </customSheetView>
    <customSheetView guid="{E0F697A7-8F80-4AD9-9696-95D1452F7CEA}" filter="1" showAutoFilter="1">
      <autoFilter ref="$A$1:$L$53"/>
    </customSheetView>
    <customSheetView guid="{35A93920-2C98-4ACF-95FD-9E549BB0A80C}" filter="1" showAutoFilter="1">
      <autoFilter ref="$A$1:$M$109">
        <filterColumn colId="5">
          <filters/>
        </filterColumn>
      </autoFilter>
    </customSheetView>
    <customSheetView guid="{4E722777-354C-41C4-BDAF-3C065BD42EC8}" filter="1" showAutoFilter="1">
      <autoFilter ref="$A$1:$K$99"/>
    </customSheetView>
    <customSheetView guid="{3EDA368C-82AF-4F91-99D0-447C6D0C3AC0}" filter="1" showAutoFilter="1">
      <autoFilter ref="$A$1:$I$109"/>
    </customSheetView>
    <customSheetView guid="{75472B64-22E8-45FC-A839-460B446DB55F}" filter="1" showAutoFilter="1">
      <autoFilter ref="$A$1:$I$109"/>
    </customSheetView>
  </customSheetViews>
  <conditionalFormatting sqref="F2:F109">
    <cfRule type="containsText" dxfId="0" priority="1" operator="containsText" text="Closed">
      <formula>NOT(ISERROR(SEARCH(("Closed"),(F2))))</formula>
    </cfRule>
  </conditionalFormatting>
  <conditionalFormatting sqref="F2:F109">
    <cfRule type="containsText" dxfId="3" priority="2" operator="containsText" text="Monitor">
      <formula>NOT(ISERROR(SEARCH(("Monitor"),(F2))))</formula>
    </cfRule>
  </conditionalFormatting>
  <conditionalFormatting sqref="F2:F109">
    <cfRule type="containsText" dxfId="4" priority="3" operator="containsText" text="Open">
      <formula>NOT(ISERROR(SEARCH(("Open"),(F2))))</formula>
    </cfRule>
  </conditionalFormatting>
  <dataValidations>
    <dataValidation type="list" allowBlank="1" sqref="B2:B109">
      <formula1>Option!$C$2:$C$16</formula1>
    </dataValidation>
    <dataValidation type="list" allowBlank="1" sqref="I2:J109">
      <formula1>Option!$K$2:$K$17</formula1>
    </dataValidation>
    <dataValidation type="list" allowBlank="1" sqref="C2:C109">
      <formula1>Option!$E$2:$E$13</formula1>
    </dataValidation>
    <dataValidation type="list" allowBlank="1" sqref="D2:D109">
      <formula1>Option!$D$2:$D$15</formula1>
    </dataValidation>
    <dataValidation type="list" allowBlank="1" sqref="F2:F109">
      <formula1>Option!$F$2:$F$5</formula1>
    </dataValidation>
    <dataValidation type="list" allowBlank="1" sqref="L2:L109">
      <formula1>"1.SCH,2.PCB,3.BOM,4.Parameter,5.SW/ME/RF/ANT/Component/MFG/Vendor,6.No Change"</formula1>
    </dataValidation>
    <dataValidation type="list" allowBlank="1" sqref="M39:M109">
      <formula1>Option!$L$2:$L$16</formula1>
    </dataValidation>
    <dataValidation type="list" allowBlank="1" sqref="E2:E109">
      <formula1>Option!$G$2:$G$5</formula1>
    </dataValidation>
  </dataValidations>
  <hyperlinks>
    <hyperlink r:id="rId4" location="slide=id.g4057557fca_0_46" ref="H2"/>
    <hyperlink r:id="rId5" location="gid=964620647" ref="H3"/>
    <hyperlink r:id="rId6" location="gid=964620647" ref="H4"/>
    <hyperlink r:id="rId7" ref="H5"/>
    <hyperlink r:id="rId8" location="slide=id.g4057557fca_0_46" ref="H7"/>
    <hyperlink r:id="rId9" location="gid=1971263572" ref="H8"/>
    <hyperlink r:id="rId10" ref="H10"/>
    <hyperlink r:id="rId11" location="slide=id.p" ref="H16"/>
    <hyperlink r:id="rId12" ref="H17"/>
    <hyperlink r:id="rId13" location="gid=0" ref="H20"/>
    <hyperlink r:id="rId14" location="slide=id.p" ref="H21"/>
    <hyperlink r:id="rId15" ref="K22"/>
    <hyperlink r:id="rId16" location="gid=1931761005" ref="H23"/>
    <hyperlink r:id="rId17" location="slide=id.g9f0913f163_0_0" ref="H24"/>
    <hyperlink r:id="rId18" ref="K24"/>
    <hyperlink r:id="rId19" location="slide=id.g9b067c41e2_0_59" ref="H30"/>
    <hyperlink r:id="rId20" location="slide=id.g4057557fca_0_46" ref="H34"/>
    <hyperlink r:id="rId21" location="slide=id.g8851cae1f6_0_38" ref="H38"/>
  </hyperlinks>
  <drawing r:id="rId22"/>
  <legacyDrawing r:id="rId23"/>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5.13" defaultRowHeight="15.0"/>
  <cols>
    <col customWidth="1" min="1" max="1" width="9.75"/>
    <col customWidth="1" min="2" max="2" width="10.88"/>
    <col customWidth="1" min="3" max="3" width="13.13"/>
    <col customWidth="1" min="4" max="4" width="14.25"/>
    <col customWidth="1" min="5" max="5" width="8.25"/>
    <col customWidth="1" min="6" max="6" width="9.75"/>
    <col customWidth="1" min="7" max="7" width="86.38"/>
    <col customWidth="1" min="8" max="8" width="8.25"/>
    <col customWidth="1" min="9" max="9" width="9.88"/>
    <col customWidth="1" min="10" max="10" width="7.25"/>
    <col customWidth="1" min="11" max="11" width="9.38"/>
    <col customWidth="1" min="12" max="12" width="13.25"/>
    <col customWidth="1" hidden="1" min="13" max="13" width="12.88"/>
  </cols>
  <sheetData>
    <row r="1" ht="24.0" customHeight="1">
      <c r="A1" s="1" t="s">
        <v>0</v>
      </c>
      <c r="B1" s="1" t="s">
        <v>1</v>
      </c>
      <c r="C1" s="1" t="s">
        <v>2</v>
      </c>
      <c r="D1" s="1" t="s">
        <v>3</v>
      </c>
      <c r="E1" s="1" t="s">
        <v>4</v>
      </c>
      <c r="F1" s="1" t="s">
        <v>5</v>
      </c>
      <c r="G1" s="1" t="s">
        <v>6</v>
      </c>
      <c r="H1" s="1" t="s">
        <v>7</v>
      </c>
      <c r="I1" s="2" t="s">
        <v>8</v>
      </c>
      <c r="J1" s="2" t="s">
        <v>9</v>
      </c>
      <c r="K1" s="1" t="s">
        <v>10</v>
      </c>
      <c r="L1" s="215" t="s">
        <v>11</v>
      </c>
      <c r="M1" s="215" t="s">
        <v>714</v>
      </c>
    </row>
    <row r="2" ht="60.0" customHeight="1">
      <c r="A2" s="231">
        <v>43482.0</v>
      </c>
      <c r="B2" s="130" t="s">
        <v>172</v>
      </c>
      <c r="C2" s="8" t="s">
        <v>20</v>
      </c>
      <c r="D2" s="132" t="s">
        <v>14</v>
      </c>
      <c r="E2" s="132" t="s">
        <v>22</v>
      </c>
      <c r="F2" s="286" t="s">
        <v>16</v>
      </c>
      <c r="G2" s="130" t="s">
        <v>1028</v>
      </c>
      <c r="H2" s="13"/>
      <c r="I2" s="217" t="s">
        <v>67</v>
      </c>
      <c r="J2" s="224" t="s">
        <v>717</v>
      </c>
      <c r="K2" s="13"/>
      <c r="L2" s="13" t="s">
        <v>68</v>
      </c>
      <c r="M2" s="225"/>
    </row>
    <row r="3" ht="60.0" customHeight="1">
      <c r="A3" s="231">
        <v>43298.0</v>
      </c>
      <c r="B3" s="130" t="s">
        <v>43</v>
      </c>
      <c r="C3" s="8" t="s">
        <v>49</v>
      </c>
      <c r="D3" s="132" t="s">
        <v>44</v>
      </c>
      <c r="E3" s="132" t="s">
        <v>15</v>
      </c>
      <c r="F3" s="286" t="s">
        <v>16</v>
      </c>
      <c r="G3" s="130" t="s">
        <v>1029</v>
      </c>
      <c r="H3" s="10" t="str">
        <f>HYPERLINK("https://docs.google.com/presentation/d/1CGxjAKCEJZrR8ms-QioFm2rP1fAoWpiy9c922Y-gTrk/edit#slide=id.p4","link")</f>
        <v>link</v>
      </c>
      <c r="I3" s="217" t="s">
        <v>67</v>
      </c>
      <c r="J3" s="224" t="s">
        <v>115</v>
      </c>
      <c r="K3" s="13"/>
      <c r="L3" s="13" t="s">
        <v>162</v>
      </c>
      <c r="M3" s="225"/>
    </row>
    <row r="4" ht="60.0" customHeight="1">
      <c r="A4" s="231">
        <v>43286.0</v>
      </c>
      <c r="B4" s="130" t="s">
        <v>172</v>
      </c>
      <c r="C4" s="8" t="s">
        <v>49</v>
      </c>
      <c r="D4" s="132" t="s">
        <v>14</v>
      </c>
      <c r="E4" s="132" t="s">
        <v>15</v>
      </c>
      <c r="F4" s="286" t="s">
        <v>16</v>
      </c>
      <c r="G4" s="130" t="s">
        <v>1030</v>
      </c>
      <c r="H4" s="10" t="str">
        <f>HYPERLINK("https://docs.google.com/presentation/d/1Hf_j-DOTRpGnbgTXi3PBMSZtWePHc_EdEsJYBAFQqwE/edit#slide=id.p4","link")</f>
        <v>link</v>
      </c>
      <c r="I4" s="217" t="s">
        <v>66</v>
      </c>
      <c r="J4" s="224" t="s">
        <v>115</v>
      </c>
      <c r="K4" s="13"/>
      <c r="L4" s="13" t="s">
        <v>162</v>
      </c>
      <c r="M4" s="225"/>
    </row>
    <row r="5" ht="60.0" customHeight="1">
      <c r="A5" s="231">
        <v>43277.0</v>
      </c>
      <c r="B5" s="130" t="s">
        <v>172</v>
      </c>
      <c r="C5" s="8" t="s">
        <v>20</v>
      </c>
      <c r="D5" s="132" t="s">
        <v>14</v>
      </c>
      <c r="E5" s="132" t="s">
        <v>22</v>
      </c>
      <c r="F5" s="286" t="s">
        <v>64</v>
      </c>
      <c r="G5" s="130" t="s">
        <v>1031</v>
      </c>
      <c r="H5" s="13"/>
      <c r="I5" s="217" t="s">
        <v>70</v>
      </c>
      <c r="J5" s="224"/>
      <c r="K5" s="10" t="str">
        <f>HYPERLINK("https://docs.google.com/presentation/d/1HO-8X55gVzcRYUd2ovZwaqLcGZSuHvTQZIfFKCooDOE/edit#slide=id.p4","BB Analysis")</f>
        <v>BB Analysis</v>
      </c>
      <c r="L5" s="13" t="s">
        <v>68</v>
      </c>
      <c r="M5" s="225"/>
    </row>
    <row r="6" ht="60.0" customHeight="1">
      <c r="A6" s="231">
        <v>43217.0</v>
      </c>
      <c r="B6" s="130" t="s">
        <v>12</v>
      </c>
      <c r="C6" s="8" t="s">
        <v>49</v>
      </c>
      <c r="D6" s="132" t="s">
        <v>27</v>
      </c>
      <c r="E6" s="132" t="s">
        <v>22</v>
      </c>
      <c r="F6" s="286" t="s">
        <v>16</v>
      </c>
      <c r="G6" s="130" t="s">
        <v>1032</v>
      </c>
      <c r="H6" s="13"/>
      <c r="I6" s="217"/>
      <c r="J6" s="224"/>
      <c r="K6" s="13"/>
      <c r="L6" s="10" t="s">
        <v>71</v>
      </c>
      <c r="M6" s="225"/>
    </row>
    <row r="7" ht="60.0" customHeight="1">
      <c r="A7" s="231">
        <v>43217.0</v>
      </c>
      <c r="B7" s="130" t="s">
        <v>12</v>
      </c>
      <c r="C7" s="8" t="s">
        <v>723</v>
      </c>
      <c r="D7" s="132" t="s">
        <v>27</v>
      </c>
      <c r="E7" s="132" t="s">
        <v>22</v>
      </c>
      <c r="F7" s="286" t="s">
        <v>16</v>
      </c>
      <c r="G7" s="130" t="s">
        <v>1033</v>
      </c>
      <c r="H7" s="13"/>
      <c r="I7" s="217" t="s">
        <v>346</v>
      </c>
      <c r="J7" s="224"/>
      <c r="K7" s="13"/>
      <c r="L7" s="10" t="s">
        <v>71</v>
      </c>
      <c r="M7" s="225"/>
    </row>
    <row r="8" ht="60.0" customHeight="1">
      <c r="A8" s="231">
        <v>43204.0</v>
      </c>
      <c r="B8" s="130" t="s">
        <v>25</v>
      </c>
      <c r="C8" s="8" t="s">
        <v>49</v>
      </c>
      <c r="D8" s="132" t="s">
        <v>58</v>
      </c>
      <c r="E8" s="132" t="s">
        <v>15</v>
      </c>
      <c r="F8" s="286" t="s">
        <v>16</v>
      </c>
      <c r="G8" s="130" t="s">
        <v>1034</v>
      </c>
      <c r="H8" s="10" t="str">
        <f>HYPERLINK("https://docs.google.com/presentation/d/1IV7hQjZCzfVe8eMwz-LwzQP9_9fNPgo3Ux5SOaBlPgM/edit#slide=id.g3e4815dd47_0_8","link")</f>
        <v>link</v>
      </c>
      <c r="I8" s="217" t="s">
        <v>115</v>
      </c>
      <c r="J8" s="224"/>
      <c r="K8" s="10" t="str">
        <f>HYPERLINK("https://docs.google.com/presentation/d/1W4-l5TsDt5sG6Lh0wwZ0jS0dNoLoNIWma_QMHKLCiLk/edit?ts=5acf1ae9#slide=id.p9","ME  Analysis ")</f>
        <v>ME  Analysis </v>
      </c>
      <c r="L8" s="10" t="s">
        <v>71</v>
      </c>
      <c r="M8" s="225"/>
    </row>
    <row r="9" ht="60.0" customHeight="1">
      <c r="A9" s="231">
        <v>43188.0</v>
      </c>
      <c r="B9" s="130" t="s">
        <v>19</v>
      </c>
      <c r="C9" s="8" t="s">
        <v>49</v>
      </c>
      <c r="D9" s="132" t="s">
        <v>58</v>
      </c>
      <c r="E9" s="132" t="s">
        <v>22</v>
      </c>
      <c r="F9" s="286" t="s">
        <v>16</v>
      </c>
      <c r="G9" s="130" t="s">
        <v>1035</v>
      </c>
      <c r="H9" s="10" t="str">
        <f>HYPERLINK("https://docs.google.com/presentation/d/1IV7hQjZCzfVe8eMwz-LwzQP9_9fNPgo3Ux5SOaBlPgM/edit#slide=id.g3e4815dd47_0_66","link")</f>
        <v>link</v>
      </c>
      <c r="I9" s="217" t="s">
        <v>115</v>
      </c>
      <c r="J9" s="224"/>
      <c r="K9" s="10" t="str">
        <f>HYPERLINK("https://docs.google.com/presentation/d/1c3Xr4Fa4rYmk-B0S-7mDfPTKOmpA5egDmPAyTP4LVnM/edit#slide=id.g381ffcc7c2_2_36","BB Analysis")</f>
        <v>BB Analysis</v>
      </c>
      <c r="L9" s="10" t="s">
        <v>71</v>
      </c>
      <c r="M9" s="225"/>
    </row>
    <row r="10" ht="60.0" customHeight="1">
      <c r="A10" s="231">
        <v>43187.0</v>
      </c>
      <c r="B10" s="130" t="s">
        <v>19</v>
      </c>
      <c r="C10" s="8" t="s">
        <v>76</v>
      </c>
      <c r="D10" s="132" t="s">
        <v>14</v>
      </c>
      <c r="E10" s="132" t="s">
        <v>46</v>
      </c>
      <c r="F10" s="286" t="s">
        <v>16</v>
      </c>
      <c r="G10" s="130" t="s">
        <v>1036</v>
      </c>
      <c r="H10" s="10" t="str">
        <f>HYPERLINK("https://docs.google.com/presentation/d/1lApm-NlhiqDzf_fRhtiYDyW8PMlM8UY8vJFpTAnVjwo/edit#slide=id.p1","Link")</f>
        <v>Link</v>
      </c>
      <c r="I10" s="217" t="s">
        <v>127</v>
      </c>
      <c r="J10" s="224"/>
      <c r="K10" s="13"/>
      <c r="L10" s="13" t="s">
        <v>162</v>
      </c>
      <c r="M10" s="225"/>
    </row>
    <row r="11" ht="60.0" customHeight="1">
      <c r="A11" s="231">
        <v>43167.0</v>
      </c>
      <c r="B11" s="130" t="s">
        <v>19</v>
      </c>
      <c r="C11" s="8" t="s">
        <v>723</v>
      </c>
      <c r="D11" s="132" t="s">
        <v>77</v>
      </c>
      <c r="E11" s="132" t="s">
        <v>22</v>
      </c>
      <c r="F11" s="286" t="s">
        <v>16</v>
      </c>
      <c r="G11" s="130" t="s">
        <v>1037</v>
      </c>
      <c r="H11" s="13"/>
      <c r="I11" s="217" t="s">
        <v>346</v>
      </c>
      <c r="J11" s="224"/>
      <c r="K11" s="13"/>
      <c r="L11" s="10" t="s">
        <v>71</v>
      </c>
      <c r="M11" s="225"/>
    </row>
    <row r="12" ht="60.0" customHeight="1">
      <c r="A12" s="231">
        <v>43174.0</v>
      </c>
      <c r="B12" s="130" t="s">
        <v>19</v>
      </c>
      <c r="C12" s="8" t="s">
        <v>72</v>
      </c>
      <c r="D12" s="132" t="s">
        <v>14</v>
      </c>
      <c r="E12" s="132" t="s">
        <v>22</v>
      </c>
      <c r="F12" s="286" t="s">
        <v>16</v>
      </c>
      <c r="G12" s="130" t="s">
        <v>1038</v>
      </c>
      <c r="H12" s="13"/>
      <c r="I12" s="217" t="s">
        <v>1039</v>
      </c>
      <c r="J12" s="224"/>
      <c r="K12" s="13"/>
      <c r="L12" s="10" t="s">
        <v>71</v>
      </c>
      <c r="M12" s="225"/>
    </row>
    <row r="13" ht="60.0" customHeight="1">
      <c r="A13" s="231">
        <v>43174.0</v>
      </c>
      <c r="B13" s="130" t="s">
        <v>19</v>
      </c>
      <c r="C13" s="8" t="s">
        <v>26</v>
      </c>
      <c r="D13" s="132" t="s">
        <v>14</v>
      </c>
      <c r="E13" s="132" t="s">
        <v>22</v>
      </c>
      <c r="F13" s="286" t="s">
        <v>16</v>
      </c>
      <c r="G13" s="130" t="s">
        <v>1040</v>
      </c>
      <c r="H13" s="13"/>
      <c r="I13" s="217" t="s">
        <v>127</v>
      </c>
      <c r="J13" s="224"/>
      <c r="K13" s="13"/>
      <c r="L13" s="13" t="s">
        <v>68</v>
      </c>
      <c r="M13" s="225"/>
    </row>
    <row r="14" ht="60.0" customHeight="1">
      <c r="A14" s="231">
        <v>43171.0</v>
      </c>
      <c r="B14" s="130" t="s">
        <v>19</v>
      </c>
      <c r="C14" s="287" t="s">
        <v>57</v>
      </c>
      <c r="D14" s="132" t="s">
        <v>58</v>
      </c>
      <c r="E14" s="132" t="s">
        <v>22</v>
      </c>
      <c r="F14" s="286" t="s">
        <v>16</v>
      </c>
      <c r="G14" s="130" t="s">
        <v>1041</v>
      </c>
      <c r="H14" s="13"/>
      <c r="I14" s="217" t="s">
        <v>1042</v>
      </c>
      <c r="J14" s="224"/>
      <c r="K14" s="13"/>
      <c r="L14" s="10" t="s">
        <v>71</v>
      </c>
      <c r="M14" s="225"/>
    </row>
    <row r="15" ht="60.0" customHeight="1">
      <c r="A15" s="231">
        <v>43168.0</v>
      </c>
      <c r="B15" s="130" t="s">
        <v>19</v>
      </c>
      <c r="C15" s="287" t="s">
        <v>57</v>
      </c>
      <c r="D15" s="132" t="s">
        <v>58</v>
      </c>
      <c r="E15" s="132" t="s">
        <v>22</v>
      </c>
      <c r="F15" s="286" t="s">
        <v>16</v>
      </c>
      <c r="G15" s="130" t="s">
        <v>1043</v>
      </c>
      <c r="H15" s="13"/>
      <c r="I15" s="217" t="s">
        <v>1042</v>
      </c>
      <c r="J15" s="224"/>
      <c r="K15" s="13"/>
      <c r="L15" s="13" t="s">
        <v>144</v>
      </c>
      <c r="M15" s="225"/>
    </row>
    <row r="16" ht="60.0" customHeight="1">
      <c r="A16" s="231">
        <v>43157.0</v>
      </c>
      <c r="B16" s="130" t="s">
        <v>19</v>
      </c>
      <c r="C16" s="8" t="s">
        <v>723</v>
      </c>
      <c r="D16" s="132" t="s">
        <v>14</v>
      </c>
      <c r="E16" s="132" t="s">
        <v>22</v>
      </c>
      <c r="F16" s="286" t="s">
        <v>16</v>
      </c>
      <c r="G16" s="130" t="s">
        <v>1044</v>
      </c>
      <c r="H16" s="10" t="str">
        <f>HYPERLINK("https://docs.google.com/presentation/d/1vojgiXQDsJ0E-ul6XNhumolIPO_mZDNMKgnMrEWGXw8/edit#slide=id.p4","Link")</f>
        <v>Link</v>
      </c>
      <c r="I16" s="217" t="s">
        <v>346</v>
      </c>
      <c r="J16" s="224" t="s">
        <v>1045</v>
      </c>
      <c r="K16" s="10" t="str">
        <f>HYPERLINK("https://docs.google.com/presentation/d/1vojgiXQDsJ0E-ul6XNhumolIPO_mZDNMKgnMrEWGXw8/edit#slide=id.p4","Link")</f>
        <v>Link</v>
      </c>
      <c r="L16" s="10" t="s">
        <v>71</v>
      </c>
      <c r="M16" s="225"/>
    </row>
    <row r="17" ht="60.0" customHeight="1">
      <c r="A17" s="231">
        <v>43157.0</v>
      </c>
      <c r="B17" s="130" t="s">
        <v>19</v>
      </c>
      <c r="C17" s="8" t="s">
        <v>723</v>
      </c>
      <c r="D17" s="132" t="s">
        <v>27</v>
      </c>
      <c r="E17" s="132" t="s">
        <v>22</v>
      </c>
      <c r="F17" s="286" t="s">
        <v>16</v>
      </c>
      <c r="G17" s="130" t="s">
        <v>1046</v>
      </c>
      <c r="H17" s="10" t="str">
        <f>HYPERLINK("https://docs.google.com/presentation/d/17C_DjjF6E5qgNEcsPD1EjM5nnRdsfAcrtwXEDoruyuM/edit#slide=id.g2bc80d657e_0_76","Link")</f>
        <v>Link</v>
      </c>
      <c r="I17" s="217" t="s">
        <v>346</v>
      </c>
      <c r="J17" s="224" t="s">
        <v>127</v>
      </c>
      <c r="K17" s="10" t="str">
        <f>HYPERLINK("https://docs.google.com/presentation/d/17C_DjjF6E5qgNEcsPD1EjM5nnRdsfAcrtwXEDoruyuM/edit#slide=id.g2bc80d657e_0_76","Link")</f>
        <v>Link</v>
      </c>
      <c r="L17" s="10" t="s">
        <v>71</v>
      </c>
      <c r="M17" s="225"/>
    </row>
    <row r="18" ht="60.0" customHeight="1">
      <c r="A18" s="231">
        <v>43143.0</v>
      </c>
      <c r="B18" s="130" t="s">
        <v>19</v>
      </c>
      <c r="C18" s="8" t="s">
        <v>72</v>
      </c>
      <c r="D18" s="132" t="s">
        <v>27</v>
      </c>
      <c r="E18" s="132" t="s">
        <v>15</v>
      </c>
      <c r="F18" s="286" t="s">
        <v>16</v>
      </c>
      <c r="G18" s="130" t="s">
        <v>1047</v>
      </c>
      <c r="H18" s="10" t="str">
        <f>HYPERLINK("https://docs.google.com/presentation/d/1Gdzo4_r7_P2LqKOsNT7isPKfjpz5Z7pIv9-UBKOXvIw/edit#slide=id.p4","Link")</f>
        <v>Link</v>
      </c>
      <c r="I18" s="217" t="s">
        <v>1039</v>
      </c>
      <c r="J18" s="224" t="s">
        <v>346</v>
      </c>
      <c r="K18" s="10" t="str">
        <f>HYPERLINK("https://docs.google.com/presentation/d/1Gdzo4_r7_P2LqKOsNT7isPKfjpz5Z7pIv9-UBKOXvIw/edit#slide=id.p4","Link")</f>
        <v>Link</v>
      </c>
      <c r="L18" s="10" t="s">
        <v>71</v>
      </c>
      <c r="M18" s="225"/>
    </row>
    <row r="19" ht="60.0" customHeight="1">
      <c r="A19" s="231">
        <v>43143.0</v>
      </c>
      <c r="B19" s="130" t="s">
        <v>19</v>
      </c>
      <c r="C19" s="8" t="s">
        <v>49</v>
      </c>
      <c r="D19" s="132" t="s">
        <v>58</v>
      </c>
      <c r="E19" s="132" t="s">
        <v>22</v>
      </c>
      <c r="F19" s="286" t="s">
        <v>16</v>
      </c>
      <c r="G19" s="130" t="s">
        <v>1048</v>
      </c>
      <c r="H19" s="13"/>
      <c r="I19" s="217" t="s">
        <v>66</v>
      </c>
      <c r="J19" s="224"/>
      <c r="K19" s="13"/>
      <c r="L19" s="13" t="s">
        <v>162</v>
      </c>
      <c r="M19" s="225"/>
    </row>
    <row r="20" ht="60.0" customHeight="1">
      <c r="A20" s="231">
        <v>43143.0</v>
      </c>
      <c r="B20" s="130" t="s">
        <v>19</v>
      </c>
      <c r="C20" s="287" t="s">
        <v>57</v>
      </c>
      <c r="D20" s="132" t="s">
        <v>58</v>
      </c>
      <c r="E20" s="132" t="s">
        <v>22</v>
      </c>
      <c r="F20" s="286" t="s">
        <v>16</v>
      </c>
      <c r="G20" s="130" t="s">
        <v>1049</v>
      </c>
      <c r="H20" s="13"/>
      <c r="I20" s="217" t="s">
        <v>1042</v>
      </c>
      <c r="J20" s="224"/>
      <c r="K20" s="13"/>
      <c r="L20" s="13" t="s">
        <v>144</v>
      </c>
      <c r="M20" s="225"/>
    </row>
    <row r="21" ht="60.0" customHeight="1">
      <c r="A21" s="231">
        <v>43140.0</v>
      </c>
      <c r="B21" s="130" t="s">
        <v>19</v>
      </c>
      <c r="C21" s="8" t="s">
        <v>13</v>
      </c>
      <c r="D21" s="132" t="s">
        <v>27</v>
      </c>
      <c r="E21" s="132" t="s">
        <v>15</v>
      </c>
      <c r="F21" s="286" t="s">
        <v>16</v>
      </c>
      <c r="G21" s="130" t="s">
        <v>1050</v>
      </c>
      <c r="H21" s="13"/>
      <c r="I21" s="217" t="s">
        <v>79</v>
      </c>
      <c r="J21" s="224" t="s">
        <v>127</v>
      </c>
      <c r="K21" s="13"/>
      <c r="L21" s="13" t="s">
        <v>162</v>
      </c>
      <c r="M21" s="225"/>
    </row>
    <row r="22" ht="60.0" customHeight="1">
      <c r="A22" s="231">
        <v>43143.0</v>
      </c>
      <c r="B22" s="130" t="s">
        <v>19</v>
      </c>
      <c r="C22" s="8" t="s">
        <v>26</v>
      </c>
      <c r="D22" s="132" t="s">
        <v>14</v>
      </c>
      <c r="E22" s="132" t="s">
        <v>22</v>
      </c>
      <c r="F22" s="286" t="s">
        <v>16</v>
      </c>
      <c r="G22" s="130" t="s">
        <v>1051</v>
      </c>
      <c r="H22" s="13"/>
      <c r="I22" s="217" t="s">
        <v>127</v>
      </c>
      <c r="J22" s="224"/>
      <c r="K22" s="13"/>
      <c r="L22" s="13" t="s">
        <v>68</v>
      </c>
      <c r="M22" s="225"/>
    </row>
    <row r="23" ht="60.0" customHeight="1">
      <c r="A23" s="231">
        <v>43142.0</v>
      </c>
      <c r="B23" s="130" t="s">
        <v>19</v>
      </c>
      <c r="C23" s="8" t="s">
        <v>49</v>
      </c>
      <c r="D23" s="132" t="s">
        <v>44</v>
      </c>
      <c r="E23" s="132" t="s">
        <v>22</v>
      </c>
      <c r="F23" s="286" t="s">
        <v>16</v>
      </c>
      <c r="G23" s="130" t="s">
        <v>1052</v>
      </c>
      <c r="H23" s="10" t="str">
        <f>HYPERLINK("https://docs.google.com/presentation/d/1e61CniY-5HX2Ge3nyKACBG59OEjM71qKRvsBFuPPsRo/edit#slide=id.p","link")</f>
        <v>link</v>
      </c>
      <c r="I23" s="217" t="s">
        <v>115</v>
      </c>
      <c r="J23" s="224"/>
      <c r="K23" s="13"/>
      <c r="L23" s="13" t="s">
        <v>162</v>
      </c>
      <c r="M23" s="225"/>
    </row>
    <row r="24" ht="60.0" customHeight="1">
      <c r="A24" s="231">
        <v>43142.0</v>
      </c>
      <c r="B24" s="130" t="s">
        <v>19</v>
      </c>
      <c r="C24" s="8" t="s">
        <v>723</v>
      </c>
      <c r="D24" s="132" t="s">
        <v>27</v>
      </c>
      <c r="E24" s="132" t="s">
        <v>22</v>
      </c>
      <c r="F24" s="286" t="s">
        <v>16</v>
      </c>
      <c r="G24" s="130" t="s">
        <v>1053</v>
      </c>
      <c r="H24" s="10" t="str">
        <f>HYPERLINK("https://docs.google.com/presentation/d/1GntUvxZ-lZZlQh9jTUdRVr9Dv59hFA7gbICmFdfxMo4/edit#slide=id.p4","Link")</f>
        <v>Link</v>
      </c>
      <c r="I24" s="217" t="s">
        <v>346</v>
      </c>
      <c r="J24" s="224" t="s">
        <v>127</v>
      </c>
      <c r="K24" s="10" t="str">
        <f>HYPERLINK("https://docs.google.com/presentation/d/1GntUvxZ-lZZlQh9jTUdRVr9Dv59hFA7gbICmFdfxMo4/edit#slide=id.p4","Link")</f>
        <v>Link</v>
      </c>
      <c r="L24" s="10" t="s">
        <v>71</v>
      </c>
      <c r="M24" s="225"/>
    </row>
    <row r="25" ht="109.5" customHeight="1">
      <c r="A25" s="231">
        <v>43108.0</v>
      </c>
      <c r="B25" s="130" t="s">
        <v>43</v>
      </c>
      <c r="C25" s="8" t="s">
        <v>49</v>
      </c>
      <c r="D25" s="132" t="s">
        <v>44</v>
      </c>
      <c r="E25" s="132" t="s">
        <v>15</v>
      </c>
      <c r="F25" s="286" t="s">
        <v>16</v>
      </c>
      <c r="G25" s="130" t="s">
        <v>1054</v>
      </c>
      <c r="H25" s="10" t="str">
        <f>HYPERLINK("https://docs.google.com/presentation/d/1WlmW2S-B0njMxmFLFc12sfix7tR5LlX5FXFACtZZjo0/edit#slide=id.g2cce458f32_2_36","link")</f>
        <v>link</v>
      </c>
      <c r="I25" s="217" t="s">
        <v>115</v>
      </c>
      <c r="J25" s="224" t="s">
        <v>1055</v>
      </c>
      <c r="K25" s="10" t="str">
        <f>HYPERLINK("https://docs.google.com/presentation/d/1WlmW2S-B0njMxmFLFc12sfix7tR5LlX5FXFACtZZjo0/edit#slide=id.g2cce458f32_2_36","link")</f>
        <v>link</v>
      </c>
      <c r="L25" s="13" t="s">
        <v>162</v>
      </c>
      <c r="M25" s="225"/>
    </row>
    <row r="26" ht="45.0" customHeight="1">
      <c r="A26" s="231">
        <v>43118.0</v>
      </c>
      <c r="B26" s="130" t="s">
        <v>43</v>
      </c>
      <c r="C26" s="8" t="s">
        <v>723</v>
      </c>
      <c r="D26" s="132" t="s">
        <v>77</v>
      </c>
      <c r="E26" s="132" t="s">
        <v>22</v>
      </c>
      <c r="F26" s="286" t="s">
        <v>16</v>
      </c>
      <c r="G26" s="130" t="s">
        <v>1056</v>
      </c>
      <c r="H26" s="10" t="str">
        <f>HYPERLINK("https://docs.google.com/presentation/d/1YU7hJC923f2Yw0cLbims2Y2SIXM_4VXn8gl2FA-NV1o/edit#slide=id.p4","Link")</f>
        <v>Link</v>
      </c>
      <c r="I26" s="217" t="s">
        <v>346</v>
      </c>
      <c r="J26" s="224"/>
      <c r="K26" s="10" t="str">
        <f>HYPERLINK("https://docs.google.com/presentation/d/1YU7hJC923f2Yw0cLbims2Y2SIXM_4VXn8gl2FA-NV1o/edit#slide=id.p4","Link")</f>
        <v>Link</v>
      </c>
      <c r="L26" s="13" t="s">
        <v>63</v>
      </c>
      <c r="M26" s="225"/>
    </row>
    <row r="27" ht="60.0" customHeight="1">
      <c r="A27" s="231">
        <v>43134.0</v>
      </c>
      <c r="B27" s="130" t="s">
        <v>43</v>
      </c>
      <c r="C27" s="8" t="s">
        <v>26</v>
      </c>
      <c r="D27" s="132" t="s">
        <v>27</v>
      </c>
      <c r="E27" s="132" t="s">
        <v>22</v>
      </c>
      <c r="F27" s="286" t="s">
        <v>16</v>
      </c>
      <c r="G27" s="130" t="s">
        <v>1057</v>
      </c>
      <c r="H27" s="10" t="str">
        <f>HYPERLINK("https://docs.google.com/presentation/d/1HtuDyM2CegV59JipOil2iXJonlyTwB02jDHEdbRk9MU/edit#slide=id.g2bc80d657e_0_97","Link")</f>
        <v>Link</v>
      </c>
      <c r="I27" s="217" t="s">
        <v>66</v>
      </c>
      <c r="J27" s="224"/>
      <c r="K27" s="10" t="str">
        <f>HYPERLINK("https://docs.google.com/presentation/d/1HtuDyM2CegV59JipOil2iXJonlyTwB02jDHEdbRk9MU/edit#slide=id.g2bc80d657e_0_97","Link")</f>
        <v>Link</v>
      </c>
      <c r="L27" s="10" t="s">
        <v>71</v>
      </c>
      <c r="M27" s="225"/>
    </row>
    <row r="28" ht="55.5" customHeight="1">
      <c r="A28" s="231">
        <v>43115.0</v>
      </c>
      <c r="B28" s="130" t="s">
        <v>43</v>
      </c>
      <c r="C28" s="8" t="s">
        <v>72</v>
      </c>
      <c r="D28" s="132" t="s">
        <v>27</v>
      </c>
      <c r="E28" s="132" t="s">
        <v>22</v>
      </c>
      <c r="F28" s="286" t="s">
        <v>16</v>
      </c>
      <c r="G28" s="130" t="s">
        <v>1058</v>
      </c>
      <c r="H28" s="10" t="str">
        <f>HYPERLINK("https://docs.google.com/presentation/d/1e6n1_GCDMUzb7whGaaMinvouNUS-oKepK2fuBeG38vA/edit#slide=id.p3","Link")</f>
        <v>Link</v>
      </c>
      <c r="I28" s="217" t="s">
        <v>1039</v>
      </c>
      <c r="J28" s="224"/>
      <c r="K28" s="10" t="str">
        <f>HYPERLINK("https://docs.google.com/presentation/d/1e6n1_GCDMUzb7whGaaMinvouNUS-oKepK2fuBeG38vA/edit#slide=id.p3","Link")</f>
        <v>Link</v>
      </c>
      <c r="L28" s="10" t="s">
        <v>71</v>
      </c>
      <c r="M28" s="225"/>
    </row>
    <row r="29" ht="36.75" customHeight="1">
      <c r="A29" s="288">
        <v>43104.0</v>
      </c>
      <c r="B29" s="130" t="s">
        <v>43</v>
      </c>
      <c r="C29" s="287" t="s">
        <v>33</v>
      </c>
      <c r="D29" s="132" t="s">
        <v>58</v>
      </c>
      <c r="E29" s="9" t="s">
        <v>22</v>
      </c>
      <c r="F29" s="7" t="s">
        <v>16</v>
      </c>
      <c r="G29" s="7" t="s">
        <v>1059</v>
      </c>
      <c r="H29" s="10" t="str">
        <f>HYPERLINK("https://docs.google.com/spreadsheets/d/1DWpfCyp2ylc5FyVhGgBOIUXAPG9jbZIuNZCzjuWNOkg/edit#gid=981557347","Link")</f>
        <v>Link</v>
      </c>
      <c r="I29" s="18" t="s">
        <v>463</v>
      </c>
      <c r="J29" s="18"/>
      <c r="K29" s="10" t="str">
        <f>HYPERLINK("https://docs.google.com/spreadsheets/d/1DWpfCyp2ylc5FyVhGgBOIUXAPG9jbZIuNZCzjuWNOkg/edit#gid=981557347","Link")</f>
        <v>Link</v>
      </c>
      <c r="L29" s="10" t="s">
        <v>71</v>
      </c>
      <c r="M29" s="225"/>
    </row>
    <row r="30" ht="66.75" customHeight="1">
      <c r="A30" s="288">
        <v>43087.0</v>
      </c>
      <c r="B30" s="130" t="s">
        <v>43</v>
      </c>
      <c r="C30" s="287" t="s">
        <v>36</v>
      </c>
      <c r="D30" s="132" t="s">
        <v>27</v>
      </c>
      <c r="E30" s="9" t="s">
        <v>22</v>
      </c>
      <c r="F30" s="7" t="s">
        <v>16</v>
      </c>
      <c r="G30" s="7" t="s">
        <v>1060</v>
      </c>
      <c r="H30" s="10" t="str">
        <f>HYPERLINK("https://docs.google.com/presentation/d/1f3tBI7aZnVpIPPL6SdL1u6vDXSvy61w1GzO1SNuh_fs/edit#slide=id.p4","Link")</f>
        <v>Link</v>
      </c>
      <c r="I30" s="18" t="s">
        <v>463</v>
      </c>
      <c r="J30" s="18"/>
      <c r="K30" s="10" t="str">
        <f>HYPERLINK("https://docs.google.com/presentation/d/1f3tBI7aZnVpIPPL6SdL1u6vDXSvy61w1GzO1SNuh_fs/edit#slide=id.p4","Link")</f>
        <v>Link</v>
      </c>
      <c r="L30" s="13" t="s">
        <v>68</v>
      </c>
      <c r="M30" s="289" t="s">
        <v>1061</v>
      </c>
    </row>
    <row r="31" ht="54.0" customHeight="1">
      <c r="A31" s="288">
        <v>43094.0</v>
      </c>
      <c r="B31" s="130" t="s">
        <v>43</v>
      </c>
      <c r="C31" s="287" t="s">
        <v>57</v>
      </c>
      <c r="D31" s="132" t="s">
        <v>58</v>
      </c>
      <c r="E31" s="9" t="s">
        <v>22</v>
      </c>
      <c r="F31" s="7" t="s">
        <v>16</v>
      </c>
      <c r="G31" s="7" t="s">
        <v>1062</v>
      </c>
      <c r="H31" s="10" t="str">
        <f>HYPERLINK("https://docs.google.com/presentation/d/1ueeGFCSx733PczJnjvFiqzOGI2zKexA6yX51m-Nww_I/edit#slide=id.g2cbf684f8f_2_49","link")</f>
        <v>link</v>
      </c>
      <c r="I31" s="18" t="s">
        <v>1042</v>
      </c>
      <c r="J31" s="18"/>
      <c r="K31" s="10" t="str">
        <f>HYPERLINK("https://docs.google.com/presentation/d/1ueeGFCSx733PczJnjvFiqzOGI2zKexA6yX51m-Nww_I/edit#slide=id.g2cbf684f8f_2_49","link")</f>
        <v>link</v>
      </c>
      <c r="L31" s="13" t="s">
        <v>144</v>
      </c>
      <c r="M31" s="18" t="s">
        <v>1063</v>
      </c>
    </row>
    <row r="32" ht="65.25" customHeight="1">
      <c r="A32" s="231">
        <v>43108.0</v>
      </c>
      <c r="B32" s="130" t="s">
        <v>43</v>
      </c>
      <c r="C32" s="8" t="s">
        <v>36</v>
      </c>
      <c r="D32" s="132" t="s">
        <v>58</v>
      </c>
      <c r="E32" s="132" t="s">
        <v>22</v>
      </c>
      <c r="F32" s="286" t="s">
        <v>16</v>
      </c>
      <c r="G32" s="130" t="s">
        <v>1064</v>
      </c>
      <c r="H32" s="13" t="s">
        <v>97</v>
      </c>
      <c r="I32" s="217" t="s">
        <v>70</v>
      </c>
      <c r="J32" s="224"/>
      <c r="K32" s="13" t="s">
        <v>97</v>
      </c>
      <c r="L32" s="10" t="s">
        <v>71</v>
      </c>
      <c r="M32" s="225"/>
    </row>
    <row r="33" ht="60.0" customHeight="1">
      <c r="A33" s="231">
        <v>43129.0</v>
      </c>
      <c r="B33" s="130" t="s">
        <v>19</v>
      </c>
      <c r="C33" s="8" t="s">
        <v>723</v>
      </c>
      <c r="D33" s="132" t="s">
        <v>27</v>
      </c>
      <c r="E33" s="132" t="s">
        <v>15</v>
      </c>
      <c r="F33" s="286" t="s">
        <v>16</v>
      </c>
      <c r="G33" s="130" t="s">
        <v>1065</v>
      </c>
      <c r="H33" s="10" t="str">
        <f>HYPERLINK("https://docs.google.com/presentation/d/1xJrYaVQyjD2cZgcMYrr1rEuHjt2ompMfZUIgsqMzgVE/edit#slide=id.g2bc80d657e_0_97","Link")</f>
        <v>Link</v>
      </c>
      <c r="I33" s="217" t="s">
        <v>127</v>
      </c>
      <c r="J33" s="224" t="s">
        <v>67</v>
      </c>
      <c r="K33" s="10" t="str">
        <f>HYPERLINK("https://docs.google.com/presentation/d/1xJrYaVQyjD2cZgcMYrr1rEuHjt2ompMfZUIgsqMzgVE/edit#slide=id.g2bc80d657e_0_97","Link")</f>
        <v>Link</v>
      </c>
      <c r="L33" s="13" t="s">
        <v>162</v>
      </c>
      <c r="M33" s="225"/>
    </row>
    <row r="34" ht="65.25" customHeight="1">
      <c r="A34" s="231">
        <v>43117.0</v>
      </c>
      <c r="B34" s="130" t="s">
        <v>43</v>
      </c>
      <c r="C34" s="287" t="s">
        <v>57</v>
      </c>
      <c r="D34" s="132" t="s">
        <v>89</v>
      </c>
      <c r="E34" s="132" t="s">
        <v>15</v>
      </c>
      <c r="F34" s="286" t="s">
        <v>16</v>
      </c>
      <c r="G34" s="130" t="s">
        <v>1066</v>
      </c>
      <c r="H34" s="13"/>
      <c r="I34" s="217" t="s">
        <v>1042</v>
      </c>
      <c r="J34" s="224" t="s">
        <v>1055</v>
      </c>
      <c r="K34" s="13"/>
      <c r="L34" s="13" t="s">
        <v>144</v>
      </c>
      <c r="M34" s="225"/>
    </row>
    <row r="35" ht="65.25" customHeight="1">
      <c r="A35" s="288">
        <v>43094.0</v>
      </c>
      <c r="B35" s="130" t="s">
        <v>43</v>
      </c>
      <c r="C35" s="287" t="s">
        <v>30</v>
      </c>
      <c r="D35" s="132" t="s">
        <v>58</v>
      </c>
      <c r="E35" s="9" t="s">
        <v>22</v>
      </c>
      <c r="F35" s="7" t="s">
        <v>16</v>
      </c>
      <c r="G35" s="7" t="s">
        <v>1067</v>
      </c>
      <c r="H35" s="10" t="str">
        <f>HYPERLINK("https://docs.google.com/presentation/d/1owtjJUHKOgX1iKuleuiQHfb3N8CgrjpcXsjIHHJn9i0/edit#slide=id.p4","Link")</f>
        <v>Link</v>
      </c>
      <c r="I35" s="18" t="s">
        <v>127</v>
      </c>
      <c r="J35" s="18"/>
      <c r="K35" s="10" t="str">
        <f>HYPERLINK("https://docs.google.com/presentation/d/1owtjJUHKOgX1iKuleuiQHfb3N8CgrjpcXsjIHHJn9i0/edit#slide=id.p4","Link")</f>
        <v>Link</v>
      </c>
      <c r="L35" s="13" t="s">
        <v>63</v>
      </c>
      <c r="M35" s="225"/>
    </row>
    <row r="36" ht="65.25" customHeight="1">
      <c r="A36" s="231">
        <v>43116.0</v>
      </c>
      <c r="B36" s="130" t="s">
        <v>43</v>
      </c>
      <c r="C36" s="287" t="s">
        <v>57</v>
      </c>
      <c r="D36" s="132" t="s">
        <v>58</v>
      </c>
      <c r="E36" s="132" t="s">
        <v>22</v>
      </c>
      <c r="F36" s="286" t="s">
        <v>16</v>
      </c>
      <c r="G36" s="130" t="s">
        <v>1068</v>
      </c>
      <c r="H36" s="10" t="str">
        <f>HYPERLINK("https://docs.google.com/presentation/d/1Zh84FF_PFN2uw5Liu7jt_sZ0Ry4hahv3sAJpDoHi0Rc/edit#slide=id.p4","Link")</f>
        <v>Link</v>
      </c>
      <c r="I36" s="217" t="s">
        <v>1042</v>
      </c>
      <c r="J36" s="224" t="s">
        <v>346</v>
      </c>
      <c r="K36" s="10" t="str">
        <f>HYPERLINK("https://docs.google.com/presentation/d/1Zh84FF_PFN2uw5Liu7jt_sZ0Ry4hahv3sAJpDoHi0Rc/edit#slide=id.p4","Link")</f>
        <v>Link</v>
      </c>
      <c r="L36" s="13" t="s">
        <v>167</v>
      </c>
      <c r="M36" s="225"/>
    </row>
    <row r="37" ht="23.25" customHeight="1">
      <c r="A37" s="231">
        <v>43108.0</v>
      </c>
      <c r="B37" s="130" t="s">
        <v>43</v>
      </c>
      <c r="C37" s="8" t="s">
        <v>723</v>
      </c>
      <c r="D37" s="132" t="s">
        <v>27</v>
      </c>
      <c r="E37" s="132" t="s">
        <v>22</v>
      </c>
      <c r="F37" s="286" t="s">
        <v>16</v>
      </c>
      <c r="G37" s="130" t="s">
        <v>1069</v>
      </c>
      <c r="H37" s="10" t="str">
        <f>HYPERLINK("https://docs.google.com/presentation/d/1Dt8nIckoT4oOegwj2cOXNVrtWnUlQZHMzrcN2dcLnKo/edit#slide=id.p4","Link")</f>
        <v>Link</v>
      </c>
      <c r="I37" s="217" t="s">
        <v>346</v>
      </c>
      <c r="J37" s="224"/>
      <c r="K37" s="10" t="str">
        <f>HYPERLINK("https://docs.google.com/presentation/d/1Dt8nIckoT4oOegwj2cOXNVrtWnUlQZHMzrcN2dcLnKo/edit#slide=id.p4","Link")</f>
        <v>Link</v>
      </c>
      <c r="L37" s="10" t="s">
        <v>71</v>
      </c>
      <c r="M37" s="225"/>
    </row>
    <row r="38" ht="65.25" customHeight="1">
      <c r="A38" s="231">
        <v>43108.0</v>
      </c>
      <c r="B38" s="130" t="s">
        <v>43</v>
      </c>
      <c r="C38" s="8" t="s">
        <v>723</v>
      </c>
      <c r="D38" s="132" t="s">
        <v>27</v>
      </c>
      <c r="E38" s="132" t="s">
        <v>22</v>
      </c>
      <c r="F38" s="286" t="s">
        <v>16</v>
      </c>
      <c r="G38" s="130" t="s">
        <v>1070</v>
      </c>
      <c r="H38" s="10" t="str">
        <f>HYPERLINK("https://docs.google.com/presentation/d/1J-InIKr3zwjny5e1BtdomFutrbMoiATnlSJ-Ck3GYcc/edit#slide=id.p4","Link")</f>
        <v>Link</v>
      </c>
      <c r="I38" s="217" t="s">
        <v>70</v>
      </c>
      <c r="J38" s="224"/>
      <c r="K38" s="10" t="str">
        <f>HYPERLINK("https://docs.google.com/presentation/d/1J-InIKr3zwjny5e1BtdomFutrbMoiATnlSJ-Ck3GYcc/edit#slide=id.p4","Link")</f>
        <v>Link</v>
      </c>
      <c r="L38" s="13" t="s">
        <v>144</v>
      </c>
      <c r="M38" s="225"/>
    </row>
    <row r="39" ht="65.25" customHeight="1">
      <c r="A39" s="231">
        <v>43108.0</v>
      </c>
      <c r="B39" s="130" t="s">
        <v>43</v>
      </c>
      <c r="C39" s="8" t="s">
        <v>20</v>
      </c>
      <c r="D39" s="132" t="s">
        <v>44</v>
      </c>
      <c r="E39" s="132" t="s">
        <v>22</v>
      </c>
      <c r="F39" s="286" t="s">
        <v>16</v>
      </c>
      <c r="G39" s="130" t="s">
        <v>1071</v>
      </c>
      <c r="H39" s="10" t="str">
        <f>HYPERLINK("https://docs.google.com/presentation/d/1wwQrpcaJ7PIb6rDNdRmUX8aCDHQp3oKtrcGBwSo6KhI/edit#slide=id.p4","Link")</f>
        <v>Link</v>
      </c>
      <c r="I39" s="217" t="s">
        <v>67</v>
      </c>
      <c r="J39" s="224"/>
      <c r="K39" s="10" t="str">
        <f>HYPERLINK("https://docs.google.com/presentation/d/1wwQrpcaJ7PIb6rDNdRmUX8aCDHQp3oKtrcGBwSo6KhI/edit#slide=id.p4","Link")</f>
        <v>Link</v>
      </c>
      <c r="L39" s="13" t="s">
        <v>63</v>
      </c>
      <c r="M39" s="225"/>
    </row>
    <row r="40" ht="39.75" customHeight="1">
      <c r="A40" s="288">
        <v>43094.0</v>
      </c>
      <c r="B40" s="130" t="s">
        <v>43</v>
      </c>
      <c r="C40" s="287" t="s">
        <v>26</v>
      </c>
      <c r="D40" s="132" t="s">
        <v>27</v>
      </c>
      <c r="E40" s="9" t="s">
        <v>15</v>
      </c>
      <c r="F40" s="7" t="s">
        <v>16</v>
      </c>
      <c r="G40" s="7" t="s">
        <v>1072</v>
      </c>
      <c r="H40" s="10" t="str">
        <f>HYPERLINK("https://docs.google.com/presentation/d/1pN8pUKluVRs6vuw1LClH_rYaHBLsXoFur8YrHdY2nCY/edit#slide=id.p4","Link")</f>
        <v>Link</v>
      </c>
      <c r="I40" s="18" t="s">
        <v>66</v>
      </c>
      <c r="J40" s="18"/>
      <c r="K40" s="10" t="str">
        <f>HYPERLINK("https://docs.google.com/presentation/d/1pN8pUKluVRs6vuw1LClH_rYaHBLsXoFur8YrHdY2nCY/edit#slide=id.p4","Link")</f>
        <v>Link</v>
      </c>
      <c r="L40" s="10" t="s">
        <v>71</v>
      </c>
      <c r="M40" s="289" t="s">
        <v>1061</v>
      </c>
    </row>
    <row r="41" ht="78.0" customHeight="1">
      <c r="A41" s="288">
        <v>43054.0</v>
      </c>
      <c r="B41" s="287" t="s">
        <v>56</v>
      </c>
      <c r="C41" s="287" t="s">
        <v>49</v>
      </c>
      <c r="D41" s="132" t="s">
        <v>58</v>
      </c>
      <c r="E41" s="9" t="s">
        <v>22</v>
      </c>
      <c r="F41" s="7" t="s">
        <v>16</v>
      </c>
      <c r="G41" s="290" t="s">
        <v>1073</v>
      </c>
      <c r="H41" s="13" t="s">
        <v>97</v>
      </c>
      <c r="I41" s="18" t="s">
        <v>66</v>
      </c>
      <c r="J41" s="18"/>
      <c r="K41" s="13" t="s">
        <v>97</v>
      </c>
      <c r="L41" s="10" t="s">
        <v>71</v>
      </c>
      <c r="M41" s="289" t="s">
        <v>1061</v>
      </c>
    </row>
    <row r="42" ht="160.5" customHeight="1">
      <c r="A42" s="288">
        <v>42906.0</v>
      </c>
      <c r="B42" s="287" t="s">
        <v>56</v>
      </c>
      <c r="C42" s="287" t="s">
        <v>72</v>
      </c>
      <c r="D42" s="132" t="s">
        <v>44</v>
      </c>
      <c r="E42" s="9" t="s">
        <v>22</v>
      </c>
      <c r="F42" s="7" t="s">
        <v>16</v>
      </c>
      <c r="G42" s="7" t="s">
        <v>1074</v>
      </c>
      <c r="H42" s="10" t="str">
        <f>HYPERLINK("https://docs.google.com/presentation/d/1KrwNlCO2tUWlSwchwQ-U2_9JFvQX3OqWCoTNUlczySI/edit#slide=id.p3","link")</f>
        <v>link</v>
      </c>
      <c r="I42" s="18" t="s">
        <v>1039</v>
      </c>
      <c r="J42" s="18"/>
      <c r="K42" s="10" t="str">
        <f>HYPERLINK("https://docs.google.com/presentation/d/1KrwNlCO2tUWlSwchwQ-U2_9JFvQX3OqWCoTNUlczySI/edit#slide=id.p3","link")</f>
        <v>link</v>
      </c>
      <c r="L42" s="13" t="s">
        <v>68</v>
      </c>
      <c r="M42" s="289" t="s">
        <v>1061</v>
      </c>
    </row>
    <row r="43" ht="65.25" customHeight="1">
      <c r="A43" s="288">
        <v>43096.0</v>
      </c>
      <c r="B43" s="130" t="s">
        <v>43</v>
      </c>
      <c r="C43" s="287" t="s">
        <v>723</v>
      </c>
      <c r="D43" s="132" t="s">
        <v>58</v>
      </c>
      <c r="E43" s="9" t="s">
        <v>22</v>
      </c>
      <c r="F43" s="7" t="s">
        <v>16</v>
      </c>
      <c r="G43" s="7" t="s">
        <v>1075</v>
      </c>
      <c r="H43" s="10" t="str">
        <f>HYPERLINK("https://docs.google.com/presentation/d/1xQnNPvU5I0T4rBCu459MNd08MX6S0xK9isFRuvAoVlU/edit#slide=id.p4","Link")</f>
        <v>Link</v>
      </c>
      <c r="I43" s="18" t="s">
        <v>346</v>
      </c>
      <c r="J43" s="18"/>
      <c r="K43" s="10" t="str">
        <f>HYPERLINK("https://docs.google.com/presentation/d/1xQnNPvU5I0T4rBCu459MNd08MX6S0xK9isFRuvAoVlU/edit#slide=id.p4","Link")</f>
        <v>Link</v>
      </c>
      <c r="L43" s="13" t="s">
        <v>167</v>
      </c>
      <c r="M43" s="289" t="s">
        <v>1061</v>
      </c>
    </row>
    <row r="44" ht="65.25" customHeight="1">
      <c r="A44" s="288">
        <v>43096.0</v>
      </c>
      <c r="B44" s="130" t="s">
        <v>43</v>
      </c>
      <c r="C44" s="287" t="s">
        <v>57</v>
      </c>
      <c r="D44" s="132" t="s">
        <v>58</v>
      </c>
      <c r="E44" s="9" t="s">
        <v>22</v>
      </c>
      <c r="F44" s="7" t="s">
        <v>16</v>
      </c>
      <c r="G44" s="7" t="s">
        <v>1076</v>
      </c>
      <c r="H44" s="10" t="str">
        <f>HYPERLINK("https://docs.google.com/presentation/d/1u-SHakeq9QqXKqdUHQrqPrfpoFeZmQk6mO8vU0_hIOI/edit#slide=id.g2ddb0f2f10_0_42","Link")</f>
        <v>Link</v>
      </c>
      <c r="I44" s="18" t="s">
        <v>463</v>
      </c>
      <c r="J44" s="18"/>
      <c r="K44" s="10" t="str">
        <f>HYPERLINK("https://docs.google.com/presentation/d/1u-SHakeq9QqXKqdUHQrqPrfpoFeZmQk6mO8vU0_hIOI/edit#slide=id.g2ddb0f2f10_0_42","Link")</f>
        <v>Link</v>
      </c>
      <c r="L44" s="10" t="s">
        <v>71</v>
      </c>
      <c r="M44" s="289" t="s">
        <v>1061</v>
      </c>
    </row>
    <row r="45" ht="43.5" customHeight="1">
      <c r="A45" s="288">
        <v>43094.0</v>
      </c>
      <c r="B45" s="130" t="s">
        <v>43</v>
      </c>
      <c r="C45" s="287" t="s">
        <v>57</v>
      </c>
      <c r="D45" s="132" t="s">
        <v>58</v>
      </c>
      <c r="E45" s="9" t="s">
        <v>22</v>
      </c>
      <c r="F45" s="7" t="s">
        <v>16</v>
      </c>
      <c r="G45" s="7" t="s">
        <v>1077</v>
      </c>
      <c r="H45" s="10" t="str">
        <f>HYPERLINK("https://docs.google.com/presentation/d/10evrz2jB-jqHzIfE9kcBsSR5V8FmViyAfZECAa29mn0/edit#slide=id.g2cbf684f8f_2_35","link")</f>
        <v>link</v>
      </c>
      <c r="I45" s="18" t="s">
        <v>1042</v>
      </c>
      <c r="J45" s="18"/>
      <c r="K45" s="10" t="str">
        <f>HYPERLINK("https://docs.google.com/presentation/d/10evrz2jB-jqHzIfE9kcBsSR5V8FmViyAfZECAa29mn0/edit#slide=id.g2cbf684f8f_2_35","link")</f>
        <v>link</v>
      </c>
      <c r="L45" s="10" t="s">
        <v>71</v>
      </c>
      <c r="M45" s="289" t="s">
        <v>1061</v>
      </c>
    </row>
    <row r="46" ht="48.75" customHeight="1">
      <c r="A46" s="288">
        <v>43094.0</v>
      </c>
      <c r="B46" s="130" t="s">
        <v>43</v>
      </c>
      <c r="C46" s="287" t="s">
        <v>57</v>
      </c>
      <c r="D46" s="132" t="s">
        <v>58</v>
      </c>
      <c r="E46" s="9" t="s">
        <v>22</v>
      </c>
      <c r="F46" s="7" t="s">
        <v>16</v>
      </c>
      <c r="G46" s="7" t="s">
        <v>1078</v>
      </c>
      <c r="H46" s="10" t="str">
        <f>HYPERLINK("https://docs.google.com/presentation/d/14E9JJ6UzIEZIP8ZvodkefYIOUCFR73X0An9YoyXeebs/edit#slide=id.g2cbf684f8f_2_6","link")</f>
        <v>link</v>
      </c>
      <c r="I46" s="18" t="s">
        <v>1042</v>
      </c>
      <c r="J46" s="18"/>
      <c r="K46" s="10" t="str">
        <f>HYPERLINK("https://docs.google.com/presentation/d/14E9JJ6UzIEZIP8ZvodkefYIOUCFR73X0An9YoyXeebs/edit#slide=id.g2cbf684f8f_2_6","link")</f>
        <v>link</v>
      </c>
      <c r="L46" s="10" t="s">
        <v>71</v>
      </c>
      <c r="M46" s="18" t="s">
        <v>1063</v>
      </c>
    </row>
    <row r="47" ht="78.0" customHeight="1">
      <c r="A47" s="288">
        <v>43081.0</v>
      </c>
      <c r="B47" s="130" t="s">
        <v>43</v>
      </c>
      <c r="C47" s="287" t="s">
        <v>49</v>
      </c>
      <c r="D47" s="132" t="s">
        <v>27</v>
      </c>
      <c r="E47" s="9" t="s">
        <v>22</v>
      </c>
      <c r="F47" s="7" t="s">
        <v>16</v>
      </c>
      <c r="G47" s="7" t="s">
        <v>1079</v>
      </c>
      <c r="H47" s="10" t="str">
        <f>HYPERLINK("https://docs.google.com/presentation/d/1bY2MCM3Y_efVdM8MaobRltBDUHdOWyJWe5gNlHthojQ/edit#slide=id.g2c5ab957e0_0_41","Link")</f>
        <v>Link</v>
      </c>
      <c r="I47" s="18" t="s">
        <v>115</v>
      </c>
      <c r="J47" s="18"/>
      <c r="K47" s="10" t="str">
        <f>HYPERLINK("https://docs.google.com/presentation/d/1bY2MCM3Y_efVdM8MaobRltBDUHdOWyJWe5gNlHthojQ/edit#slide=id.g2c5ab957e0_0_41","Link")</f>
        <v>Link</v>
      </c>
      <c r="L47" s="13" t="s">
        <v>63</v>
      </c>
      <c r="M47" s="289" t="s">
        <v>1061</v>
      </c>
    </row>
    <row r="48" ht="47.25" customHeight="1">
      <c r="A48" s="288">
        <v>43073.0</v>
      </c>
      <c r="B48" s="287" t="s">
        <v>56</v>
      </c>
      <c r="C48" s="287" t="s">
        <v>723</v>
      </c>
      <c r="D48" s="132" t="s">
        <v>44</v>
      </c>
      <c r="E48" s="9" t="s">
        <v>22</v>
      </c>
      <c r="F48" s="7" t="s">
        <v>16</v>
      </c>
      <c r="G48" s="7" t="s">
        <v>1080</v>
      </c>
      <c r="H48" s="13" t="s">
        <v>97</v>
      </c>
      <c r="I48" s="7" t="s">
        <v>1039</v>
      </c>
      <c r="J48" s="7"/>
      <c r="K48" s="13" t="s">
        <v>97</v>
      </c>
      <c r="L48" s="13" t="s">
        <v>68</v>
      </c>
      <c r="M48" s="289" t="s">
        <v>1061</v>
      </c>
    </row>
    <row r="49" ht="78.0" customHeight="1">
      <c r="A49" s="288">
        <v>43061.0</v>
      </c>
      <c r="B49" s="7" t="s">
        <v>56</v>
      </c>
      <c r="C49" s="287" t="s">
        <v>26</v>
      </c>
      <c r="D49" s="132" t="s">
        <v>58</v>
      </c>
      <c r="E49" s="9" t="s">
        <v>22</v>
      </c>
      <c r="F49" s="7" t="s">
        <v>16</v>
      </c>
      <c r="G49" s="7" t="s">
        <v>1081</v>
      </c>
      <c r="H49" s="10" t="str">
        <f>HYPERLINK("https://docs.google.com/presentation/d/1Zvsgem9GOkZooilr4obeDyVhiywXh_WUNvlYrJl1YQk/edit#slide=id.p7","link")</f>
        <v>link</v>
      </c>
      <c r="I49" s="18" t="s">
        <v>66</v>
      </c>
      <c r="J49" s="18"/>
      <c r="K49" s="10" t="str">
        <f>HYPERLINK("https://docs.google.com/presentation/d/1Zvsgem9GOkZooilr4obeDyVhiywXh_WUNvlYrJl1YQk/edit#slide=id.p7","link")</f>
        <v>link</v>
      </c>
      <c r="L49" s="13" t="s">
        <v>167</v>
      </c>
      <c r="M49" s="289" t="s">
        <v>1061</v>
      </c>
    </row>
    <row r="50" ht="47.25" customHeight="1">
      <c r="A50" s="288">
        <v>43072.0</v>
      </c>
      <c r="B50" s="287" t="s">
        <v>56</v>
      </c>
      <c r="C50" s="287" t="s">
        <v>36</v>
      </c>
      <c r="D50" s="132" t="s">
        <v>14</v>
      </c>
      <c r="E50" s="9" t="s">
        <v>22</v>
      </c>
      <c r="F50" s="7" t="s">
        <v>16</v>
      </c>
      <c r="G50" s="7" t="s">
        <v>1082</v>
      </c>
      <c r="H50" s="13" t="s">
        <v>97</v>
      </c>
      <c r="I50" s="18" t="s">
        <v>463</v>
      </c>
      <c r="J50" s="18"/>
      <c r="K50" s="13" t="s">
        <v>97</v>
      </c>
      <c r="L50" s="13" t="s">
        <v>68</v>
      </c>
      <c r="M50" s="289" t="s">
        <v>1061</v>
      </c>
    </row>
    <row r="51" ht="114.75" customHeight="1">
      <c r="A51" s="288">
        <v>43066.0</v>
      </c>
      <c r="B51" s="7" t="s">
        <v>56</v>
      </c>
      <c r="C51" s="9" t="s">
        <v>76</v>
      </c>
      <c r="D51" s="132" t="s">
        <v>44</v>
      </c>
      <c r="E51" s="9" t="s">
        <v>22</v>
      </c>
      <c r="F51" s="7" t="s">
        <v>16</v>
      </c>
      <c r="G51" s="7" t="s">
        <v>1083</v>
      </c>
      <c r="H51" s="10" t="str">
        <f>HYPERLINK("https://docs.google.com/spreadsheets/d/166E5M0wq4iNxUnY46ogm6cw4hhCGDrHpLy2XqwsgLrE/edit#gid=1131761358","LINK")</f>
        <v>LINK</v>
      </c>
      <c r="I51" s="18" t="s">
        <v>79</v>
      </c>
      <c r="J51" s="18"/>
      <c r="K51" s="10" t="str">
        <f>HYPERLINK("https://docs.google.com/presentation/d/1X9rAXTixssTM4zj8f9iaQHwndiAxacxKWM83cVFKudU/edit","LINK")</f>
        <v>LINK</v>
      </c>
      <c r="L51" s="13" t="s">
        <v>167</v>
      </c>
      <c r="M51" s="289" t="s">
        <v>1061</v>
      </c>
    </row>
    <row r="52" ht="47.25" customHeight="1">
      <c r="A52" s="288">
        <v>43070.0</v>
      </c>
      <c r="B52" s="287" t="s">
        <v>56</v>
      </c>
      <c r="C52" s="287" t="s">
        <v>57</v>
      </c>
      <c r="D52" s="132" t="s">
        <v>58</v>
      </c>
      <c r="E52" s="9" t="s">
        <v>22</v>
      </c>
      <c r="F52" s="7" t="s">
        <v>16</v>
      </c>
      <c r="G52" s="7" t="s">
        <v>1084</v>
      </c>
      <c r="H52" s="13" t="s">
        <v>97</v>
      </c>
      <c r="I52" s="18" t="s">
        <v>1042</v>
      </c>
      <c r="J52" s="18"/>
      <c r="K52" s="13" t="s">
        <v>97</v>
      </c>
      <c r="L52" s="10" t="s">
        <v>71</v>
      </c>
      <c r="M52" s="289" t="s">
        <v>1061</v>
      </c>
    </row>
    <row r="53" ht="48.0" customHeight="1">
      <c r="A53" s="288">
        <v>43094.0</v>
      </c>
      <c r="B53" s="130" t="s">
        <v>43</v>
      </c>
      <c r="C53" s="287" t="s">
        <v>57</v>
      </c>
      <c r="D53" s="132" t="s">
        <v>89</v>
      </c>
      <c r="E53" s="9" t="s">
        <v>22</v>
      </c>
      <c r="F53" s="7" t="s">
        <v>16</v>
      </c>
      <c r="G53" s="7" t="s">
        <v>1085</v>
      </c>
      <c r="H53" s="10" t="str">
        <f>HYPERLINK("https://docs.google.com/presentation/d/1aaYs4eClhRal57bZ4UTIGEXGBAU6csRAAIlxKA-wcco/edit#slide=id.p4","Link")</f>
        <v>Link</v>
      </c>
      <c r="I53" s="18" t="s">
        <v>127</v>
      </c>
      <c r="J53" s="18"/>
      <c r="K53" s="10" t="str">
        <f>HYPERLINK("https://docs.google.com/presentation/d/1aaYs4eClhRal57bZ4UTIGEXGBAU6csRAAIlxKA-wcco/edit#slide=id.p4","Link")</f>
        <v>Link</v>
      </c>
      <c r="L53" s="13" t="s">
        <v>144</v>
      </c>
      <c r="M53" s="289" t="s">
        <v>1061</v>
      </c>
    </row>
    <row r="54" ht="65.25" customHeight="1">
      <c r="A54" s="288">
        <v>43098.0</v>
      </c>
      <c r="B54" s="130" t="s">
        <v>43</v>
      </c>
      <c r="C54" s="287" t="s">
        <v>26</v>
      </c>
      <c r="D54" s="132" t="s">
        <v>14</v>
      </c>
      <c r="E54" s="9" t="s">
        <v>22</v>
      </c>
      <c r="F54" s="7" t="s">
        <v>16</v>
      </c>
      <c r="G54" s="7" t="s">
        <v>1086</v>
      </c>
      <c r="H54" s="10" t="str">
        <f>HYPERLINK("https://docs.google.com/presentation/d/1zE2GIQy4colfeqQhFOWZwijL8ZMwU1oZt7WejZohvdQ/edit#slide=id.g2bd749e857_0_17","link")</f>
        <v>link</v>
      </c>
      <c r="I54" s="18" t="s">
        <v>66</v>
      </c>
      <c r="J54" s="18"/>
      <c r="K54" s="10" t="str">
        <f>HYPERLINK("https://docs.google.com/presentation/d/1zE2GIQy4colfeqQhFOWZwijL8ZMwU1oZt7WejZohvdQ/edit#slide=id.g2bd749e857_0_17","link")</f>
        <v>link</v>
      </c>
      <c r="L54" s="13" t="s">
        <v>63</v>
      </c>
      <c r="M54" s="225"/>
    </row>
    <row r="55" ht="78.0" customHeight="1">
      <c r="A55" s="288">
        <v>43054.0</v>
      </c>
      <c r="B55" s="7" t="s">
        <v>56</v>
      </c>
      <c r="C55" s="9" t="s">
        <v>36</v>
      </c>
      <c r="D55" s="132" t="s">
        <v>58</v>
      </c>
      <c r="E55" s="9" t="s">
        <v>15</v>
      </c>
      <c r="F55" s="7" t="s">
        <v>16</v>
      </c>
      <c r="G55" s="7" t="s">
        <v>1087</v>
      </c>
      <c r="H55" s="10" t="str">
        <f>HYPERLINK("https://docs.google.com/presentation/d/1ivbWQ_Zm3jw3PnVhaLt4WTxdHr_WAxO6ISZFxQTD_Z0/edit#slide=id.p4","Link")</f>
        <v>Link</v>
      </c>
      <c r="I55" s="18" t="s">
        <v>463</v>
      </c>
      <c r="J55" s="18"/>
      <c r="K55" s="10" t="str">
        <f>HYPERLINK("https://docs.google.com/presentation/d/1ivbWQ_Zm3jw3PnVhaLt4WTxdHr_WAxO6ISZFxQTD_Z0/edit#slide=id.p4","Link")</f>
        <v>Link</v>
      </c>
      <c r="L55" s="13" t="s">
        <v>68</v>
      </c>
      <c r="M55" s="289" t="s">
        <v>1061</v>
      </c>
    </row>
    <row r="56" ht="78.0" customHeight="1">
      <c r="A56" s="15">
        <v>43048.0</v>
      </c>
      <c r="B56" s="130" t="s">
        <v>43</v>
      </c>
      <c r="C56" s="9" t="s">
        <v>49</v>
      </c>
      <c r="D56" s="132" t="s">
        <v>44</v>
      </c>
      <c r="E56" s="9" t="s">
        <v>15</v>
      </c>
      <c r="F56" s="7" t="s">
        <v>16</v>
      </c>
      <c r="G56" s="7" t="s">
        <v>1088</v>
      </c>
      <c r="H56" s="10" t="str">
        <f>HYPERLINK("https://docs.google.com/presentation/d/1ESzr4t8IqPfHG_eazgGpysn2UyTp9SGaPTxnCDzJ0yQ/edit#slide=id.g2ad98705ec_1_0","Link")</f>
        <v>Link</v>
      </c>
      <c r="I56" s="7" t="s">
        <v>1089</v>
      </c>
      <c r="J56" s="7"/>
      <c r="K56" s="10" t="str">
        <f>HYPERLINK("https://docs.google.com/presentation/d/1ESzr4t8IqPfHG_eazgGpysn2UyTp9SGaPTxnCDzJ0yQ/edit#slide=id.g2ad98705ec_1_0","Link")</f>
        <v>Link</v>
      </c>
      <c r="L56" s="13" t="s">
        <v>63</v>
      </c>
      <c r="M56" s="289" t="s">
        <v>1061</v>
      </c>
    </row>
    <row r="57" ht="96.0" customHeight="1">
      <c r="A57" s="288">
        <v>43066.0</v>
      </c>
      <c r="B57" s="7" t="s">
        <v>56</v>
      </c>
      <c r="C57" s="9" t="s">
        <v>57</v>
      </c>
      <c r="D57" s="132" t="s">
        <v>58</v>
      </c>
      <c r="E57" s="9" t="s">
        <v>15</v>
      </c>
      <c r="F57" s="7" t="s">
        <v>16</v>
      </c>
      <c r="G57" s="7" t="s">
        <v>1090</v>
      </c>
      <c r="H57" s="13"/>
      <c r="I57" s="18" t="s">
        <v>1042</v>
      </c>
      <c r="J57" s="18"/>
      <c r="K57" s="13"/>
      <c r="L57" s="13" t="s">
        <v>144</v>
      </c>
      <c r="M57" s="289" t="s">
        <v>1061</v>
      </c>
    </row>
    <row r="58" ht="78.0" customHeight="1">
      <c r="A58" s="288">
        <v>43052.0</v>
      </c>
      <c r="B58" s="287" t="s">
        <v>56</v>
      </c>
      <c r="C58" s="287" t="s">
        <v>26</v>
      </c>
      <c r="D58" s="132" t="s">
        <v>58</v>
      </c>
      <c r="E58" s="9" t="s">
        <v>22</v>
      </c>
      <c r="F58" s="7" t="s">
        <v>16</v>
      </c>
      <c r="G58" s="290" t="s">
        <v>1091</v>
      </c>
      <c r="H58" s="10" t="str">
        <f>HYPERLINK("https://docs.google.com/presentation/d/16Mmio0zLCBysu62CWVZThtgKDdt2uK8viSLxfvqiUVc/edit#slide=id.p16","Link")</f>
        <v>Link</v>
      </c>
      <c r="I58" s="18" t="s">
        <v>66</v>
      </c>
      <c r="J58" s="18"/>
      <c r="K58" s="10" t="str">
        <f>HYPERLINK("https://docs.google.com/presentation/d/16Mmio0zLCBysu62CWVZThtgKDdt2uK8viSLxfvqiUVc/edit#slide=id.p16","Link")</f>
        <v>Link</v>
      </c>
      <c r="L58" s="10" t="s">
        <v>71</v>
      </c>
      <c r="M58" s="289" t="s">
        <v>1061</v>
      </c>
    </row>
    <row r="59" ht="65.25" customHeight="1">
      <c r="A59" s="288">
        <v>43061.0</v>
      </c>
      <c r="B59" s="287" t="s">
        <v>56</v>
      </c>
      <c r="C59" s="287" t="s">
        <v>83</v>
      </c>
      <c r="D59" s="132" t="s">
        <v>27</v>
      </c>
      <c r="E59" s="9" t="s">
        <v>15</v>
      </c>
      <c r="F59" s="7" t="s">
        <v>16</v>
      </c>
      <c r="G59" s="7" t="s">
        <v>1092</v>
      </c>
      <c r="H59" s="13"/>
      <c r="I59" s="18" t="s">
        <v>1039</v>
      </c>
      <c r="J59" s="18"/>
      <c r="K59" s="13"/>
      <c r="L59" s="13" t="s">
        <v>144</v>
      </c>
      <c r="M59" s="289" t="s">
        <v>1061</v>
      </c>
    </row>
    <row r="60" ht="77.25" customHeight="1">
      <c r="A60" s="288">
        <v>43052.0</v>
      </c>
      <c r="B60" s="287" t="s">
        <v>56</v>
      </c>
      <c r="C60" s="287" t="s">
        <v>36</v>
      </c>
      <c r="D60" s="132" t="s">
        <v>58</v>
      </c>
      <c r="E60" s="9" t="s">
        <v>22</v>
      </c>
      <c r="F60" s="7" t="s">
        <v>16</v>
      </c>
      <c r="G60" s="290" t="s">
        <v>1093</v>
      </c>
      <c r="H60" s="10" t="str">
        <f>HYPERLINK("https://docs.google.com/presentation/d/16Mmio0zLCBysu62CWVZThtgKDdt2uK8viSLxfvqiUVc/edit#slide=id.p17","Link")</f>
        <v>Link</v>
      </c>
      <c r="I60" s="18" t="s">
        <v>463</v>
      </c>
      <c r="J60" s="18"/>
      <c r="K60" s="10" t="str">
        <f>HYPERLINK("https://docs.google.com/presentation/d/16Mmio0zLCBysu62CWVZThtgKDdt2uK8viSLxfvqiUVc/edit#slide=id.p17","Link")</f>
        <v>Link</v>
      </c>
      <c r="L60" s="10" t="s">
        <v>71</v>
      </c>
      <c r="M60" s="289" t="s">
        <v>1061</v>
      </c>
    </row>
    <row r="61" ht="51.75" customHeight="1">
      <c r="A61" s="288">
        <v>43049.0</v>
      </c>
      <c r="B61" s="287" t="s">
        <v>56</v>
      </c>
      <c r="C61" s="287" t="s">
        <v>76</v>
      </c>
      <c r="D61" s="132" t="s">
        <v>77</v>
      </c>
      <c r="E61" s="9" t="s">
        <v>15</v>
      </c>
      <c r="F61" s="7" t="s">
        <v>16</v>
      </c>
      <c r="G61" s="290" t="s">
        <v>1094</v>
      </c>
      <c r="H61" s="10" t="str">
        <f>HYPERLINK("https://docs.google.com/presentation/d/1KwKvLTrxlNIjoGEpXVMgGaiaSVw6jIpS8QVXhhfc6yU/edit","Link")</f>
        <v>Link</v>
      </c>
      <c r="I61" s="18" t="s">
        <v>79</v>
      </c>
      <c r="J61" s="18"/>
      <c r="K61" s="10" t="str">
        <f>HYPERLINK("https://docs.google.com/presentation/d/1KwKvLTrxlNIjoGEpXVMgGaiaSVw6jIpS8QVXhhfc6yU/edit","Link")</f>
        <v>Link</v>
      </c>
      <c r="L61" s="10" t="s">
        <v>71</v>
      </c>
      <c r="M61" s="289" t="s">
        <v>1061</v>
      </c>
    </row>
    <row r="62" ht="48.0" customHeight="1">
      <c r="A62" s="15">
        <v>43048.0</v>
      </c>
      <c r="B62" s="287" t="s">
        <v>56</v>
      </c>
      <c r="C62" s="9" t="s">
        <v>30</v>
      </c>
      <c r="D62" s="132" t="s">
        <v>44</v>
      </c>
      <c r="E62" s="9" t="s">
        <v>22</v>
      </c>
      <c r="F62" s="7" t="s">
        <v>16</v>
      </c>
      <c r="G62" s="7" t="s">
        <v>1095</v>
      </c>
      <c r="H62" s="10" t="str">
        <f>HYPERLINK("https://docs.google.com/presentation/d/1Q0WRhPBPuD4-vffDwDXYp7WIQkc1WT92ldGgnrRZtoA/edit#slide=id.p","link")</f>
        <v>link</v>
      </c>
      <c r="I62" s="18" t="s">
        <v>127</v>
      </c>
      <c r="J62" s="18"/>
      <c r="K62" s="10" t="str">
        <f>HYPERLINK("https://docs.google.com/presentation/d/1Q0WRhPBPuD4-vffDwDXYp7WIQkc1WT92ldGgnrRZtoA/edit#slide=id.p","link")</f>
        <v>link</v>
      </c>
      <c r="L62" s="10" t="s">
        <v>71</v>
      </c>
      <c r="M62" s="289" t="s">
        <v>1061</v>
      </c>
    </row>
    <row r="63" ht="54.0" customHeight="1">
      <c r="A63" s="288">
        <v>43047.0</v>
      </c>
      <c r="B63" s="287" t="s">
        <v>56</v>
      </c>
      <c r="C63" s="287" t="s">
        <v>72</v>
      </c>
      <c r="D63" s="132" t="s">
        <v>44</v>
      </c>
      <c r="E63" s="9" t="s">
        <v>22</v>
      </c>
      <c r="F63" s="7" t="s">
        <v>16</v>
      </c>
      <c r="G63" s="7" t="s">
        <v>1096</v>
      </c>
      <c r="H63" s="13"/>
      <c r="I63" s="18" t="s">
        <v>79</v>
      </c>
      <c r="J63" s="18"/>
      <c r="K63" s="13"/>
      <c r="L63" s="13" t="s">
        <v>68</v>
      </c>
      <c r="M63" s="289" t="s">
        <v>1061</v>
      </c>
    </row>
    <row r="64" ht="139.5" customHeight="1">
      <c r="A64" s="288">
        <v>43031.0</v>
      </c>
      <c r="B64" s="287" t="s">
        <v>56</v>
      </c>
      <c r="C64" s="287" t="s">
        <v>723</v>
      </c>
      <c r="D64" s="132" t="s">
        <v>44</v>
      </c>
      <c r="E64" s="9" t="s">
        <v>22</v>
      </c>
      <c r="F64" s="7" t="s">
        <v>16</v>
      </c>
      <c r="G64" s="7" t="s">
        <v>1097</v>
      </c>
      <c r="H64" s="10" t="str">
        <f>HYPERLINK("https://docs.google.com/presentation/d/1IgIghXJIwEc1I2wUy3AwLubFS4spFEYJIVeiydGnkXU/edit#slide=id.g28312fdfe2_0_0","Link")</f>
        <v>Link</v>
      </c>
      <c r="I64" s="18" t="s">
        <v>70</v>
      </c>
      <c r="J64" s="18"/>
      <c r="K64" s="10" t="str">
        <f>HYPERLINK("https://docs.google.com/presentation/d/1IgIghXJIwEc1I2wUy3AwLubFS4spFEYJIVeiydGnkXU/edit#slide=id.g28312fdfe2_0_0","Link")</f>
        <v>Link</v>
      </c>
      <c r="L64" s="13" t="s">
        <v>63</v>
      </c>
      <c r="M64" s="289" t="s">
        <v>1061</v>
      </c>
    </row>
    <row r="65" ht="78.0" customHeight="1">
      <c r="A65" s="288">
        <v>43090.0</v>
      </c>
      <c r="B65" s="130" t="s">
        <v>43</v>
      </c>
      <c r="C65" s="287" t="s">
        <v>36</v>
      </c>
      <c r="D65" s="132" t="s">
        <v>58</v>
      </c>
      <c r="E65" s="9" t="s">
        <v>22</v>
      </c>
      <c r="F65" s="7" t="s">
        <v>16</v>
      </c>
      <c r="G65" s="7" t="s">
        <v>1098</v>
      </c>
      <c r="H65" s="13" t="s">
        <v>61</v>
      </c>
      <c r="I65" s="18" t="s">
        <v>70</v>
      </c>
      <c r="J65" s="18"/>
      <c r="K65" s="13" t="s">
        <v>61</v>
      </c>
      <c r="L65" s="13" t="s">
        <v>68</v>
      </c>
      <c r="M65" s="289" t="s">
        <v>1061</v>
      </c>
    </row>
    <row r="66" ht="78.0" customHeight="1">
      <c r="A66" s="288">
        <v>43085.0</v>
      </c>
      <c r="B66" s="130" t="s">
        <v>43</v>
      </c>
      <c r="C66" s="287" t="s">
        <v>723</v>
      </c>
      <c r="D66" s="132" t="s">
        <v>27</v>
      </c>
      <c r="E66" s="9" t="s">
        <v>22</v>
      </c>
      <c r="F66" s="7" t="s">
        <v>16</v>
      </c>
      <c r="G66" s="7" t="s">
        <v>1099</v>
      </c>
      <c r="H66" s="10" t="str">
        <f>HYPERLINK("https://docs.google.com/presentation/d/1I96rSQ2u33uNGAY7CM7BrYmFOSMud4ZW2qxRULtMUlE/edit#slide=id.p4","Link")</f>
        <v>Link</v>
      </c>
      <c r="I66" s="18" t="s">
        <v>70</v>
      </c>
      <c r="J66" s="18"/>
      <c r="K66" s="10" t="str">
        <f>HYPERLINK("https://docs.google.com/presentation/d/1I96rSQ2u33uNGAY7CM7BrYmFOSMud4ZW2qxRULtMUlE/edit#slide=id.p4","Link")</f>
        <v>Link</v>
      </c>
      <c r="L66" s="10" t="s">
        <v>71</v>
      </c>
      <c r="M66" s="289" t="s">
        <v>1061</v>
      </c>
    </row>
    <row r="67" ht="47.25" customHeight="1">
      <c r="A67" s="288">
        <v>43035.0</v>
      </c>
      <c r="B67" s="287" t="s">
        <v>56</v>
      </c>
      <c r="C67" s="287" t="s">
        <v>20</v>
      </c>
      <c r="D67" s="132" t="s">
        <v>44</v>
      </c>
      <c r="E67" s="9" t="s">
        <v>22</v>
      </c>
      <c r="F67" s="7" t="s">
        <v>16</v>
      </c>
      <c r="G67" s="7" t="s">
        <v>1100</v>
      </c>
      <c r="H67" s="10" t="str">
        <f>HYPERLINK("https://docs.google.com/presentation/d/10UHe0LNHZN5MjF_P8lJTQirheO-E6bL6TJLQEGoXrHM/edit#slide=id.g290b7b6e26_0_0","Link")</f>
        <v>Link</v>
      </c>
      <c r="I67" s="18" t="s">
        <v>70</v>
      </c>
      <c r="J67" s="18"/>
      <c r="K67" s="10" t="str">
        <f>HYPERLINK("https://docs.google.com/presentation/d/10UHe0LNHZN5MjF_P8lJTQirheO-E6bL6TJLQEGoXrHM/edit#slide=id.g290b7b6e26_0_0","Link")</f>
        <v>Link</v>
      </c>
      <c r="L67" s="10" t="s">
        <v>71</v>
      </c>
      <c r="M67" s="289" t="s">
        <v>1061</v>
      </c>
    </row>
    <row r="68" ht="47.25" customHeight="1">
      <c r="A68" s="288">
        <v>43020.0</v>
      </c>
      <c r="B68" s="287" t="s">
        <v>56</v>
      </c>
      <c r="C68" s="287" t="s">
        <v>13</v>
      </c>
      <c r="D68" s="132" t="s">
        <v>77</v>
      </c>
      <c r="E68" s="9" t="s">
        <v>22</v>
      </c>
      <c r="F68" s="7" t="s">
        <v>16</v>
      </c>
      <c r="G68" s="7" t="s">
        <v>1101</v>
      </c>
      <c r="H68" s="13"/>
      <c r="I68" s="18" t="s">
        <v>79</v>
      </c>
      <c r="J68" s="18"/>
      <c r="K68" s="13"/>
      <c r="L68" s="10" t="s">
        <v>71</v>
      </c>
      <c r="M68" s="289" t="s">
        <v>1061</v>
      </c>
    </row>
    <row r="69" ht="75.75" customHeight="1">
      <c r="A69" s="288">
        <v>43020.0</v>
      </c>
      <c r="B69" s="287" t="s">
        <v>56</v>
      </c>
      <c r="C69" s="287" t="s">
        <v>49</v>
      </c>
      <c r="D69" s="132" t="s">
        <v>27</v>
      </c>
      <c r="E69" s="9" t="s">
        <v>22</v>
      </c>
      <c r="F69" s="7" t="s">
        <v>16</v>
      </c>
      <c r="G69" s="7" t="s">
        <v>1102</v>
      </c>
      <c r="H69" s="10" t="str">
        <f>HYPERLINK("https://docs.google.com/presentation/d/1YyfF9ItXTDd6-rw4LMMZP0e-_PNigNDVvKDUw0tRolc/edit?ts=59e47731#slide=id.g26fd2e2b75_0_32","Link")</f>
        <v>Link</v>
      </c>
      <c r="I69" s="18" t="s">
        <v>79</v>
      </c>
      <c r="J69" s="18"/>
      <c r="K69" s="10" t="str">
        <f>HYPERLINK("https://docs.google.com/presentation/d/1YyfF9ItXTDd6-rw4LMMZP0e-_PNigNDVvKDUw0tRolc/edit?ts=59e47731#slide=id.g26fd2e2b75_0_32","Link")</f>
        <v>Link</v>
      </c>
      <c r="L69" s="13" t="s">
        <v>144</v>
      </c>
      <c r="M69" s="289" t="s">
        <v>1061</v>
      </c>
    </row>
    <row r="70" ht="47.25" customHeight="1">
      <c r="A70" s="288">
        <v>42902.0</v>
      </c>
      <c r="B70" s="287" t="s">
        <v>75</v>
      </c>
      <c r="C70" s="287" t="s">
        <v>723</v>
      </c>
      <c r="D70" s="132" t="s">
        <v>44</v>
      </c>
      <c r="E70" s="9" t="s">
        <v>22</v>
      </c>
      <c r="F70" s="7" t="s">
        <v>16</v>
      </c>
      <c r="G70" s="7" t="s">
        <v>1103</v>
      </c>
      <c r="H70" s="10" t="str">
        <f>HYPERLINK("https://docs.google.com/spreadsheets/d/1wAFHFR_aVAemTpGsTPEEo-R3j7heufDEnBwT0a8Nf0g/edit#gid=0","Link")</f>
        <v>Link</v>
      </c>
      <c r="I70" s="18" t="s">
        <v>70</v>
      </c>
      <c r="J70" s="18"/>
      <c r="K70" s="10" t="str">
        <f>HYPERLINK("https://docs.google.com/spreadsheets/d/1wAFHFR_aVAemTpGsTPEEo-R3j7heufDEnBwT0a8Nf0g/edit#gid=0","Link")</f>
        <v>Link</v>
      </c>
      <c r="L70" s="13" t="s">
        <v>63</v>
      </c>
      <c r="M70" s="289" t="s">
        <v>1061</v>
      </c>
    </row>
    <row r="71" ht="24.0" customHeight="1">
      <c r="A71" s="288">
        <v>42902.0</v>
      </c>
      <c r="B71" s="287" t="s">
        <v>327</v>
      </c>
      <c r="C71" s="287" t="s">
        <v>49</v>
      </c>
      <c r="D71" s="132" t="s">
        <v>44</v>
      </c>
      <c r="E71" s="9" t="s">
        <v>15</v>
      </c>
      <c r="F71" s="287" t="s">
        <v>16</v>
      </c>
      <c r="G71" s="7" t="s">
        <v>1104</v>
      </c>
      <c r="H71" s="10" t="str">
        <f>HYPERLINK("https://docs.google.com/presentation/d/1KpUPYvpP0OO0LSYOG88E_EmQNByZHbCJmFdrctYBd6E/edit#slide=id.g22fc821ff3_0_9","link")</f>
        <v>link</v>
      </c>
      <c r="I71" s="18" t="s">
        <v>115</v>
      </c>
      <c r="J71" s="18"/>
      <c r="K71" s="10" t="str">
        <f>HYPERLINK("https://docs.google.com/presentation/d/1KpUPYvpP0OO0LSYOG88E_EmQNByZHbCJmFdrctYBd6E/edit#slide=id.g22fc821ff3_0_9","link")</f>
        <v>link</v>
      </c>
      <c r="L71" s="13" t="s">
        <v>68</v>
      </c>
      <c r="M71" s="289" t="s">
        <v>1061</v>
      </c>
    </row>
    <row r="72" ht="27.75" customHeight="1">
      <c r="A72" s="288">
        <v>42941.0</v>
      </c>
      <c r="B72" s="287" t="s">
        <v>327</v>
      </c>
      <c r="C72" s="287" t="s">
        <v>36</v>
      </c>
      <c r="D72" s="132" t="s">
        <v>44</v>
      </c>
      <c r="E72" s="9" t="s">
        <v>15</v>
      </c>
      <c r="F72" s="287" t="s">
        <v>16</v>
      </c>
      <c r="G72" s="7" t="s">
        <v>1105</v>
      </c>
      <c r="H72" s="13"/>
      <c r="I72" s="7" t="s">
        <v>1042</v>
      </c>
      <c r="J72" s="7"/>
      <c r="K72" s="13"/>
      <c r="L72" s="13" t="s">
        <v>63</v>
      </c>
      <c r="M72" s="289" t="s">
        <v>1061</v>
      </c>
    </row>
    <row r="73" ht="27.75" customHeight="1">
      <c r="A73" s="15">
        <v>42962.0</v>
      </c>
      <c r="B73" s="287" t="s">
        <v>75</v>
      </c>
      <c r="C73" s="287" t="s">
        <v>83</v>
      </c>
      <c r="D73" s="132" t="s">
        <v>44</v>
      </c>
      <c r="E73" s="9" t="s">
        <v>15</v>
      </c>
      <c r="F73" s="7" t="s">
        <v>16</v>
      </c>
      <c r="G73" s="7" t="s">
        <v>1106</v>
      </c>
      <c r="H73" s="10" t="str">
        <f>HYPERLINK("https://docs.google.com/presentation/d/12geSoMFdynOyB19lYvnxsl5P9FXSbCADZy4b2-zAeKM/edit#slide=id.g1fbb805589_0_29","Link")</f>
        <v>Link</v>
      </c>
      <c r="I73" s="18" t="s">
        <v>1039</v>
      </c>
      <c r="J73" s="18"/>
      <c r="K73" s="10" t="str">
        <f>HYPERLINK("https://docs.google.com/presentation/d/12geSoMFdynOyB19lYvnxsl5P9FXSbCADZy4b2-zAeKM/edit#slide=id.g1fbb805589_0_29","Link")</f>
        <v>Link</v>
      </c>
      <c r="L73" s="13" t="s">
        <v>68</v>
      </c>
      <c r="M73" s="289" t="s">
        <v>1061</v>
      </c>
    </row>
    <row r="74" ht="60.75" customHeight="1">
      <c r="A74" s="15">
        <v>42948.0</v>
      </c>
      <c r="B74" s="287" t="s">
        <v>385</v>
      </c>
      <c r="C74" s="287" t="s">
        <v>83</v>
      </c>
      <c r="D74" s="132" t="s">
        <v>44</v>
      </c>
      <c r="E74" s="9" t="s">
        <v>64</v>
      </c>
      <c r="F74" s="7" t="s">
        <v>16</v>
      </c>
      <c r="G74" s="7" t="s">
        <v>1107</v>
      </c>
      <c r="H74" s="10" t="str">
        <f>HYPERLINK("https://docs.google.com/presentation/d/1E9xvwl66WUT2jS1zaoeHLNLtcpDH0MJEDqslGnHxLck/edit#slide=id.p4","Link")</f>
        <v>Link</v>
      </c>
      <c r="I74" s="7" t="s">
        <v>1039</v>
      </c>
      <c r="J74" s="7"/>
      <c r="K74" s="10" t="str">
        <f>HYPERLINK("https://docs.google.com/presentation/d/1E9xvwl66WUT2jS1zaoeHLNLtcpDH0MJEDqslGnHxLck/edit#slide=id.p4","Link")</f>
        <v>Link</v>
      </c>
      <c r="L74" s="13" t="s">
        <v>68</v>
      </c>
      <c r="M74" s="289" t="s">
        <v>1061</v>
      </c>
    </row>
    <row r="75" ht="47.25" customHeight="1">
      <c r="A75" s="288">
        <v>42906.0</v>
      </c>
      <c r="B75" s="287" t="s">
        <v>385</v>
      </c>
      <c r="C75" s="287" t="s">
        <v>33</v>
      </c>
      <c r="D75" s="132" t="s">
        <v>44</v>
      </c>
      <c r="E75" s="9" t="s">
        <v>22</v>
      </c>
      <c r="F75" s="7" t="s">
        <v>16</v>
      </c>
      <c r="G75" s="7" t="s">
        <v>1108</v>
      </c>
      <c r="H75" s="10" t="str">
        <f>HYPERLINK("https://docs.google.com/presentation/d/1ybRNNomrYTIbVR9XwEhmmaQ-WsR56RC1an00e2RtSUE/edit#slide=id.g23a109ffb8_0_9","link")</f>
        <v>link</v>
      </c>
      <c r="I75" s="18" t="s">
        <v>463</v>
      </c>
      <c r="J75" s="18"/>
      <c r="K75" s="10" t="str">
        <f>HYPERLINK("https://docs.google.com/presentation/d/1ybRNNomrYTIbVR9XwEhmmaQ-WsR56RC1an00e2RtSUE/edit#slide=id.g23a109ffb8_0_9","link")</f>
        <v>link</v>
      </c>
      <c r="L75" s="13" t="s">
        <v>68</v>
      </c>
      <c r="M75" s="289" t="s">
        <v>1061</v>
      </c>
    </row>
    <row r="76" ht="47.25" customHeight="1">
      <c r="A76" s="288"/>
      <c r="B76" s="287" t="s">
        <v>385</v>
      </c>
      <c r="C76" s="287" t="s">
        <v>26</v>
      </c>
      <c r="D76" s="132" t="s">
        <v>44</v>
      </c>
      <c r="E76" s="9" t="s">
        <v>46</v>
      </c>
      <c r="F76" s="7" t="s">
        <v>16</v>
      </c>
      <c r="G76" s="291" t="s">
        <v>1109</v>
      </c>
      <c r="H76" s="10" t="str">
        <f>HYPERLINK("https://docs.google.com/presentation/d/1IT8xYB3Slbv5g0e-_T86VeuIEsteVPCHqHNoMQSC4og/edit#slide=id.g1fe55bbec1_3_0","Link")</f>
        <v>Link</v>
      </c>
      <c r="I76" s="18" t="s">
        <v>1055</v>
      </c>
      <c r="J76" s="18"/>
      <c r="K76" s="10" t="str">
        <f>HYPERLINK("https://docs.google.com/presentation/d/1IT8xYB3Slbv5g0e-_T86VeuIEsteVPCHqHNoMQSC4og/edit#slide=id.g1fe55bbec1_3_0","Link")</f>
        <v>Link</v>
      </c>
      <c r="L76" s="13" t="s">
        <v>167</v>
      </c>
      <c r="M76" s="289" t="s">
        <v>1061</v>
      </c>
    </row>
    <row r="77" ht="47.25" customHeight="1">
      <c r="A77" s="288">
        <v>42975.0</v>
      </c>
      <c r="B77" s="287" t="s">
        <v>75</v>
      </c>
      <c r="C77" s="287" t="s">
        <v>26</v>
      </c>
      <c r="D77" s="132" t="s">
        <v>44</v>
      </c>
      <c r="E77" s="9" t="s">
        <v>46</v>
      </c>
      <c r="F77" s="7" t="s">
        <v>16</v>
      </c>
      <c r="G77" s="7" t="s">
        <v>1110</v>
      </c>
      <c r="H77" s="10" t="str">
        <f>HYPERLINK("https://docs.google.com/presentation/d/1IT8xYB3Slbv5g0e-_T86VeuIEsteVPCHqHNoMQSC4og/edit#slide=id.g247e667321_2_56","Link")</f>
        <v>Link</v>
      </c>
      <c r="I77" s="18" t="s">
        <v>66</v>
      </c>
      <c r="J77" s="18"/>
      <c r="K77" s="10" t="str">
        <f>HYPERLINK("https://docs.google.com/presentation/d/1IT8xYB3Slbv5g0e-_T86VeuIEsteVPCHqHNoMQSC4og/edit#slide=id.g247e667321_2_56","Link")</f>
        <v>Link</v>
      </c>
      <c r="L77" s="13" t="s">
        <v>63</v>
      </c>
      <c r="M77" s="289" t="s">
        <v>1061</v>
      </c>
    </row>
    <row r="78" ht="27.75" customHeight="1">
      <c r="A78" s="288">
        <v>42902.0</v>
      </c>
      <c r="B78" s="287" t="s">
        <v>385</v>
      </c>
      <c r="C78" s="287" t="s">
        <v>723</v>
      </c>
      <c r="D78" s="132" t="s">
        <v>44</v>
      </c>
      <c r="E78" s="9" t="s">
        <v>15</v>
      </c>
      <c r="F78" s="287" t="s">
        <v>16</v>
      </c>
      <c r="G78" s="7" t="s">
        <v>1111</v>
      </c>
      <c r="H78" s="10" t="str">
        <f>HYPERLINK("https://docs.google.com/presentation/d/1D2hWaeaFTbMvMcVkR3zab2ZBX2BEduNoV6n4SN4jm_Y/edit#slide=id.g23e6c1c088_0_0","here")</f>
        <v>here</v>
      </c>
      <c r="I78" s="18" t="s">
        <v>70</v>
      </c>
      <c r="J78" s="18"/>
      <c r="K78" s="10" t="str">
        <f>HYPERLINK("https://docs.google.com/presentation/d/1D2hWaeaFTbMvMcVkR3zab2ZBX2BEduNoV6n4SN4jm_Y/edit#slide=id.g23e6c1c088_0_0","here")</f>
        <v>here</v>
      </c>
      <c r="L78" s="13" t="s">
        <v>68</v>
      </c>
      <c r="M78" s="289" t="s">
        <v>1061</v>
      </c>
    </row>
    <row r="79" ht="27.75" customHeight="1">
      <c r="A79" s="288">
        <v>42919.0</v>
      </c>
      <c r="B79" s="287" t="s">
        <v>385</v>
      </c>
      <c r="C79" s="287" t="s">
        <v>83</v>
      </c>
      <c r="D79" s="132" t="s">
        <v>44</v>
      </c>
      <c r="E79" s="9" t="s">
        <v>15</v>
      </c>
      <c r="F79" s="287" t="s">
        <v>16</v>
      </c>
      <c r="G79" s="7" t="s">
        <v>1112</v>
      </c>
      <c r="H79" s="10" t="str">
        <f>HYPERLINK("https://docs.google.com/presentation/d/1GOedC4IFa2cQq26eokvX0K2McbJTdQCLcsNywXXE6LQ/edit#slide=id.g2398735388_0_719","link")</f>
        <v>link</v>
      </c>
      <c r="I79" s="18" t="s">
        <v>1039</v>
      </c>
      <c r="J79" s="18"/>
      <c r="K79" s="10" t="str">
        <f>HYPERLINK("https://docs.google.com/presentation/d/1GOedC4IFa2cQq26eokvX0K2McbJTdQCLcsNywXXE6LQ/edit#slide=id.g2398735388_0_719","link")</f>
        <v>link</v>
      </c>
      <c r="L79" s="13" t="s">
        <v>68</v>
      </c>
      <c r="M79" s="289" t="s">
        <v>1061</v>
      </c>
    </row>
    <row r="80" ht="36.0" customHeight="1">
      <c r="A80" s="288">
        <v>42902.0</v>
      </c>
      <c r="B80" s="287" t="s">
        <v>385</v>
      </c>
      <c r="C80" s="287" t="s">
        <v>49</v>
      </c>
      <c r="D80" s="132" t="s">
        <v>44</v>
      </c>
      <c r="E80" s="9" t="s">
        <v>22</v>
      </c>
      <c r="F80" s="7" t="s">
        <v>16</v>
      </c>
      <c r="G80" s="7" t="s">
        <v>1113</v>
      </c>
      <c r="H80" s="10" t="str">
        <f>HYPERLINK("https://docs.google.com/presentation/d/1KpUPYvpP0OO0LSYOG88E_EmQNByZHbCJmFdrctYBd6E/edit#slide=id.g217a9aa1c2_0_32","link")</f>
        <v>link</v>
      </c>
      <c r="I80" s="18" t="s">
        <v>115</v>
      </c>
      <c r="J80" s="18"/>
      <c r="K80" s="10" t="str">
        <f>HYPERLINK("https://docs.google.com/presentation/d/1KpUPYvpP0OO0LSYOG88E_EmQNByZHbCJmFdrctYBd6E/edit#slide=id.g217a9aa1c2_0_32","link")</f>
        <v>link</v>
      </c>
      <c r="L80" s="13" t="s">
        <v>167</v>
      </c>
      <c r="M80" s="289" t="s">
        <v>1061</v>
      </c>
    </row>
    <row r="81" ht="47.25" customHeight="1">
      <c r="A81" s="288">
        <v>42906.0</v>
      </c>
      <c r="B81" s="287" t="s">
        <v>385</v>
      </c>
      <c r="C81" s="287" t="s">
        <v>36</v>
      </c>
      <c r="D81" s="132" t="s">
        <v>44</v>
      </c>
      <c r="E81" s="9" t="s">
        <v>15</v>
      </c>
      <c r="F81" s="7" t="s">
        <v>16</v>
      </c>
      <c r="G81" s="7" t="s">
        <v>1114</v>
      </c>
      <c r="H81" s="13"/>
      <c r="I81" s="225" t="s">
        <v>463</v>
      </c>
      <c r="J81" s="18"/>
      <c r="K81" s="13"/>
      <c r="L81" s="13" t="s">
        <v>68</v>
      </c>
      <c r="M81" s="289" t="s">
        <v>1061</v>
      </c>
    </row>
    <row r="82" ht="47.25" customHeight="1">
      <c r="A82" s="288">
        <v>42902.0</v>
      </c>
      <c r="B82" s="287" t="s">
        <v>385</v>
      </c>
      <c r="C82" s="287" t="s">
        <v>49</v>
      </c>
      <c r="D82" s="132" t="s">
        <v>44</v>
      </c>
      <c r="E82" s="9" t="s">
        <v>15</v>
      </c>
      <c r="F82" s="7" t="s">
        <v>16</v>
      </c>
      <c r="G82" s="7" t="s">
        <v>1115</v>
      </c>
      <c r="H82" s="10" t="str">
        <f>HYPERLINK("https://docs.google.com/presentation/d/1lEULuUpout7IYO0CwRMVSDPnZJTYJbwBcXyk6PWsWho/edit#slide=id.p4","link")</f>
        <v>link</v>
      </c>
      <c r="I82" s="18" t="s">
        <v>115</v>
      </c>
      <c r="J82" s="18"/>
      <c r="K82" s="10" t="str">
        <f>HYPERLINK("https://docs.google.com/presentation/d/1lEULuUpout7IYO0CwRMVSDPnZJTYJbwBcXyk6PWsWho/edit#slide=id.p4","link")</f>
        <v>link</v>
      </c>
      <c r="L82" s="13" t="s">
        <v>68</v>
      </c>
      <c r="M82" s="289" t="s">
        <v>1061</v>
      </c>
    </row>
    <row r="83" ht="47.25" customHeight="1">
      <c r="A83" s="288">
        <v>42902.0</v>
      </c>
      <c r="B83" s="287" t="s">
        <v>385</v>
      </c>
      <c r="C83" s="287" t="s">
        <v>49</v>
      </c>
      <c r="D83" s="132" t="s">
        <v>44</v>
      </c>
      <c r="E83" s="9" t="s">
        <v>15</v>
      </c>
      <c r="F83" s="7" t="s">
        <v>16</v>
      </c>
      <c r="G83" s="7" t="s">
        <v>1116</v>
      </c>
      <c r="H83" s="10" t="str">
        <f>HYPERLINK("https://docs.google.com/presentation/d/1KpUPYvpP0OO0LSYOG88E_EmQNByZHbCJmFdrctYBd6E/edit#slide=id.g22fc821ff3_0_20","link")</f>
        <v>link</v>
      </c>
      <c r="I83" s="18" t="s">
        <v>66</v>
      </c>
      <c r="J83" s="18"/>
      <c r="K83" s="10" t="str">
        <f>HYPERLINK("https://docs.google.com/presentation/d/1KpUPYvpP0OO0LSYOG88E_EmQNByZHbCJmFdrctYBd6E/edit#slide=id.g22fc821ff3_0_20","link")</f>
        <v>link</v>
      </c>
      <c r="L83" s="13" t="s">
        <v>68</v>
      </c>
      <c r="M83" s="289" t="s">
        <v>1061</v>
      </c>
    </row>
    <row r="84" ht="27.75" customHeight="1">
      <c r="A84" s="15">
        <v>42949.0</v>
      </c>
      <c r="B84" s="287" t="s">
        <v>385</v>
      </c>
      <c r="C84" s="287" t="s">
        <v>83</v>
      </c>
      <c r="D84" s="132" t="s">
        <v>44</v>
      </c>
      <c r="E84" s="9" t="s">
        <v>64</v>
      </c>
      <c r="F84" s="7" t="s">
        <v>16</v>
      </c>
      <c r="G84" s="7" t="s">
        <v>1117</v>
      </c>
      <c r="H84" s="13" t="s">
        <v>97</v>
      </c>
      <c r="I84" s="7" t="s">
        <v>1042</v>
      </c>
      <c r="J84" s="7"/>
      <c r="K84" s="13" t="s">
        <v>97</v>
      </c>
      <c r="L84" s="13" t="s">
        <v>68</v>
      </c>
      <c r="M84" s="289" t="s">
        <v>1061</v>
      </c>
    </row>
    <row r="85" ht="47.25" customHeight="1">
      <c r="A85" s="288">
        <v>42902.0</v>
      </c>
      <c r="B85" s="287" t="s">
        <v>385</v>
      </c>
      <c r="C85" s="287" t="s">
        <v>30</v>
      </c>
      <c r="D85" s="132" t="s">
        <v>44</v>
      </c>
      <c r="E85" s="9" t="s">
        <v>64</v>
      </c>
      <c r="F85" s="287" t="s">
        <v>16</v>
      </c>
      <c r="G85" s="287" t="s">
        <v>1118</v>
      </c>
      <c r="H85" s="292" t="str">
        <f>HYPERLINK("https://docs.google.com/presentation/d/1KpUPYvpP0OO0LSYOG88E_EmQNByZHbCJmFdrctYBd6E/edit#slide=id.g217a9aa1c2_0_32","link")</f>
        <v>link</v>
      </c>
      <c r="I85" s="18" t="s">
        <v>127</v>
      </c>
      <c r="J85" s="18"/>
      <c r="K85" s="292" t="str">
        <f>HYPERLINK("https://docs.google.com/presentation/d/1KpUPYvpP0OO0LSYOG88E_EmQNByZHbCJmFdrctYBd6E/edit#slide=id.g217a9aa1c2_0_32","link")</f>
        <v>link</v>
      </c>
      <c r="L85" s="293" t="s">
        <v>68</v>
      </c>
      <c r="M85" s="289" t="s">
        <v>1061</v>
      </c>
    </row>
    <row r="86" ht="27.75" customHeight="1">
      <c r="A86" s="15"/>
      <c r="B86" s="7"/>
      <c r="C86" s="9"/>
      <c r="D86" s="9"/>
      <c r="E86" s="9"/>
      <c r="F86" s="7"/>
      <c r="G86" s="7"/>
      <c r="H86" s="13"/>
      <c r="I86" s="7"/>
      <c r="J86" s="7"/>
      <c r="K86" s="13"/>
      <c r="L86" s="13"/>
      <c r="M86" s="7"/>
    </row>
    <row r="87" ht="32.25" customHeight="1">
      <c r="A87" s="15"/>
      <c r="B87" s="7"/>
      <c r="C87" s="9"/>
      <c r="D87" s="9"/>
      <c r="E87" s="9"/>
      <c r="F87" s="7"/>
      <c r="G87" s="7"/>
      <c r="H87" s="13"/>
      <c r="I87" s="18"/>
      <c r="J87" s="18"/>
      <c r="K87" s="13"/>
      <c r="L87" s="13"/>
      <c r="M87" s="18"/>
    </row>
    <row r="88" ht="27.75" customHeight="1">
      <c r="A88" s="15"/>
      <c r="B88" s="7"/>
      <c r="C88" s="9"/>
      <c r="D88" s="9"/>
      <c r="E88" s="9"/>
      <c r="F88" s="7"/>
      <c r="G88" s="7"/>
      <c r="H88" s="13"/>
      <c r="I88" s="7"/>
      <c r="J88" s="7"/>
      <c r="K88" s="13"/>
      <c r="L88" s="13"/>
      <c r="M88" s="7"/>
    </row>
    <row r="89" ht="50.25" customHeight="1">
      <c r="A89" s="15"/>
      <c r="B89" s="7"/>
      <c r="C89" s="9"/>
      <c r="D89" s="9"/>
      <c r="E89" s="9"/>
      <c r="F89" s="7"/>
      <c r="G89" s="7"/>
      <c r="H89" s="13"/>
      <c r="I89" s="7"/>
      <c r="J89" s="7"/>
      <c r="K89" s="13"/>
      <c r="L89" s="13"/>
      <c r="M89" s="7"/>
    </row>
    <row r="90" ht="27.75" customHeight="1">
      <c r="A90" s="15"/>
      <c r="B90" s="7"/>
      <c r="C90" s="9"/>
      <c r="D90" s="9"/>
      <c r="E90" s="9"/>
      <c r="F90" s="7"/>
      <c r="G90" s="7"/>
      <c r="H90" s="13"/>
      <c r="I90" s="7"/>
      <c r="J90" s="7"/>
      <c r="K90" s="13"/>
      <c r="L90" s="13"/>
      <c r="M90" s="7"/>
    </row>
    <row r="91" ht="27.75" customHeight="1">
      <c r="A91" s="15"/>
      <c r="B91" s="7"/>
      <c r="C91" s="9"/>
      <c r="D91" s="9"/>
      <c r="E91" s="9"/>
      <c r="F91" s="7"/>
      <c r="G91" s="7"/>
      <c r="H91" s="13"/>
      <c r="I91" s="7"/>
      <c r="J91" s="7"/>
      <c r="K91" s="13"/>
      <c r="L91" s="13"/>
      <c r="M91" s="7"/>
    </row>
    <row r="92" ht="27.75" customHeight="1">
      <c r="A92" s="15"/>
      <c r="B92" s="7"/>
      <c r="C92" s="9"/>
      <c r="D92" s="9"/>
      <c r="E92" s="9"/>
      <c r="F92" s="7"/>
      <c r="G92" s="7"/>
      <c r="H92" s="13"/>
      <c r="I92" s="7"/>
      <c r="J92" s="7"/>
      <c r="K92" s="13"/>
      <c r="L92" s="13"/>
      <c r="M92" s="7"/>
    </row>
    <row r="93" ht="27.75" customHeight="1">
      <c r="A93" s="15"/>
      <c r="B93" s="7"/>
      <c r="C93" s="9"/>
      <c r="D93" s="9"/>
      <c r="E93" s="9"/>
      <c r="F93" s="7"/>
      <c r="G93" s="7"/>
      <c r="H93" s="13"/>
      <c r="I93" s="7"/>
      <c r="J93" s="7"/>
      <c r="K93" s="13"/>
      <c r="L93" s="13"/>
      <c r="M93" s="7"/>
    </row>
    <row r="94" ht="27.75" customHeight="1">
      <c r="A94" s="15"/>
      <c r="B94" s="7"/>
      <c r="C94" s="9"/>
      <c r="D94" s="9"/>
      <c r="E94" s="9"/>
      <c r="F94" s="7"/>
      <c r="G94" s="7"/>
      <c r="H94" s="13"/>
      <c r="I94" s="7"/>
      <c r="J94" s="7"/>
      <c r="K94" s="13"/>
      <c r="L94" s="13"/>
      <c r="M94" s="7"/>
    </row>
    <row r="95" ht="27.75" customHeight="1">
      <c r="A95" s="15"/>
      <c r="B95" s="7"/>
      <c r="C95" s="9"/>
      <c r="D95" s="9"/>
      <c r="E95" s="9"/>
      <c r="F95" s="7"/>
      <c r="G95" s="7"/>
      <c r="H95" s="13"/>
      <c r="I95" s="7"/>
      <c r="J95" s="7"/>
      <c r="K95" s="13"/>
      <c r="L95" s="13"/>
      <c r="M95" s="7"/>
    </row>
    <row r="96" ht="27.75" customHeight="1">
      <c r="A96" s="15"/>
      <c r="B96" s="7"/>
      <c r="C96" s="9"/>
      <c r="D96" s="9"/>
      <c r="E96" s="9"/>
      <c r="F96" s="7"/>
      <c r="G96" s="7"/>
      <c r="H96" s="13"/>
      <c r="I96" s="7"/>
      <c r="J96" s="7"/>
      <c r="K96" s="13"/>
      <c r="L96" s="13"/>
      <c r="M96" s="7"/>
    </row>
    <row r="97" ht="27.75" customHeight="1">
      <c r="A97" s="15"/>
      <c r="B97" s="7"/>
      <c r="C97" s="9"/>
      <c r="D97" s="9"/>
      <c r="E97" s="9"/>
      <c r="F97" s="7"/>
      <c r="G97" s="7"/>
      <c r="H97" s="13"/>
      <c r="I97" s="7"/>
      <c r="J97" s="7"/>
      <c r="K97" s="13"/>
      <c r="L97" s="13"/>
      <c r="M97" s="7"/>
    </row>
    <row r="98" ht="27.75" customHeight="1">
      <c r="A98" s="15"/>
      <c r="B98" s="7"/>
      <c r="C98" s="9"/>
      <c r="D98" s="9"/>
      <c r="E98" s="9"/>
      <c r="F98" s="7"/>
      <c r="G98" s="7"/>
      <c r="H98" s="13"/>
      <c r="I98" s="7"/>
      <c r="J98" s="7"/>
      <c r="K98" s="13"/>
      <c r="L98" s="13"/>
      <c r="M98" s="7"/>
    </row>
    <row r="99" ht="27.75" customHeight="1">
      <c r="A99" s="15"/>
      <c r="B99" s="7"/>
      <c r="C99" s="9"/>
      <c r="D99" s="9"/>
      <c r="E99" s="9"/>
      <c r="F99" s="7"/>
      <c r="G99" s="7"/>
      <c r="H99" s="13"/>
      <c r="I99" s="7"/>
      <c r="J99" s="7"/>
      <c r="K99" s="13"/>
      <c r="L99" s="13"/>
      <c r="M99" s="7"/>
    </row>
    <row r="100" ht="27.75" customHeight="1">
      <c r="A100" s="15"/>
      <c r="B100" s="7"/>
      <c r="C100" s="9"/>
      <c r="D100" s="9"/>
      <c r="E100" s="9"/>
      <c r="F100" s="7"/>
      <c r="G100" s="7"/>
      <c r="H100" s="13"/>
      <c r="I100" s="7"/>
      <c r="J100" s="7"/>
      <c r="K100" s="13"/>
      <c r="L100" s="13"/>
      <c r="M100" s="7"/>
    </row>
    <row r="101" ht="27.75" customHeight="1">
      <c r="A101" s="15"/>
      <c r="B101" s="7"/>
      <c r="C101" s="9"/>
      <c r="D101" s="9"/>
      <c r="E101" s="9"/>
      <c r="F101" s="7"/>
      <c r="G101" s="7"/>
      <c r="H101" s="13"/>
      <c r="I101" s="7"/>
      <c r="J101" s="7"/>
      <c r="K101" s="13"/>
      <c r="L101" s="13"/>
      <c r="M101" s="7"/>
    </row>
    <row r="102" ht="27.75" customHeight="1">
      <c r="A102" s="15"/>
      <c r="B102" s="7"/>
      <c r="C102" s="9"/>
      <c r="D102" s="9"/>
      <c r="E102" s="9"/>
      <c r="F102" s="7"/>
      <c r="G102" s="7"/>
      <c r="H102" s="13"/>
      <c r="I102" s="7"/>
      <c r="J102" s="7"/>
      <c r="K102" s="13"/>
      <c r="L102" s="13"/>
      <c r="M102" s="7"/>
    </row>
    <row r="103" ht="27.75" customHeight="1">
      <c r="A103" s="15"/>
      <c r="B103" s="7"/>
      <c r="C103" s="9"/>
      <c r="D103" s="9"/>
      <c r="E103" s="9"/>
      <c r="F103" s="7"/>
      <c r="G103" s="7"/>
      <c r="H103" s="13"/>
      <c r="I103" s="7"/>
      <c r="J103" s="7"/>
      <c r="K103" s="13"/>
      <c r="L103" s="13"/>
      <c r="M103" s="7"/>
    </row>
    <row r="104" ht="27.75" customHeight="1">
      <c r="A104" s="15"/>
      <c r="B104" s="7"/>
      <c r="C104" s="9"/>
      <c r="D104" s="9"/>
      <c r="E104" s="9"/>
      <c r="F104" s="7"/>
      <c r="G104" s="7"/>
      <c r="H104" s="13"/>
      <c r="I104" s="7"/>
      <c r="J104" s="7"/>
      <c r="K104" s="13"/>
      <c r="L104" s="13"/>
      <c r="M104" s="7"/>
    </row>
    <row r="105" ht="25.5" customHeight="1">
      <c r="A105" s="16"/>
      <c r="B105" s="16"/>
      <c r="C105" s="16"/>
      <c r="D105" s="16"/>
      <c r="E105" s="12"/>
      <c r="F105" s="12"/>
      <c r="G105" s="16"/>
      <c r="H105" s="16"/>
      <c r="I105" s="16"/>
      <c r="J105" s="16"/>
      <c r="K105" s="16"/>
      <c r="L105" s="16"/>
      <c r="M105" s="16"/>
    </row>
    <row r="106" ht="25.5" customHeight="1">
      <c r="A106" s="16"/>
      <c r="B106" s="16"/>
      <c r="C106" s="16"/>
      <c r="D106" s="16"/>
      <c r="E106" s="12"/>
      <c r="F106" s="12"/>
      <c r="G106" s="16"/>
      <c r="H106" s="16"/>
      <c r="I106" s="16"/>
      <c r="J106" s="16"/>
      <c r="K106" s="16"/>
      <c r="L106" s="16"/>
      <c r="M106" s="16"/>
    </row>
    <row r="107" ht="25.5" customHeight="1">
      <c r="A107" s="16"/>
      <c r="B107" s="16"/>
      <c r="C107" s="16"/>
      <c r="D107" s="16"/>
      <c r="E107" s="12"/>
      <c r="F107" s="12"/>
      <c r="G107" s="16"/>
      <c r="H107" s="16"/>
      <c r="I107" s="16"/>
      <c r="J107" s="16"/>
      <c r="K107" s="16"/>
      <c r="L107" s="16"/>
      <c r="M107" s="16"/>
    </row>
    <row r="108" ht="25.5" customHeight="1">
      <c r="A108" s="16"/>
      <c r="B108" s="16"/>
      <c r="C108" s="16"/>
      <c r="D108" s="16"/>
      <c r="E108" s="12"/>
      <c r="F108" s="12"/>
      <c r="G108" s="16"/>
      <c r="H108" s="16"/>
      <c r="I108" s="16"/>
      <c r="J108" s="16"/>
      <c r="K108" s="16"/>
      <c r="L108" s="16"/>
      <c r="M108" s="16"/>
    </row>
    <row r="109" ht="25.5" customHeight="1">
      <c r="A109" s="17"/>
      <c r="B109" s="12"/>
      <c r="C109" s="17"/>
      <c r="D109" s="17"/>
      <c r="E109" s="12"/>
      <c r="F109" s="12"/>
      <c r="G109" s="17"/>
      <c r="H109" s="17"/>
      <c r="I109" s="12"/>
      <c r="J109" s="12"/>
      <c r="K109" s="17"/>
      <c r="L109" s="17"/>
      <c r="M109" s="12"/>
    </row>
    <row r="110" ht="25.5" customHeight="1">
      <c r="A110" s="17"/>
      <c r="B110" s="12"/>
      <c r="C110" s="17"/>
      <c r="D110" s="17"/>
      <c r="E110" s="12"/>
      <c r="F110" s="12"/>
      <c r="G110" s="17"/>
      <c r="H110" s="17"/>
      <c r="I110" s="12"/>
      <c r="J110" s="12"/>
      <c r="K110" s="17"/>
      <c r="L110" s="17"/>
      <c r="M110" s="12"/>
    </row>
    <row r="111" ht="25.5" customHeight="1">
      <c r="A111" s="17"/>
      <c r="B111" s="12"/>
      <c r="C111" s="17"/>
      <c r="D111" s="17"/>
      <c r="E111" s="12"/>
      <c r="F111" s="12"/>
      <c r="G111" s="17"/>
      <c r="H111" s="17"/>
      <c r="I111" s="12"/>
      <c r="J111" s="12"/>
      <c r="K111" s="17"/>
      <c r="L111" s="17"/>
      <c r="M111" s="12"/>
    </row>
    <row r="112" ht="25.5" customHeight="1">
      <c r="A112" s="17"/>
      <c r="B112" s="12"/>
      <c r="C112" s="17"/>
      <c r="D112" s="17"/>
      <c r="E112" s="12"/>
      <c r="F112" s="12"/>
      <c r="G112" s="17"/>
      <c r="H112" s="17"/>
      <c r="I112" s="12"/>
      <c r="J112" s="12"/>
      <c r="K112" s="17"/>
      <c r="L112" s="17"/>
      <c r="M112" s="12"/>
    </row>
    <row r="113" ht="25.5" customHeight="1">
      <c r="A113" s="17"/>
      <c r="B113" s="12"/>
      <c r="C113" s="17"/>
      <c r="D113" s="17"/>
      <c r="E113" s="12"/>
      <c r="F113" s="12"/>
      <c r="G113" s="17"/>
      <c r="H113" s="17"/>
      <c r="I113" s="12"/>
      <c r="J113" s="12"/>
      <c r="K113" s="17"/>
      <c r="L113" s="17"/>
      <c r="M113" s="12"/>
    </row>
    <row r="114" ht="25.5" customHeight="1">
      <c r="A114" s="17"/>
      <c r="B114" s="12"/>
      <c r="C114" s="17"/>
      <c r="D114" s="17"/>
      <c r="E114" s="12"/>
      <c r="F114" s="12"/>
      <c r="G114" s="17"/>
      <c r="H114" s="17"/>
      <c r="I114" s="12"/>
      <c r="J114" s="12"/>
      <c r="K114" s="17"/>
      <c r="L114" s="17"/>
      <c r="M114" s="12"/>
    </row>
    <row r="115" ht="25.5" customHeight="1">
      <c r="A115" s="17"/>
      <c r="B115" s="12"/>
      <c r="C115" s="17"/>
      <c r="D115" s="17"/>
      <c r="E115" s="12"/>
      <c r="F115" s="12"/>
      <c r="G115" s="17"/>
      <c r="H115" s="17"/>
      <c r="I115" s="12"/>
      <c r="J115" s="12"/>
      <c r="K115" s="17"/>
      <c r="L115" s="17"/>
      <c r="M115" s="12"/>
    </row>
    <row r="116" ht="25.5" customHeight="1">
      <c r="A116" s="17"/>
      <c r="B116" s="12"/>
      <c r="C116" s="17"/>
      <c r="D116" s="17"/>
      <c r="E116" s="12"/>
      <c r="F116" s="12"/>
      <c r="G116" s="17"/>
      <c r="H116" s="17"/>
      <c r="I116" s="12"/>
      <c r="J116" s="12"/>
      <c r="K116" s="17"/>
      <c r="L116" s="17"/>
      <c r="M116" s="12"/>
    </row>
    <row r="117" ht="25.5" customHeight="1">
      <c r="A117" s="17"/>
      <c r="B117" s="12"/>
      <c r="C117" s="17"/>
      <c r="D117" s="17"/>
      <c r="E117" s="12"/>
      <c r="F117" s="12"/>
      <c r="G117" s="17"/>
      <c r="H117" s="17"/>
      <c r="I117" s="12"/>
      <c r="J117" s="12"/>
      <c r="K117" s="17"/>
      <c r="L117" s="17"/>
      <c r="M117" s="12"/>
    </row>
    <row r="118" ht="25.5" customHeight="1">
      <c r="A118" s="17"/>
      <c r="B118" s="12"/>
      <c r="C118" s="17"/>
      <c r="D118" s="17"/>
      <c r="E118" s="12"/>
      <c r="F118" s="12"/>
      <c r="G118" s="17"/>
      <c r="H118" s="17"/>
      <c r="I118" s="12"/>
      <c r="J118" s="12"/>
      <c r="K118" s="17"/>
      <c r="L118" s="17"/>
      <c r="M118" s="12"/>
    </row>
    <row r="119" ht="25.5" customHeight="1">
      <c r="A119" s="17"/>
      <c r="B119" s="12"/>
      <c r="C119" s="17"/>
      <c r="D119" s="17"/>
      <c r="E119" s="12"/>
      <c r="F119" s="12"/>
      <c r="G119" s="17"/>
      <c r="H119" s="17"/>
      <c r="I119" s="12"/>
      <c r="J119" s="12"/>
      <c r="K119" s="17"/>
      <c r="L119" s="17"/>
      <c r="M119" s="12"/>
    </row>
    <row r="120" ht="25.5" customHeight="1">
      <c r="A120" s="17"/>
      <c r="B120" s="12"/>
      <c r="C120" s="17"/>
      <c r="D120" s="17"/>
      <c r="E120" s="12"/>
      <c r="F120" s="12"/>
      <c r="G120" s="17"/>
      <c r="H120" s="17"/>
      <c r="I120" s="12"/>
      <c r="J120" s="12"/>
      <c r="K120" s="17"/>
      <c r="L120" s="17"/>
      <c r="M120" s="12"/>
    </row>
    <row r="121" ht="25.5" customHeight="1">
      <c r="A121" s="17"/>
      <c r="B121" s="12"/>
      <c r="C121" s="17"/>
      <c r="D121" s="17"/>
      <c r="E121" s="12"/>
      <c r="F121" s="12"/>
      <c r="G121" s="17"/>
      <c r="H121" s="17"/>
      <c r="I121" s="12"/>
      <c r="J121" s="12"/>
      <c r="K121" s="17"/>
      <c r="L121" s="17"/>
      <c r="M121" s="12"/>
    </row>
    <row r="122" ht="25.5" customHeight="1">
      <c r="A122" s="17"/>
      <c r="B122" s="12"/>
      <c r="C122" s="17"/>
      <c r="D122" s="17"/>
      <c r="E122" s="12"/>
      <c r="F122" s="12"/>
      <c r="G122" s="17"/>
      <c r="H122" s="17"/>
      <c r="I122" s="12"/>
      <c r="J122" s="12"/>
      <c r="K122" s="17"/>
      <c r="L122" s="17"/>
      <c r="M122" s="12"/>
    </row>
    <row r="123" ht="25.5" customHeight="1">
      <c r="A123" s="17"/>
      <c r="B123" s="12"/>
      <c r="C123" s="17"/>
      <c r="D123" s="17"/>
      <c r="E123" s="12"/>
      <c r="F123" s="12"/>
      <c r="G123" s="17"/>
      <c r="H123" s="17"/>
      <c r="I123" s="12"/>
      <c r="J123" s="12"/>
      <c r="K123" s="17"/>
      <c r="L123" s="17"/>
      <c r="M123" s="12"/>
    </row>
    <row r="124" ht="25.5" customHeight="1">
      <c r="A124" s="17"/>
      <c r="B124" s="12"/>
      <c r="C124" s="17"/>
      <c r="D124" s="17"/>
      <c r="E124" s="12"/>
      <c r="F124" s="12"/>
      <c r="G124" s="17"/>
      <c r="H124" s="17"/>
      <c r="I124" s="12"/>
      <c r="J124" s="12"/>
      <c r="K124" s="17"/>
      <c r="L124" s="17"/>
      <c r="M124" s="12"/>
    </row>
    <row r="125" ht="25.5" customHeight="1">
      <c r="A125" s="17"/>
      <c r="B125" s="12"/>
      <c r="C125" s="17"/>
      <c r="D125" s="17"/>
      <c r="E125" s="12"/>
      <c r="F125" s="12"/>
      <c r="G125" s="17"/>
      <c r="H125" s="17"/>
      <c r="I125" s="12"/>
      <c r="J125" s="12"/>
      <c r="K125" s="17"/>
      <c r="L125" s="17"/>
      <c r="M125" s="12"/>
    </row>
    <row r="126" ht="25.5" customHeight="1">
      <c r="A126" s="17"/>
      <c r="B126" s="12"/>
      <c r="C126" s="17"/>
      <c r="D126" s="17"/>
      <c r="E126" s="12"/>
      <c r="F126" s="12"/>
      <c r="G126" s="17"/>
      <c r="H126" s="17"/>
      <c r="I126" s="12"/>
      <c r="J126" s="12"/>
      <c r="K126" s="17"/>
      <c r="L126" s="17"/>
      <c r="M126" s="12"/>
    </row>
    <row r="127" ht="25.5" customHeight="1">
      <c r="A127" s="17"/>
      <c r="B127" s="12"/>
      <c r="C127" s="17"/>
      <c r="D127" s="17"/>
      <c r="E127" s="12"/>
      <c r="F127" s="12"/>
      <c r="G127" s="17"/>
      <c r="H127" s="17"/>
      <c r="I127" s="12"/>
      <c r="J127" s="12"/>
      <c r="K127" s="17"/>
      <c r="L127" s="17"/>
      <c r="M127" s="12"/>
    </row>
    <row r="128" ht="25.5" customHeight="1">
      <c r="A128" s="17"/>
      <c r="B128" s="12"/>
      <c r="C128" s="17"/>
      <c r="D128" s="17"/>
      <c r="E128" s="12"/>
      <c r="F128" s="12"/>
      <c r="G128" s="17"/>
      <c r="H128" s="17"/>
      <c r="I128" s="12"/>
      <c r="J128" s="12"/>
      <c r="K128" s="17"/>
      <c r="L128" s="17"/>
      <c r="M128" s="12"/>
    </row>
    <row r="129" ht="25.5" customHeight="1">
      <c r="A129" s="17"/>
      <c r="B129" s="12"/>
      <c r="C129" s="17"/>
      <c r="D129" s="17"/>
      <c r="E129" s="12"/>
      <c r="F129" s="12"/>
      <c r="G129" s="17"/>
      <c r="H129" s="17"/>
      <c r="I129" s="12"/>
      <c r="J129" s="12"/>
      <c r="K129" s="17"/>
      <c r="L129" s="17"/>
      <c r="M129" s="12"/>
    </row>
    <row r="130" ht="25.5" customHeight="1">
      <c r="A130" s="17"/>
      <c r="B130" s="12"/>
      <c r="C130" s="17"/>
      <c r="D130" s="17"/>
      <c r="E130" s="12"/>
      <c r="F130" s="12"/>
      <c r="G130" s="17"/>
      <c r="H130" s="17"/>
      <c r="I130" s="12"/>
      <c r="J130" s="12"/>
      <c r="K130" s="17"/>
      <c r="L130" s="17"/>
      <c r="M130" s="12"/>
    </row>
    <row r="131" ht="25.5" customHeight="1">
      <c r="A131" s="17"/>
      <c r="B131" s="12"/>
      <c r="C131" s="17"/>
      <c r="D131" s="17"/>
      <c r="E131" s="12"/>
      <c r="F131" s="12"/>
      <c r="G131" s="17"/>
      <c r="H131" s="17"/>
      <c r="I131" s="12"/>
      <c r="J131" s="12"/>
      <c r="K131" s="17"/>
      <c r="L131" s="17"/>
      <c r="M131" s="12"/>
    </row>
    <row r="132" ht="25.5" customHeight="1">
      <c r="A132" s="17"/>
      <c r="B132" s="12"/>
      <c r="C132" s="17"/>
      <c r="D132" s="17"/>
      <c r="E132" s="12"/>
      <c r="F132" s="12"/>
      <c r="G132" s="17"/>
      <c r="H132" s="17"/>
      <c r="I132" s="12"/>
      <c r="J132" s="12"/>
      <c r="K132" s="17"/>
      <c r="L132" s="17"/>
      <c r="M132" s="12"/>
    </row>
    <row r="133" ht="25.5" customHeight="1">
      <c r="A133" s="17"/>
      <c r="B133" s="12"/>
      <c r="C133" s="17"/>
      <c r="D133" s="17"/>
      <c r="E133" s="12"/>
      <c r="F133" s="12"/>
      <c r="G133" s="17"/>
      <c r="H133" s="17"/>
      <c r="I133" s="12"/>
      <c r="J133" s="12"/>
      <c r="K133" s="17"/>
      <c r="L133" s="17"/>
      <c r="M133" s="12"/>
    </row>
    <row r="134" ht="25.5" customHeight="1">
      <c r="A134" s="17"/>
      <c r="B134" s="12"/>
      <c r="C134" s="17"/>
      <c r="D134" s="17"/>
      <c r="E134" s="12"/>
      <c r="F134" s="12"/>
      <c r="G134" s="17"/>
      <c r="H134" s="17"/>
      <c r="I134" s="12"/>
      <c r="J134" s="12"/>
      <c r="K134" s="17"/>
      <c r="L134" s="17"/>
      <c r="M134" s="12"/>
    </row>
    <row r="135" ht="25.5" customHeight="1">
      <c r="A135" s="17"/>
      <c r="B135" s="12"/>
      <c r="C135" s="17"/>
      <c r="D135" s="17"/>
      <c r="E135" s="12"/>
      <c r="F135" s="12"/>
      <c r="G135" s="17"/>
      <c r="H135" s="17"/>
      <c r="I135" s="12"/>
      <c r="J135" s="12"/>
      <c r="K135" s="17"/>
      <c r="L135" s="17"/>
      <c r="M135" s="12"/>
    </row>
    <row r="136" ht="25.5" customHeight="1">
      <c r="A136" s="17"/>
      <c r="B136" s="12"/>
      <c r="C136" s="17"/>
      <c r="D136" s="17"/>
      <c r="E136" s="12"/>
      <c r="F136" s="12"/>
      <c r="G136" s="17"/>
      <c r="H136" s="17"/>
      <c r="I136" s="12"/>
      <c r="J136" s="12"/>
      <c r="K136" s="17"/>
      <c r="L136" s="17"/>
      <c r="M136" s="12"/>
    </row>
    <row r="137" ht="25.5" customHeight="1">
      <c r="A137" s="17"/>
      <c r="B137" s="12"/>
      <c r="C137" s="17"/>
      <c r="D137" s="17"/>
      <c r="E137" s="12"/>
      <c r="F137" s="12"/>
      <c r="G137" s="17"/>
      <c r="H137" s="17"/>
      <c r="I137" s="12"/>
      <c r="J137" s="12"/>
      <c r="K137" s="17"/>
      <c r="L137" s="17"/>
      <c r="M137" s="12"/>
    </row>
    <row r="138" ht="25.5" customHeight="1">
      <c r="A138" s="17"/>
      <c r="B138" s="12"/>
      <c r="C138" s="17"/>
      <c r="D138" s="17"/>
      <c r="E138" s="12"/>
      <c r="F138" s="12"/>
      <c r="G138" s="17"/>
      <c r="H138" s="17"/>
      <c r="I138" s="12"/>
      <c r="J138" s="12"/>
      <c r="K138" s="17"/>
      <c r="L138" s="17"/>
      <c r="M138" s="12"/>
    </row>
    <row r="139" ht="25.5" customHeight="1">
      <c r="A139" s="17"/>
      <c r="B139" s="12"/>
      <c r="C139" s="17"/>
      <c r="D139" s="17"/>
      <c r="E139" s="12"/>
      <c r="F139" s="12"/>
      <c r="G139" s="17"/>
      <c r="H139" s="17"/>
      <c r="I139" s="12"/>
      <c r="J139" s="12"/>
      <c r="K139" s="17"/>
      <c r="L139" s="17"/>
      <c r="M139" s="12"/>
    </row>
    <row r="140" ht="25.5" customHeight="1">
      <c r="A140" s="17"/>
      <c r="B140" s="12"/>
      <c r="C140" s="17"/>
      <c r="D140" s="17"/>
      <c r="E140" s="12"/>
      <c r="F140" s="12"/>
      <c r="G140" s="17"/>
      <c r="H140" s="17"/>
      <c r="I140" s="12"/>
      <c r="J140" s="12"/>
      <c r="K140" s="17"/>
      <c r="L140" s="17"/>
      <c r="M140" s="12"/>
    </row>
    <row r="141" ht="25.5" customHeight="1">
      <c r="A141" s="17"/>
      <c r="B141" s="12"/>
      <c r="C141" s="17"/>
      <c r="D141" s="17"/>
      <c r="E141" s="12"/>
      <c r="F141" s="12"/>
      <c r="G141" s="17"/>
      <c r="H141" s="17"/>
      <c r="I141" s="12"/>
      <c r="J141" s="12"/>
      <c r="K141" s="17"/>
      <c r="L141" s="17"/>
      <c r="M141" s="12"/>
    </row>
    <row r="142" ht="25.5" customHeight="1">
      <c r="A142" s="17"/>
      <c r="B142" s="12"/>
      <c r="C142" s="17"/>
      <c r="D142" s="17"/>
      <c r="E142" s="12"/>
      <c r="F142" s="12"/>
      <c r="G142" s="17"/>
      <c r="H142" s="17"/>
      <c r="I142" s="12"/>
      <c r="J142" s="12"/>
      <c r="K142" s="17"/>
      <c r="L142" s="17"/>
      <c r="M142" s="12"/>
    </row>
    <row r="143" ht="25.5" customHeight="1">
      <c r="A143" s="17"/>
      <c r="B143" s="12"/>
      <c r="C143" s="17"/>
      <c r="D143" s="17"/>
      <c r="E143" s="12"/>
      <c r="F143" s="12"/>
      <c r="G143" s="17"/>
      <c r="H143" s="17"/>
      <c r="I143" s="12"/>
      <c r="J143" s="12"/>
      <c r="K143" s="17"/>
      <c r="L143" s="17"/>
      <c r="M143" s="12"/>
    </row>
    <row r="144" ht="25.5" customHeight="1">
      <c r="A144" s="17"/>
      <c r="B144" s="12"/>
      <c r="C144" s="17"/>
      <c r="D144" s="17"/>
      <c r="E144" s="12"/>
      <c r="F144" s="12"/>
      <c r="G144" s="17"/>
      <c r="H144" s="17"/>
      <c r="I144" s="12"/>
      <c r="J144" s="12"/>
      <c r="K144" s="17"/>
      <c r="L144" s="17"/>
      <c r="M144" s="12"/>
    </row>
    <row r="145" ht="25.5" customHeight="1">
      <c r="A145" s="17"/>
      <c r="B145" s="12"/>
      <c r="C145" s="17"/>
      <c r="D145" s="17"/>
      <c r="E145" s="12"/>
      <c r="F145" s="12"/>
      <c r="G145" s="17"/>
      <c r="H145" s="17"/>
      <c r="I145" s="12"/>
      <c r="J145" s="12"/>
      <c r="K145" s="17"/>
      <c r="L145" s="17"/>
      <c r="M145" s="12"/>
    </row>
    <row r="146" ht="25.5" customHeight="1">
      <c r="A146" s="17"/>
      <c r="B146" s="12"/>
      <c r="C146" s="17"/>
      <c r="D146" s="17"/>
      <c r="E146" s="12"/>
      <c r="F146" s="12"/>
      <c r="G146" s="17"/>
      <c r="H146" s="17"/>
      <c r="I146" s="12"/>
      <c r="J146" s="12"/>
      <c r="K146" s="17"/>
      <c r="L146" s="17"/>
      <c r="M146" s="12"/>
    </row>
    <row r="147" ht="25.5" customHeight="1">
      <c r="A147" s="17"/>
      <c r="B147" s="12"/>
      <c r="C147" s="17"/>
      <c r="D147" s="17"/>
      <c r="E147" s="12"/>
      <c r="F147" s="12"/>
      <c r="G147" s="17"/>
      <c r="H147" s="17"/>
      <c r="I147" s="12"/>
      <c r="J147" s="12"/>
      <c r="K147" s="17"/>
      <c r="L147" s="17"/>
      <c r="M147" s="12"/>
    </row>
    <row r="148" ht="25.5" customHeight="1">
      <c r="A148" s="17"/>
      <c r="B148" s="12"/>
      <c r="C148" s="17"/>
      <c r="D148" s="17"/>
      <c r="E148" s="12"/>
      <c r="F148" s="12"/>
      <c r="G148" s="17"/>
      <c r="H148" s="17"/>
      <c r="I148" s="12"/>
      <c r="J148" s="12"/>
      <c r="K148" s="17"/>
      <c r="L148" s="17"/>
      <c r="M148" s="12"/>
    </row>
    <row r="149" ht="25.5" customHeight="1">
      <c r="A149" s="17"/>
      <c r="B149" s="12"/>
      <c r="C149" s="17"/>
      <c r="D149" s="17"/>
      <c r="E149" s="12"/>
      <c r="F149" s="12"/>
      <c r="G149" s="17"/>
      <c r="H149" s="17"/>
      <c r="I149" s="12"/>
      <c r="J149" s="12"/>
      <c r="K149" s="17"/>
      <c r="L149" s="17"/>
      <c r="M149" s="12"/>
    </row>
    <row r="150" ht="25.5" customHeight="1">
      <c r="A150" s="17"/>
      <c r="B150" s="12"/>
      <c r="C150" s="17"/>
      <c r="D150" s="17"/>
      <c r="E150" s="12"/>
      <c r="F150" s="12"/>
      <c r="G150" s="17"/>
      <c r="H150" s="17"/>
      <c r="I150" s="12"/>
      <c r="J150" s="12"/>
      <c r="K150" s="17"/>
      <c r="L150" s="17"/>
      <c r="M150" s="12"/>
    </row>
    <row r="151" ht="25.5" customHeight="1">
      <c r="A151" s="17"/>
      <c r="B151" s="12"/>
      <c r="C151" s="17"/>
      <c r="D151" s="17"/>
      <c r="E151" s="12"/>
      <c r="F151" s="12"/>
      <c r="G151" s="17"/>
      <c r="H151" s="17"/>
      <c r="I151" s="12"/>
      <c r="J151" s="12"/>
      <c r="K151" s="17"/>
      <c r="L151" s="17"/>
      <c r="M151" s="12"/>
    </row>
    <row r="152" ht="25.5" customHeight="1">
      <c r="A152" s="17"/>
      <c r="B152" s="12"/>
      <c r="C152" s="17"/>
      <c r="D152" s="17"/>
      <c r="E152" s="12"/>
      <c r="F152" s="12"/>
      <c r="G152" s="17"/>
      <c r="H152" s="17"/>
      <c r="I152" s="12"/>
      <c r="J152" s="12"/>
      <c r="K152" s="17"/>
      <c r="L152" s="17"/>
      <c r="M152" s="12"/>
    </row>
    <row r="153" ht="25.5" customHeight="1">
      <c r="A153" s="17"/>
      <c r="B153" s="12"/>
      <c r="C153" s="17"/>
      <c r="D153" s="17"/>
      <c r="E153" s="12"/>
      <c r="F153" s="12"/>
      <c r="G153" s="17"/>
      <c r="H153" s="17"/>
      <c r="I153" s="12"/>
      <c r="J153" s="12"/>
      <c r="K153" s="17"/>
      <c r="L153" s="17"/>
      <c r="M153" s="12"/>
    </row>
    <row r="154" ht="25.5" customHeight="1">
      <c r="A154" s="17"/>
      <c r="B154" s="12"/>
      <c r="C154" s="17"/>
      <c r="D154" s="17"/>
      <c r="E154" s="12"/>
      <c r="F154" s="12"/>
      <c r="G154" s="17"/>
      <c r="H154" s="17"/>
      <c r="I154" s="12"/>
      <c r="J154" s="12"/>
      <c r="K154" s="17"/>
      <c r="L154" s="17"/>
      <c r="M154" s="12"/>
    </row>
    <row r="155" ht="13.5" customHeight="1">
      <c r="A155" s="17"/>
      <c r="B155" s="12"/>
      <c r="C155" s="17"/>
      <c r="D155" s="17"/>
      <c r="E155" s="12"/>
      <c r="F155" s="12"/>
      <c r="G155" s="17"/>
      <c r="H155" s="17"/>
      <c r="I155" s="12"/>
      <c r="J155" s="12"/>
      <c r="K155" s="17"/>
      <c r="L155" s="17"/>
      <c r="M155" s="12"/>
    </row>
    <row r="156" ht="13.5" customHeight="1">
      <c r="A156" s="17"/>
      <c r="B156" s="12"/>
      <c r="C156" s="17"/>
      <c r="D156" s="17"/>
      <c r="E156" s="12"/>
      <c r="F156" s="12"/>
      <c r="G156" s="17"/>
      <c r="H156" s="17"/>
      <c r="I156" s="12"/>
      <c r="J156" s="12"/>
      <c r="K156" s="17"/>
      <c r="L156" s="17"/>
      <c r="M156" s="12"/>
    </row>
    <row r="157" ht="13.5" customHeight="1">
      <c r="A157" s="17"/>
      <c r="B157" s="12"/>
      <c r="C157" s="17"/>
      <c r="D157" s="17"/>
      <c r="E157" s="12"/>
      <c r="F157" s="12"/>
      <c r="G157" s="17"/>
      <c r="H157" s="17"/>
      <c r="I157" s="12"/>
      <c r="J157" s="12"/>
      <c r="K157" s="17"/>
      <c r="L157" s="17"/>
      <c r="M157" s="12"/>
    </row>
    <row r="158" ht="13.5" customHeight="1">
      <c r="A158" s="17"/>
      <c r="B158" s="12"/>
      <c r="C158" s="17"/>
      <c r="D158" s="17"/>
      <c r="E158" s="12"/>
      <c r="F158" s="12"/>
      <c r="G158" s="17"/>
      <c r="H158" s="17"/>
      <c r="I158" s="12"/>
      <c r="J158" s="12"/>
      <c r="K158" s="17"/>
      <c r="L158" s="17"/>
      <c r="M158" s="12"/>
    </row>
    <row r="159" ht="13.5" customHeight="1">
      <c r="A159" s="17"/>
      <c r="B159" s="12"/>
      <c r="C159" s="17"/>
      <c r="D159" s="17"/>
      <c r="E159" s="12"/>
      <c r="F159" s="12"/>
      <c r="G159" s="17"/>
      <c r="H159" s="17"/>
      <c r="I159" s="12"/>
      <c r="J159" s="12"/>
      <c r="K159" s="17"/>
      <c r="L159" s="17"/>
      <c r="M159" s="12"/>
    </row>
    <row r="160" ht="13.5" customHeight="1">
      <c r="A160" s="17"/>
      <c r="B160" s="12"/>
      <c r="C160" s="17"/>
      <c r="D160" s="17"/>
      <c r="E160" s="12"/>
      <c r="F160" s="12"/>
      <c r="G160" s="17"/>
      <c r="H160" s="17"/>
      <c r="I160" s="12"/>
      <c r="J160" s="12"/>
      <c r="K160" s="17"/>
      <c r="L160" s="17"/>
      <c r="M160" s="12"/>
    </row>
    <row r="161" ht="13.5" customHeight="1">
      <c r="A161" s="17"/>
      <c r="B161" s="12"/>
      <c r="C161" s="17"/>
      <c r="D161" s="17"/>
      <c r="E161" s="12"/>
      <c r="F161" s="12"/>
      <c r="G161" s="17"/>
      <c r="H161" s="17"/>
      <c r="I161" s="12"/>
      <c r="J161" s="12"/>
      <c r="K161" s="17"/>
      <c r="L161" s="17"/>
      <c r="M161" s="12"/>
    </row>
    <row r="162" ht="13.5" customHeight="1">
      <c r="A162" s="17"/>
      <c r="B162" s="12"/>
      <c r="C162" s="17"/>
      <c r="D162" s="17"/>
      <c r="E162" s="12"/>
      <c r="F162" s="12"/>
      <c r="G162" s="17"/>
      <c r="H162" s="17"/>
      <c r="I162" s="12"/>
      <c r="J162" s="12"/>
      <c r="K162" s="17"/>
      <c r="L162" s="17"/>
      <c r="M162" s="12"/>
    </row>
    <row r="163" ht="13.5" customHeight="1">
      <c r="A163" s="17"/>
      <c r="B163" s="12"/>
      <c r="C163" s="17"/>
      <c r="D163" s="17"/>
      <c r="E163" s="12"/>
      <c r="F163" s="12"/>
      <c r="G163" s="17"/>
      <c r="H163" s="17"/>
      <c r="I163" s="12"/>
      <c r="J163" s="12"/>
      <c r="K163" s="17"/>
      <c r="L163" s="17"/>
      <c r="M163" s="12"/>
    </row>
    <row r="164" ht="13.5" customHeight="1">
      <c r="A164" s="17"/>
      <c r="B164" s="12"/>
      <c r="C164" s="17"/>
      <c r="D164" s="17"/>
      <c r="E164" s="12"/>
      <c r="F164" s="12"/>
      <c r="G164" s="17"/>
      <c r="H164" s="17"/>
      <c r="I164" s="12"/>
      <c r="J164" s="12"/>
      <c r="K164" s="17"/>
      <c r="L164" s="17"/>
      <c r="M164" s="12"/>
    </row>
    <row r="165" ht="13.5" customHeight="1">
      <c r="A165" s="17"/>
      <c r="B165" s="12"/>
      <c r="C165" s="17"/>
      <c r="D165" s="17"/>
      <c r="E165" s="12"/>
      <c r="F165" s="12"/>
      <c r="G165" s="17"/>
      <c r="H165" s="17"/>
      <c r="I165" s="12"/>
      <c r="J165" s="12"/>
      <c r="K165" s="17"/>
      <c r="L165" s="17"/>
      <c r="M165" s="12"/>
    </row>
    <row r="166" ht="13.5" customHeight="1">
      <c r="A166" s="17"/>
      <c r="B166" s="12"/>
      <c r="C166" s="17"/>
      <c r="D166" s="17"/>
      <c r="E166" s="12"/>
      <c r="F166" s="12"/>
      <c r="G166" s="17"/>
      <c r="H166" s="17"/>
      <c r="I166" s="12"/>
      <c r="J166" s="12"/>
      <c r="K166" s="17"/>
      <c r="L166" s="17"/>
      <c r="M166" s="12"/>
    </row>
    <row r="167" ht="13.5" customHeight="1">
      <c r="A167" s="17"/>
      <c r="B167" s="12"/>
      <c r="C167" s="17"/>
      <c r="D167" s="17"/>
      <c r="E167" s="12"/>
      <c r="F167" s="12"/>
      <c r="G167" s="17"/>
      <c r="H167" s="17"/>
      <c r="I167" s="12"/>
      <c r="J167" s="12"/>
      <c r="K167" s="17"/>
      <c r="L167" s="17"/>
      <c r="M167" s="12"/>
    </row>
    <row r="168" ht="13.5" customHeight="1">
      <c r="A168" s="17"/>
      <c r="B168" s="12"/>
      <c r="C168" s="17"/>
      <c r="D168" s="17"/>
      <c r="E168" s="12"/>
      <c r="F168" s="12"/>
      <c r="G168" s="17"/>
      <c r="H168" s="17"/>
      <c r="I168" s="12"/>
      <c r="J168" s="12"/>
      <c r="K168" s="17"/>
      <c r="L168" s="17"/>
      <c r="M168" s="12"/>
    </row>
    <row r="169" ht="13.5" customHeight="1">
      <c r="A169" s="17"/>
      <c r="B169" s="12"/>
      <c r="C169" s="17"/>
      <c r="D169" s="17"/>
      <c r="E169" s="12"/>
      <c r="F169" s="12"/>
      <c r="G169" s="17"/>
      <c r="H169" s="17"/>
      <c r="I169" s="12"/>
      <c r="J169" s="12"/>
      <c r="K169" s="17"/>
      <c r="L169" s="17"/>
      <c r="M169" s="12"/>
    </row>
    <row r="170" ht="13.5" customHeight="1">
      <c r="A170" s="17"/>
      <c r="B170" s="12"/>
      <c r="C170" s="17"/>
      <c r="D170" s="17"/>
      <c r="E170" s="12"/>
      <c r="F170" s="12"/>
      <c r="G170" s="17"/>
      <c r="H170" s="17"/>
      <c r="I170" s="12"/>
      <c r="J170" s="12"/>
      <c r="K170" s="17"/>
      <c r="L170" s="17"/>
      <c r="M170" s="12"/>
    </row>
    <row r="171" ht="13.5" customHeight="1">
      <c r="A171" s="17"/>
      <c r="B171" s="12"/>
      <c r="C171" s="17"/>
      <c r="D171" s="17"/>
      <c r="E171" s="12"/>
      <c r="F171" s="12"/>
      <c r="G171" s="17"/>
      <c r="H171" s="17"/>
      <c r="I171" s="12"/>
      <c r="J171" s="12"/>
      <c r="K171" s="17"/>
      <c r="L171" s="17"/>
      <c r="M171" s="12"/>
    </row>
    <row r="172" ht="13.5" customHeight="1">
      <c r="A172" s="17"/>
      <c r="B172" s="12"/>
      <c r="C172" s="17"/>
      <c r="D172" s="17"/>
      <c r="E172" s="12"/>
      <c r="F172" s="12"/>
      <c r="G172" s="17"/>
      <c r="H172" s="17"/>
      <c r="I172" s="12"/>
      <c r="J172" s="12"/>
      <c r="K172" s="17"/>
      <c r="L172" s="17"/>
      <c r="M172" s="12"/>
    </row>
    <row r="173" ht="13.5" customHeight="1">
      <c r="A173" s="17"/>
      <c r="B173" s="12"/>
      <c r="C173" s="17"/>
      <c r="D173" s="17"/>
      <c r="E173" s="12"/>
      <c r="F173" s="12"/>
      <c r="G173" s="17"/>
      <c r="H173" s="17"/>
      <c r="I173" s="12"/>
      <c r="J173" s="12"/>
      <c r="K173" s="17"/>
      <c r="L173" s="17"/>
      <c r="M173" s="12"/>
    </row>
    <row r="174" ht="13.5" customHeight="1">
      <c r="A174" s="17"/>
      <c r="B174" s="12"/>
      <c r="C174" s="17"/>
      <c r="D174" s="17"/>
      <c r="E174" s="12"/>
      <c r="F174" s="12"/>
      <c r="G174" s="17"/>
      <c r="H174" s="17"/>
      <c r="I174" s="12"/>
      <c r="J174" s="12"/>
      <c r="K174" s="17"/>
      <c r="L174" s="17"/>
      <c r="M174" s="12"/>
    </row>
    <row r="175" ht="13.5" customHeight="1">
      <c r="A175" s="17"/>
      <c r="B175" s="12"/>
      <c r="C175" s="17"/>
      <c r="D175" s="17"/>
      <c r="E175" s="12"/>
      <c r="F175" s="12"/>
      <c r="G175" s="17"/>
      <c r="H175" s="17"/>
      <c r="I175" s="12"/>
      <c r="J175" s="12"/>
      <c r="K175" s="17"/>
      <c r="L175" s="17"/>
      <c r="M175" s="12"/>
    </row>
    <row r="176" ht="13.5" customHeight="1">
      <c r="A176" s="17"/>
      <c r="B176" s="12"/>
      <c r="C176" s="17"/>
      <c r="D176" s="17"/>
      <c r="E176" s="12"/>
      <c r="F176" s="12"/>
      <c r="G176" s="17"/>
      <c r="H176" s="17"/>
      <c r="I176" s="12"/>
      <c r="J176" s="12"/>
      <c r="K176" s="17"/>
      <c r="L176" s="17"/>
      <c r="M176" s="12"/>
    </row>
    <row r="177" ht="13.5" customHeight="1">
      <c r="A177" s="17"/>
      <c r="B177" s="12"/>
      <c r="C177" s="17"/>
      <c r="D177" s="17"/>
      <c r="E177" s="12"/>
      <c r="F177" s="12"/>
      <c r="G177" s="17"/>
      <c r="H177" s="17"/>
      <c r="I177" s="12"/>
      <c r="J177" s="12"/>
      <c r="K177" s="17"/>
      <c r="L177" s="17"/>
      <c r="M177" s="12"/>
    </row>
    <row r="178" ht="13.5" customHeight="1">
      <c r="A178" s="17"/>
      <c r="B178" s="12"/>
      <c r="C178" s="17"/>
      <c r="D178" s="17"/>
      <c r="E178" s="12"/>
      <c r="F178" s="12"/>
      <c r="G178" s="17"/>
      <c r="H178" s="17"/>
      <c r="I178" s="12"/>
      <c r="J178" s="12"/>
      <c r="K178" s="17"/>
      <c r="L178" s="17"/>
      <c r="M178" s="12"/>
    </row>
    <row r="179" ht="13.5" customHeight="1">
      <c r="A179" s="17"/>
      <c r="B179" s="12"/>
      <c r="C179" s="17"/>
      <c r="D179" s="17"/>
      <c r="E179" s="12"/>
      <c r="F179" s="12"/>
      <c r="G179" s="17"/>
      <c r="H179" s="17"/>
      <c r="I179" s="12"/>
      <c r="J179" s="12"/>
      <c r="K179" s="17"/>
      <c r="L179" s="17"/>
      <c r="M179" s="12"/>
    </row>
    <row r="180" ht="13.5" customHeight="1">
      <c r="A180" s="17"/>
      <c r="B180" s="12"/>
      <c r="C180" s="17"/>
      <c r="D180" s="17"/>
      <c r="E180" s="12"/>
      <c r="F180" s="12"/>
      <c r="G180" s="17"/>
      <c r="H180" s="17"/>
      <c r="I180" s="12"/>
      <c r="J180" s="12"/>
      <c r="K180" s="17"/>
      <c r="L180" s="17"/>
      <c r="M180" s="12"/>
    </row>
    <row r="181" ht="13.5" customHeight="1">
      <c r="A181" s="17"/>
      <c r="B181" s="12"/>
      <c r="C181" s="17"/>
      <c r="D181" s="17"/>
      <c r="E181" s="12"/>
      <c r="F181" s="12"/>
      <c r="G181" s="17"/>
      <c r="H181" s="17"/>
      <c r="I181" s="12"/>
      <c r="J181" s="12"/>
      <c r="K181" s="17"/>
      <c r="L181" s="17"/>
      <c r="M181" s="12"/>
    </row>
    <row r="182" ht="13.5" customHeight="1">
      <c r="A182" s="17"/>
      <c r="B182" s="12"/>
      <c r="C182" s="17"/>
      <c r="D182" s="17"/>
      <c r="E182" s="12"/>
      <c r="F182" s="12"/>
      <c r="G182" s="17"/>
      <c r="H182" s="17"/>
      <c r="I182" s="12"/>
      <c r="J182" s="12"/>
      <c r="K182" s="17"/>
      <c r="L182" s="17"/>
      <c r="M182" s="12"/>
    </row>
    <row r="183" ht="13.5" customHeight="1">
      <c r="A183" s="17"/>
      <c r="B183" s="12"/>
      <c r="C183" s="17"/>
      <c r="D183" s="17"/>
      <c r="E183" s="12"/>
      <c r="F183" s="12"/>
      <c r="G183" s="17"/>
      <c r="H183" s="17"/>
      <c r="I183" s="12"/>
      <c r="J183" s="12"/>
      <c r="K183" s="17"/>
      <c r="L183" s="17"/>
      <c r="M183" s="12"/>
    </row>
    <row r="184" ht="13.5" customHeight="1">
      <c r="A184" s="17"/>
      <c r="B184" s="12"/>
      <c r="C184" s="17"/>
      <c r="D184" s="17"/>
      <c r="E184" s="12"/>
      <c r="F184" s="12"/>
      <c r="G184" s="17"/>
      <c r="H184" s="17"/>
      <c r="I184" s="12"/>
      <c r="J184" s="12"/>
      <c r="K184" s="17"/>
      <c r="L184" s="17"/>
      <c r="M184" s="12"/>
    </row>
    <row r="185" ht="13.5" customHeight="1">
      <c r="A185" s="17"/>
      <c r="B185" s="12"/>
      <c r="C185" s="17"/>
      <c r="D185" s="17"/>
      <c r="E185" s="12"/>
      <c r="F185" s="12"/>
      <c r="G185" s="17"/>
      <c r="H185" s="17"/>
      <c r="I185" s="12"/>
      <c r="J185" s="12"/>
      <c r="K185" s="17"/>
      <c r="L185" s="17"/>
      <c r="M185" s="12"/>
    </row>
    <row r="186" ht="13.5" customHeight="1">
      <c r="A186" s="17"/>
      <c r="B186" s="12"/>
      <c r="C186" s="17"/>
      <c r="D186" s="17"/>
      <c r="E186" s="12"/>
      <c r="F186" s="12"/>
      <c r="G186" s="17"/>
      <c r="H186" s="17"/>
      <c r="I186" s="12"/>
      <c r="J186" s="12"/>
      <c r="K186" s="17"/>
      <c r="L186" s="17"/>
      <c r="M186" s="12"/>
    </row>
    <row r="187" ht="13.5" customHeight="1">
      <c r="A187" s="17"/>
      <c r="B187" s="12"/>
      <c r="C187" s="17"/>
      <c r="D187" s="17"/>
      <c r="E187" s="12"/>
      <c r="F187" s="12"/>
      <c r="G187" s="17"/>
      <c r="H187" s="17"/>
      <c r="I187" s="12"/>
      <c r="J187" s="12"/>
      <c r="K187" s="17"/>
      <c r="L187" s="17"/>
      <c r="M187" s="12"/>
    </row>
    <row r="188" ht="13.5" customHeight="1">
      <c r="A188" s="17"/>
      <c r="B188" s="12"/>
      <c r="C188" s="17"/>
      <c r="D188" s="17"/>
      <c r="E188" s="12"/>
      <c r="F188" s="12"/>
      <c r="G188" s="17"/>
      <c r="H188" s="17"/>
      <c r="I188" s="12"/>
      <c r="J188" s="12"/>
      <c r="K188" s="17"/>
      <c r="L188" s="17"/>
      <c r="M188" s="12"/>
    </row>
    <row r="189" ht="13.5" customHeight="1">
      <c r="A189" s="17"/>
      <c r="B189" s="12"/>
      <c r="C189" s="17"/>
      <c r="D189" s="17"/>
      <c r="E189" s="12"/>
      <c r="F189" s="12"/>
      <c r="G189" s="17"/>
      <c r="H189" s="17"/>
      <c r="I189" s="12"/>
      <c r="J189" s="12"/>
      <c r="K189" s="17"/>
      <c r="L189" s="17"/>
      <c r="M189" s="12"/>
    </row>
    <row r="190" ht="13.5" customHeight="1">
      <c r="A190" s="17"/>
      <c r="B190" s="12"/>
      <c r="C190" s="17"/>
      <c r="D190" s="17"/>
      <c r="E190" s="12"/>
      <c r="F190" s="12"/>
      <c r="G190" s="17"/>
      <c r="H190" s="17"/>
      <c r="I190" s="12"/>
      <c r="J190" s="12"/>
      <c r="K190" s="17"/>
      <c r="L190" s="17"/>
      <c r="M190" s="12"/>
    </row>
    <row r="191" ht="13.5" customHeight="1">
      <c r="A191" s="17"/>
      <c r="B191" s="12"/>
      <c r="C191" s="17"/>
      <c r="D191" s="17"/>
      <c r="E191" s="12"/>
      <c r="F191" s="12"/>
      <c r="G191" s="17"/>
      <c r="H191" s="17"/>
      <c r="I191" s="12"/>
      <c r="J191" s="12"/>
      <c r="K191" s="17"/>
      <c r="L191" s="17"/>
      <c r="M191" s="12"/>
    </row>
    <row r="192" ht="13.5" customHeight="1">
      <c r="A192" s="17"/>
      <c r="B192" s="12"/>
      <c r="C192" s="17"/>
      <c r="D192" s="17"/>
      <c r="E192" s="12"/>
      <c r="F192" s="12"/>
      <c r="G192" s="17"/>
      <c r="H192" s="17"/>
      <c r="I192" s="12"/>
      <c r="J192" s="12"/>
      <c r="K192" s="17"/>
      <c r="L192" s="17"/>
      <c r="M192" s="12"/>
    </row>
    <row r="193" ht="13.5" customHeight="1">
      <c r="A193" s="17"/>
      <c r="B193" s="12"/>
      <c r="C193" s="17"/>
      <c r="D193" s="17"/>
      <c r="E193" s="12"/>
      <c r="F193" s="12"/>
      <c r="G193" s="17"/>
      <c r="H193" s="17"/>
      <c r="I193" s="12"/>
      <c r="J193" s="12"/>
      <c r="K193" s="17"/>
      <c r="L193" s="17"/>
      <c r="M193" s="12"/>
    </row>
    <row r="194" ht="13.5" customHeight="1">
      <c r="A194" s="17"/>
      <c r="B194" s="12"/>
      <c r="C194" s="17"/>
      <c r="D194" s="17"/>
      <c r="E194" s="12"/>
      <c r="F194" s="12"/>
      <c r="G194" s="17"/>
      <c r="H194" s="17"/>
      <c r="I194" s="12"/>
      <c r="J194" s="12"/>
      <c r="K194" s="17"/>
      <c r="L194" s="17"/>
      <c r="M194" s="12"/>
    </row>
    <row r="195" ht="13.5" customHeight="1">
      <c r="A195" s="17"/>
      <c r="B195" s="12"/>
      <c r="C195" s="17"/>
      <c r="D195" s="17"/>
      <c r="E195" s="12"/>
      <c r="F195" s="12"/>
      <c r="G195" s="17"/>
      <c r="H195" s="17"/>
      <c r="I195" s="12"/>
      <c r="J195" s="12"/>
      <c r="K195" s="17"/>
      <c r="L195" s="17"/>
      <c r="M195" s="12"/>
    </row>
    <row r="196" ht="13.5" customHeight="1">
      <c r="A196" s="17"/>
      <c r="B196" s="12"/>
      <c r="C196" s="17"/>
      <c r="D196" s="17"/>
      <c r="E196" s="12"/>
      <c r="F196" s="12"/>
      <c r="G196" s="17"/>
      <c r="H196" s="17"/>
      <c r="I196" s="12"/>
      <c r="J196" s="12"/>
      <c r="K196" s="17"/>
      <c r="L196" s="17"/>
      <c r="M196" s="12"/>
    </row>
    <row r="197" ht="13.5" customHeight="1">
      <c r="A197" s="17"/>
      <c r="B197" s="12"/>
      <c r="C197" s="17"/>
      <c r="D197" s="17"/>
      <c r="E197" s="12"/>
      <c r="F197" s="12"/>
      <c r="G197" s="17"/>
      <c r="H197" s="17"/>
      <c r="I197" s="12"/>
      <c r="J197" s="12"/>
      <c r="K197" s="17"/>
      <c r="L197" s="17"/>
      <c r="M197" s="12"/>
    </row>
    <row r="198" ht="13.5" customHeight="1">
      <c r="A198" s="17"/>
      <c r="B198" s="12"/>
      <c r="C198" s="17"/>
      <c r="D198" s="17"/>
      <c r="E198" s="12"/>
      <c r="F198" s="12"/>
      <c r="G198" s="17"/>
      <c r="H198" s="17"/>
      <c r="I198" s="12"/>
      <c r="J198" s="12"/>
      <c r="K198" s="17"/>
      <c r="L198" s="17"/>
      <c r="M198" s="12"/>
    </row>
    <row r="199" ht="13.5" customHeight="1">
      <c r="A199" s="17"/>
      <c r="B199" s="12"/>
      <c r="C199" s="17"/>
      <c r="D199" s="17"/>
      <c r="E199" s="12"/>
      <c r="F199" s="12"/>
      <c r="G199" s="17"/>
      <c r="H199" s="17"/>
      <c r="I199" s="12"/>
      <c r="J199" s="12"/>
      <c r="K199" s="17"/>
      <c r="L199" s="17"/>
      <c r="M199" s="12"/>
    </row>
    <row r="200" ht="13.5" customHeight="1">
      <c r="A200" s="17"/>
      <c r="B200" s="12"/>
      <c r="C200" s="17"/>
      <c r="D200" s="17"/>
      <c r="E200" s="12"/>
      <c r="F200" s="12"/>
      <c r="G200" s="17"/>
      <c r="H200" s="17"/>
      <c r="I200" s="12"/>
      <c r="J200" s="12"/>
      <c r="K200" s="17"/>
      <c r="L200" s="17"/>
      <c r="M200" s="12"/>
    </row>
    <row r="201" ht="13.5" customHeight="1">
      <c r="A201" s="17"/>
      <c r="B201" s="12"/>
      <c r="C201" s="17"/>
      <c r="D201" s="17"/>
      <c r="E201" s="12"/>
      <c r="F201" s="12"/>
      <c r="G201" s="17"/>
      <c r="H201" s="17"/>
      <c r="I201" s="12"/>
      <c r="J201" s="12"/>
      <c r="K201" s="17"/>
      <c r="L201" s="17"/>
      <c r="M201" s="12"/>
    </row>
    <row r="202" ht="13.5" customHeight="1">
      <c r="A202" s="17"/>
      <c r="B202" s="12"/>
      <c r="C202" s="17"/>
      <c r="D202" s="17"/>
      <c r="E202" s="12"/>
      <c r="F202" s="12"/>
      <c r="G202" s="17"/>
      <c r="H202" s="17"/>
      <c r="I202" s="12"/>
      <c r="J202" s="12"/>
      <c r="K202" s="17"/>
      <c r="L202" s="17"/>
      <c r="M202" s="12"/>
    </row>
    <row r="203" ht="13.5" customHeight="1">
      <c r="A203" s="17"/>
      <c r="B203" s="12"/>
      <c r="C203" s="17"/>
      <c r="D203" s="17"/>
      <c r="E203" s="12"/>
      <c r="F203" s="12"/>
      <c r="G203" s="17"/>
      <c r="H203" s="17"/>
      <c r="I203" s="12"/>
      <c r="J203" s="12"/>
      <c r="K203" s="17"/>
      <c r="L203" s="17"/>
      <c r="M203" s="12"/>
    </row>
    <row r="204" ht="13.5" customHeight="1">
      <c r="A204" s="17"/>
      <c r="B204" s="12"/>
      <c r="C204" s="17"/>
      <c r="D204" s="17"/>
      <c r="E204" s="12"/>
      <c r="F204" s="12"/>
      <c r="G204" s="17"/>
      <c r="H204" s="17"/>
      <c r="I204" s="12"/>
      <c r="J204" s="12"/>
      <c r="K204" s="17"/>
      <c r="L204" s="17"/>
      <c r="M204" s="12"/>
    </row>
    <row r="205" ht="13.5" customHeight="1">
      <c r="A205" s="17"/>
      <c r="B205" s="12"/>
      <c r="C205" s="17"/>
      <c r="D205" s="17"/>
      <c r="E205" s="12"/>
      <c r="F205" s="12"/>
      <c r="G205" s="17"/>
      <c r="H205" s="17"/>
      <c r="I205" s="12"/>
      <c r="J205" s="12"/>
      <c r="K205" s="17"/>
      <c r="L205" s="17"/>
      <c r="M205" s="12"/>
    </row>
    <row r="206" ht="13.5" customHeight="1">
      <c r="A206" s="17"/>
      <c r="B206" s="12"/>
      <c r="C206" s="17"/>
      <c r="D206" s="17"/>
      <c r="E206" s="12"/>
      <c r="F206" s="12"/>
      <c r="G206" s="17"/>
      <c r="H206" s="17"/>
      <c r="I206" s="12"/>
      <c r="J206" s="12"/>
      <c r="K206" s="17"/>
      <c r="L206" s="17"/>
      <c r="M206" s="12"/>
    </row>
    <row r="207" ht="13.5" customHeight="1">
      <c r="A207" s="17"/>
      <c r="B207" s="12"/>
      <c r="C207" s="17"/>
      <c r="D207" s="17"/>
      <c r="E207" s="12"/>
      <c r="F207" s="12"/>
      <c r="G207" s="17"/>
      <c r="H207" s="17"/>
      <c r="I207" s="12"/>
      <c r="J207" s="12"/>
      <c r="K207" s="17"/>
      <c r="L207" s="17"/>
      <c r="M207" s="12"/>
    </row>
    <row r="208" ht="13.5" customHeight="1">
      <c r="A208" s="17"/>
      <c r="B208" s="12"/>
      <c r="C208" s="17"/>
      <c r="D208" s="17"/>
      <c r="E208" s="12"/>
      <c r="F208" s="12"/>
      <c r="G208" s="17"/>
      <c r="H208" s="17"/>
      <c r="I208" s="12"/>
      <c r="J208" s="12"/>
      <c r="K208" s="17"/>
      <c r="L208" s="17"/>
      <c r="M208" s="12"/>
    </row>
    <row r="209" ht="13.5" customHeight="1">
      <c r="A209" s="17"/>
      <c r="B209" s="12"/>
      <c r="C209" s="17"/>
      <c r="D209" s="17"/>
      <c r="E209" s="12"/>
      <c r="F209" s="12"/>
      <c r="G209" s="17"/>
      <c r="H209" s="17"/>
      <c r="I209" s="12"/>
      <c r="J209" s="12"/>
      <c r="K209" s="17"/>
      <c r="L209" s="17"/>
      <c r="M209" s="12"/>
    </row>
    <row r="210" ht="13.5" customHeight="1">
      <c r="A210" s="17"/>
      <c r="B210" s="12"/>
      <c r="C210" s="17"/>
      <c r="D210" s="17"/>
      <c r="E210" s="12"/>
      <c r="F210" s="12"/>
      <c r="G210" s="17"/>
      <c r="H210" s="17"/>
      <c r="I210" s="12"/>
      <c r="J210" s="12"/>
      <c r="K210" s="17"/>
      <c r="L210" s="17"/>
      <c r="M210" s="12"/>
    </row>
    <row r="211" ht="13.5" customHeight="1">
      <c r="A211" s="17"/>
      <c r="B211" s="12"/>
      <c r="C211" s="17"/>
      <c r="D211" s="17"/>
      <c r="E211" s="12"/>
      <c r="F211" s="12"/>
      <c r="G211" s="17"/>
      <c r="H211" s="17"/>
      <c r="I211" s="12"/>
      <c r="J211" s="12"/>
      <c r="K211" s="17"/>
      <c r="L211" s="17"/>
      <c r="M211" s="12"/>
    </row>
    <row r="212" ht="13.5" customHeight="1">
      <c r="A212" s="17"/>
      <c r="B212" s="12"/>
      <c r="C212" s="17"/>
      <c r="D212" s="17"/>
      <c r="E212" s="12"/>
      <c r="F212" s="12"/>
      <c r="G212" s="17"/>
      <c r="H212" s="17"/>
      <c r="I212" s="12"/>
      <c r="J212" s="12"/>
      <c r="K212" s="17"/>
      <c r="L212" s="17"/>
      <c r="M212" s="12"/>
    </row>
    <row r="213" ht="13.5" customHeight="1">
      <c r="A213" s="17"/>
      <c r="B213" s="12"/>
      <c r="C213" s="17"/>
      <c r="D213" s="17"/>
      <c r="E213" s="12"/>
      <c r="F213" s="12"/>
      <c r="G213" s="17"/>
      <c r="H213" s="17"/>
      <c r="I213" s="12"/>
      <c r="J213" s="12"/>
      <c r="K213" s="17"/>
      <c r="L213" s="17"/>
      <c r="M213" s="12"/>
    </row>
    <row r="214" ht="13.5" customHeight="1">
      <c r="A214" s="17"/>
      <c r="B214" s="12"/>
      <c r="C214" s="17"/>
      <c r="D214" s="17"/>
      <c r="E214" s="12"/>
      <c r="F214" s="12"/>
      <c r="G214" s="17"/>
      <c r="H214" s="17"/>
      <c r="I214" s="12"/>
      <c r="J214" s="12"/>
      <c r="K214" s="17"/>
      <c r="L214" s="17"/>
      <c r="M214" s="12"/>
    </row>
    <row r="215" ht="13.5" customHeight="1">
      <c r="A215" s="17"/>
      <c r="B215" s="12"/>
      <c r="C215" s="17"/>
      <c r="D215" s="17"/>
      <c r="E215" s="12"/>
      <c r="F215" s="12"/>
      <c r="G215" s="17"/>
      <c r="H215" s="17"/>
      <c r="I215" s="12"/>
      <c r="J215" s="12"/>
      <c r="K215" s="17"/>
      <c r="L215" s="17"/>
      <c r="M215" s="12"/>
    </row>
    <row r="216" ht="13.5" customHeight="1">
      <c r="A216" s="17"/>
      <c r="B216" s="12"/>
      <c r="C216" s="17"/>
      <c r="D216" s="17"/>
      <c r="E216" s="12"/>
      <c r="F216" s="12"/>
      <c r="G216" s="17"/>
      <c r="H216" s="17"/>
      <c r="I216" s="12"/>
      <c r="J216" s="12"/>
      <c r="K216" s="17"/>
      <c r="L216" s="17"/>
      <c r="M216" s="12"/>
    </row>
    <row r="217" ht="13.5" customHeight="1">
      <c r="A217" s="17"/>
      <c r="B217" s="12"/>
      <c r="C217" s="17"/>
      <c r="D217" s="17"/>
      <c r="E217" s="12"/>
      <c r="F217" s="12"/>
      <c r="G217" s="17"/>
      <c r="H217" s="17"/>
      <c r="I217" s="12"/>
      <c r="J217" s="12"/>
      <c r="K217" s="17"/>
      <c r="L217" s="17"/>
      <c r="M217" s="12"/>
    </row>
    <row r="218" ht="13.5" customHeight="1">
      <c r="A218" s="17"/>
      <c r="B218" s="12"/>
      <c r="C218" s="17"/>
      <c r="D218" s="17"/>
      <c r="E218" s="12"/>
      <c r="F218" s="12"/>
      <c r="G218" s="17"/>
      <c r="H218" s="17"/>
      <c r="I218" s="12"/>
      <c r="J218" s="12"/>
      <c r="K218" s="17"/>
      <c r="L218" s="17"/>
      <c r="M218" s="12"/>
    </row>
    <row r="219" ht="13.5" customHeight="1">
      <c r="A219" s="17"/>
      <c r="B219" s="12"/>
      <c r="C219" s="17"/>
      <c r="D219" s="17"/>
      <c r="E219" s="12"/>
      <c r="F219" s="12"/>
      <c r="G219" s="17"/>
      <c r="H219" s="17"/>
      <c r="I219" s="12"/>
      <c r="J219" s="12"/>
      <c r="K219" s="17"/>
      <c r="L219" s="17"/>
      <c r="M219" s="12"/>
    </row>
    <row r="220" ht="13.5" customHeight="1">
      <c r="A220" s="17"/>
      <c r="B220" s="12"/>
      <c r="C220" s="17"/>
      <c r="D220" s="17"/>
      <c r="E220" s="12"/>
      <c r="F220" s="12"/>
      <c r="G220" s="17"/>
      <c r="H220" s="17"/>
      <c r="I220" s="12"/>
      <c r="J220" s="12"/>
      <c r="K220" s="17"/>
      <c r="L220" s="17"/>
      <c r="M220" s="12"/>
    </row>
    <row r="221" ht="13.5" customHeight="1">
      <c r="A221" s="17"/>
      <c r="B221" s="12"/>
      <c r="C221" s="17"/>
      <c r="D221" s="17"/>
      <c r="E221" s="12"/>
      <c r="F221" s="12"/>
      <c r="G221" s="17"/>
      <c r="H221" s="17"/>
      <c r="I221" s="12"/>
      <c r="J221" s="12"/>
      <c r="K221" s="17"/>
      <c r="L221" s="17"/>
      <c r="M221" s="12"/>
    </row>
    <row r="222" ht="13.5" customHeight="1">
      <c r="A222" s="17"/>
      <c r="B222" s="12"/>
      <c r="C222" s="17"/>
      <c r="D222" s="17"/>
      <c r="E222" s="12"/>
      <c r="F222" s="12"/>
      <c r="G222" s="17"/>
      <c r="H222" s="17"/>
      <c r="I222" s="12"/>
      <c r="J222" s="12"/>
      <c r="K222" s="17"/>
      <c r="L222" s="17"/>
      <c r="M222" s="12"/>
    </row>
    <row r="223" ht="13.5" customHeight="1">
      <c r="A223" s="17"/>
      <c r="B223" s="12"/>
      <c r="C223" s="17"/>
      <c r="D223" s="17"/>
      <c r="E223" s="12"/>
      <c r="F223" s="12"/>
      <c r="G223" s="17"/>
      <c r="H223" s="17"/>
      <c r="I223" s="12"/>
      <c r="J223" s="12"/>
      <c r="K223" s="17"/>
      <c r="L223" s="17"/>
      <c r="M223" s="12"/>
    </row>
    <row r="224" ht="13.5" customHeight="1">
      <c r="A224" s="17"/>
      <c r="B224" s="12"/>
      <c r="C224" s="17"/>
      <c r="D224" s="17"/>
      <c r="E224" s="12"/>
      <c r="F224" s="12"/>
      <c r="G224" s="17"/>
      <c r="H224" s="17"/>
      <c r="I224" s="12"/>
      <c r="J224" s="12"/>
      <c r="K224" s="17"/>
      <c r="L224" s="17"/>
      <c r="M224" s="12"/>
    </row>
    <row r="225" ht="13.5" customHeight="1">
      <c r="A225" s="17"/>
      <c r="B225" s="12"/>
      <c r="C225" s="17"/>
      <c r="D225" s="17"/>
      <c r="E225" s="12"/>
      <c r="F225" s="12"/>
      <c r="G225" s="17"/>
      <c r="H225" s="17"/>
      <c r="I225" s="12"/>
      <c r="J225" s="12"/>
      <c r="K225" s="17"/>
      <c r="L225" s="17"/>
      <c r="M225" s="12"/>
    </row>
    <row r="226" ht="13.5" customHeight="1">
      <c r="A226" s="17"/>
      <c r="B226" s="12"/>
      <c r="C226" s="17"/>
      <c r="D226" s="17"/>
      <c r="E226" s="12"/>
      <c r="F226" s="12"/>
      <c r="G226" s="17"/>
      <c r="H226" s="17"/>
      <c r="I226" s="12"/>
      <c r="J226" s="12"/>
      <c r="K226" s="17"/>
      <c r="L226" s="17"/>
      <c r="M226" s="12"/>
    </row>
    <row r="227" ht="13.5" customHeight="1">
      <c r="A227" s="17"/>
      <c r="B227" s="12"/>
      <c r="C227" s="17"/>
      <c r="D227" s="17"/>
      <c r="E227" s="12"/>
      <c r="F227" s="12"/>
      <c r="G227" s="17"/>
      <c r="H227" s="17"/>
      <c r="I227" s="12"/>
      <c r="J227" s="12"/>
      <c r="K227" s="17"/>
      <c r="L227" s="17"/>
      <c r="M227" s="12"/>
    </row>
    <row r="228" ht="13.5" customHeight="1">
      <c r="A228" s="17"/>
      <c r="B228" s="12"/>
      <c r="C228" s="17"/>
      <c r="D228" s="17"/>
      <c r="E228" s="12"/>
      <c r="F228" s="12"/>
      <c r="G228" s="17"/>
      <c r="H228" s="17"/>
      <c r="I228" s="12"/>
      <c r="J228" s="12"/>
      <c r="K228" s="17"/>
      <c r="L228" s="17"/>
      <c r="M228" s="12"/>
    </row>
    <row r="229" ht="13.5" customHeight="1">
      <c r="A229" s="17"/>
      <c r="B229" s="12"/>
      <c r="C229" s="17"/>
      <c r="D229" s="17"/>
      <c r="E229" s="12"/>
      <c r="F229" s="12"/>
      <c r="G229" s="17"/>
      <c r="H229" s="17"/>
      <c r="I229" s="12"/>
      <c r="J229" s="12"/>
      <c r="K229" s="17"/>
      <c r="L229" s="17"/>
      <c r="M229" s="12"/>
    </row>
    <row r="230" ht="13.5" customHeight="1">
      <c r="A230" s="17"/>
      <c r="B230" s="12"/>
      <c r="C230" s="17"/>
      <c r="D230" s="17"/>
      <c r="E230" s="12"/>
      <c r="F230" s="12"/>
      <c r="G230" s="17"/>
      <c r="H230" s="17"/>
      <c r="I230" s="12"/>
      <c r="J230" s="12"/>
      <c r="K230" s="17"/>
      <c r="L230" s="17"/>
      <c r="M230" s="12"/>
    </row>
    <row r="231" ht="13.5" customHeight="1">
      <c r="A231" s="17"/>
      <c r="B231" s="12"/>
      <c r="C231" s="17"/>
      <c r="D231" s="17"/>
      <c r="E231" s="12"/>
      <c r="F231" s="12"/>
      <c r="G231" s="17"/>
      <c r="H231" s="17"/>
      <c r="I231" s="12"/>
      <c r="J231" s="12"/>
      <c r="K231" s="17"/>
      <c r="L231" s="17"/>
      <c r="M231" s="12"/>
    </row>
    <row r="232" ht="13.5" customHeight="1">
      <c r="A232" s="17"/>
      <c r="B232" s="12"/>
      <c r="C232" s="17"/>
      <c r="D232" s="17"/>
      <c r="E232" s="12"/>
      <c r="F232" s="12"/>
      <c r="G232" s="17"/>
      <c r="H232" s="17"/>
      <c r="I232" s="12"/>
      <c r="J232" s="12"/>
      <c r="K232" s="17"/>
      <c r="L232" s="17"/>
      <c r="M232" s="12"/>
    </row>
    <row r="233" ht="13.5" customHeight="1">
      <c r="A233" s="17"/>
      <c r="B233" s="12"/>
      <c r="C233" s="17"/>
      <c r="D233" s="17"/>
      <c r="E233" s="12"/>
      <c r="F233" s="12"/>
      <c r="G233" s="17"/>
      <c r="H233" s="17"/>
      <c r="I233" s="12"/>
      <c r="J233" s="12"/>
      <c r="K233" s="17"/>
      <c r="L233" s="17"/>
      <c r="M233" s="12"/>
    </row>
    <row r="234" ht="13.5" customHeight="1">
      <c r="A234" s="17"/>
      <c r="B234" s="12"/>
      <c r="C234" s="17"/>
      <c r="D234" s="17"/>
      <c r="E234" s="12"/>
      <c r="F234" s="12"/>
      <c r="G234" s="17"/>
      <c r="H234" s="17"/>
      <c r="I234" s="12"/>
      <c r="J234" s="12"/>
      <c r="K234" s="17"/>
      <c r="L234" s="17"/>
      <c r="M234" s="12"/>
    </row>
    <row r="235" ht="13.5" customHeight="1">
      <c r="A235" s="17"/>
      <c r="B235" s="12"/>
      <c r="C235" s="17"/>
      <c r="D235" s="17"/>
      <c r="E235" s="12"/>
      <c r="F235" s="12"/>
      <c r="G235" s="17"/>
      <c r="H235" s="17"/>
      <c r="I235" s="12"/>
      <c r="J235" s="12"/>
      <c r="K235" s="17"/>
      <c r="L235" s="17"/>
      <c r="M235" s="12"/>
    </row>
    <row r="236" ht="13.5" customHeight="1">
      <c r="A236" s="17"/>
      <c r="B236" s="12"/>
      <c r="C236" s="17"/>
      <c r="D236" s="17"/>
      <c r="E236" s="12"/>
      <c r="F236" s="12"/>
      <c r="G236" s="17"/>
      <c r="H236" s="17"/>
      <c r="I236" s="12"/>
      <c r="J236" s="12"/>
      <c r="K236" s="17"/>
      <c r="L236" s="17"/>
      <c r="M236" s="12"/>
    </row>
    <row r="237" ht="13.5" customHeight="1">
      <c r="A237" s="17"/>
      <c r="B237" s="12"/>
      <c r="C237" s="17"/>
      <c r="D237" s="17"/>
      <c r="E237" s="12"/>
      <c r="F237" s="12"/>
      <c r="G237" s="17"/>
      <c r="H237" s="17"/>
      <c r="I237" s="12"/>
      <c r="J237" s="12"/>
      <c r="K237" s="17"/>
      <c r="L237" s="17"/>
      <c r="M237" s="12"/>
    </row>
    <row r="238" ht="13.5" customHeight="1">
      <c r="A238" s="17"/>
      <c r="B238" s="12"/>
      <c r="C238" s="17"/>
      <c r="D238" s="17"/>
      <c r="E238" s="12"/>
      <c r="F238" s="12"/>
      <c r="G238" s="17"/>
      <c r="H238" s="17"/>
      <c r="I238" s="12"/>
      <c r="J238" s="12"/>
      <c r="K238" s="17"/>
      <c r="L238" s="17"/>
      <c r="M238" s="12"/>
    </row>
    <row r="239" ht="13.5" customHeight="1">
      <c r="A239" s="17"/>
      <c r="B239" s="12"/>
      <c r="C239" s="17"/>
      <c r="D239" s="17"/>
      <c r="E239" s="12"/>
      <c r="F239" s="12"/>
      <c r="G239" s="17"/>
      <c r="H239" s="17"/>
      <c r="I239" s="12"/>
      <c r="J239" s="12"/>
      <c r="K239" s="17"/>
      <c r="L239" s="17"/>
      <c r="M239" s="12"/>
    </row>
    <row r="240" ht="13.5" customHeight="1">
      <c r="A240" s="17"/>
      <c r="B240" s="12"/>
      <c r="C240" s="17"/>
      <c r="D240" s="17"/>
      <c r="E240" s="12"/>
      <c r="F240" s="12"/>
      <c r="G240" s="17"/>
      <c r="H240" s="17"/>
      <c r="I240" s="12"/>
      <c r="J240" s="12"/>
      <c r="K240" s="17"/>
      <c r="L240" s="17"/>
      <c r="M240" s="12"/>
    </row>
    <row r="241" ht="13.5" customHeight="1">
      <c r="A241" s="17"/>
      <c r="B241" s="12"/>
      <c r="C241" s="17"/>
      <c r="D241" s="17"/>
      <c r="E241" s="12"/>
      <c r="F241" s="12"/>
      <c r="G241" s="17"/>
      <c r="H241" s="17"/>
      <c r="I241" s="12"/>
      <c r="J241" s="12"/>
      <c r="K241" s="17"/>
      <c r="L241" s="17"/>
      <c r="M241" s="12"/>
    </row>
    <row r="242" ht="13.5" customHeight="1">
      <c r="A242" s="17"/>
      <c r="B242" s="12"/>
      <c r="C242" s="17"/>
      <c r="D242" s="17"/>
      <c r="E242" s="12"/>
      <c r="F242" s="12"/>
      <c r="G242" s="17"/>
      <c r="H242" s="17"/>
      <c r="I242" s="12"/>
      <c r="J242" s="12"/>
      <c r="K242" s="17"/>
      <c r="L242" s="17"/>
      <c r="M242" s="12"/>
    </row>
    <row r="243" ht="13.5" customHeight="1">
      <c r="A243" s="17"/>
      <c r="B243" s="12"/>
      <c r="C243" s="17"/>
      <c r="D243" s="17"/>
      <c r="E243" s="12"/>
      <c r="F243" s="12"/>
      <c r="G243" s="17"/>
      <c r="H243" s="17"/>
      <c r="I243" s="12"/>
      <c r="J243" s="12"/>
      <c r="K243" s="17"/>
      <c r="L243" s="17"/>
      <c r="M243" s="12"/>
    </row>
    <row r="244" ht="13.5" customHeight="1">
      <c r="A244" s="17"/>
      <c r="B244" s="12"/>
      <c r="C244" s="17"/>
      <c r="D244" s="17"/>
      <c r="E244" s="12"/>
      <c r="F244" s="12"/>
      <c r="G244" s="17"/>
      <c r="H244" s="17"/>
      <c r="I244" s="12"/>
      <c r="J244" s="12"/>
      <c r="K244" s="17"/>
      <c r="L244" s="17"/>
      <c r="M244" s="12"/>
    </row>
    <row r="245" ht="13.5" customHeight="1">
      <c r="A245" s="17"/>
      <c r="B245" s="12"/>
      <c r="C245" s="17"/>
      <c r="D245" s="17"/>
      <c r="E245" s="12"/>
      <c r="F245" s="12"/>
      <c r="G245" s="17"/>
      <c r="H245" s="17"/>
      <c r="I245" s="12"/>
      <c r="J245" s="12"/>
      <c r="K245" s="17"/>
      <c r="L245" s="17"/>
      <c r="M245" s="12"/>
    </row>
    <row r="246" ht="13.5" customHeight="1">
      <c r="A246" s="17"/>
      <c r="B246" s="12"/>
      <c r="C246" s="17"/>
      <c r="D246" s="17"/>
      <c r="E246" s="12"/>
      <c r="F246" s="12"/>
      <c r="G246" s="17"/>
      <c r="H246" s="17"/>
      <c r="I246" s="12"/>
      <c r="J246" s="12"/>
      <c r="K246" s="17"/>
      <c r="L246" s="17"/>
      <c r="M246" s="12"/>
    </row>
    <row r="247" ht="13.5" customHeight="1">
      <c r="A247" s="17"/>
      <c r="B247" s="12"/>
      <c r="C247" s="17"/>
      <c r="D247" s="17"/>
      <c r="E247" s="12"/>
      <c r="F247" s="12"/>
      <c r="G247" s="17"/>
      <c r="H247" s="17"/>
      <c r="I247" s="12"/>
      <c r="J247" s="12"/>
      <c r="K247" s="17"/>
      <c r="L247" s="17"/>
      <c r="M247" s="12"/>
    </row>
    <row r="248" ht="13.5" customHeight="1">
      <c r="A248" s="17"/>
      <c r="B248" s="12"/>
      <c r="C248" s="17"/>
      <c r="D248" s="17"/>
      <c r="E248" s="12"/>
      <c r="F248" s="12"/>
      <c r="G248" s="17"/>
      <c r="H248" s="17"/>
      <c r="I248" s="12"/>
      <c r="J248" s="12"/>
      <c r="K248" s="17"/>
      <c r="L248" s="17"/>
      <c r="M248" s="12"/>
    </row>
    <row r="249" ht="13.5" customHeight="1">
      <c r="A249" s="17"/>
      <c r="B249" s="12"/>
      <c r="C249" s="17"/>
      <c r="D249" s="17"/>
      <c r="E249" s="12"/>
      <c r="F249" s="12"/>
      <c r="G249" s="17"/>
      <c r="H249" s="17"/>
      <c r="I249" s="12"/>
      <c r="J249" s="12"/>
      <c r="K249" s="17"/>
      <c r="L249" s="17"/>
      <c r="M249" s="12"/>
    </row>
    <row r="250" ht="13.5" customHeight="1">
      <c r="A250" s="17"/>
      <c r="B250" s="12"/>
      <c r="C250" s="17"/>
      <c r="D250" s="17"/>
      <c r="E250" s="12"/>
      <c r="F250" s="12"/>
      <c r="G250" s="17"/>
      <c r="H250" s="17"/>
      <c r="I250" s="12"/>
      <c r="J250" s="12"/>
      <c r="K250" s="17"/>
      <c r="L250" s="17"/>
      <c r="M250" s="12"/>
    </row>
    <row r="251" ht="13.5" customHeight="1">
      <c r="A251" s="17"/>
      <c r="B251" s="12"/>
      <c r="C251" s="17"/>
      <c r="D251" s="17"/>
      <c r="E251" s="12"/>
      <c r="F251" s="12"/>
      <c r="G251" s="17"/>
      <c r="H251" s="17"/>
      <c r="I251" s="12"/>
      <c r="J251" s="12"/>
      <c r="K251" s="17"/>
      <c r="L251" s="17"/>
      <c r="M251" s="12"/>
    </row>
    <row r="252" ht="13.5" customHeight="1">
      <c r="A252" s="17"/>
      <c r="B252" s="12"/>
      <c r="C252" s="17"/>
      <c r="D252" s="17"/>
      <c r="E252" s="12"/>
      <c r="F252" s="12"/>
      <c r="G252" s="17"/>
      <c r="H252" s="17"/>
      <c r="I252" s="12"/>
      <c r="J252" s="12"/>
      <c r="K252" s="17"/>
      <c r="L252" s="17"/>
      <c r="M252" s="12"/>
    </row>
    <row r="253" ht="13.5" customHeight="1">
      <c r="A253" s="17"/>
      <c r="B253" s="12"/>
      <c r="C253" s="17"/>
      <c r="D253" s="17"/>
      <c r="E253" s="12"/>
      <c r="F253" s="12"/>
      <c r="G253" s="17"/>
      <c r="H253" s="17"/>
      <c r="I253" s="12"/>
      <c r="J253" s="12"/>
      <c r="K253" s="17"/>
      <c r="L253" s="17"/>
      <c r="M253" s="12"/>
    </row>
    <row r="254" ht="13.5" customHeight="1">
      <c r="A254" s="17"/>
      <c r="B254" s="12"/>
      <c r="C254" s="17"/>
      <c r="D254" s="17"/>
      <c r="E254" s="12"/>
      <c r="F254" s="12"/>
      <c r="G254" s="17"/>
      <c r="H254" s="17"/>
      <c r="I254" s="12"/>
      <c r="J254" s="12"/>
      <c r="K254" s="17"/>
      <c r="L254" s="17"/>
      <c r="M254" s="12"/>
    </row>
    <row r="255" ht="13.5" customHeight="1">
      <c r="A255" s="17"/>
      <c r="B255" s="12"/>
      <c r="C255" s="17"/>
      <c r="D255" s="17"/>
      <c r="E255" s="12"/>
      <c r="F255" s="12"/>
      <c r="G255" s="17"/>
      <c r="H255" s="17"/>
      <c r="I255" s="12"/>
      <c r="J255" s="12"/>
      <c r="K255" s="17"/>
      <c r="L255" s="17"/>
      <c r="M255" s="12"/>
    </row>
    <row r="256" ht="13.5" customHeight="1">
      <c r="A256" s="17"/>
      <c r="B256" s="12"/>
      <c r="C256" s="17"/>
      <c r="D256" s="17"/>
      <c r="E256" s="12"/>
      <c r="F256" s="12"/>
      <c r="G256" s="17"/>
      <c r="H256" s="17"/>
      <c r="I256" s="12"/>
      <c r="J256" s="12"/>
      <c r="K256" s="17"/>
      <c r="L256" s="17"/>
      <c r="M256" s="12"/>
    </row>
    <row r="257" ht="13.5" customHeight="1">
      <c r="A257" s="17"/>
      <c r="B257" s="12"/>
      <c r="C257" s="17"/>
      <c r="D257" s="17"/>
      <c r="E257" s="12"/>
      <c r="F257" s="12"/>
      <c r="G257" s="17"/>
      <c r="H257" s="17"/>
      <c r="I257" s="12"/>
      <c r="J257" s="12"/>
      <c r="K257" s="17"/>
      <c r="L257" s="17"/>
      <c r="M257" s="12"/>
    </row>
    <row r="258" ht="13.5" customHeight="1">
      <c r="A258" s="17"/>
      <c r="B258" s="12"/>
      <c r="C258" s="17"/>
      <c r="D258" s="17"/>
      <c r="E258" s="12"/>
      <c r="F258" s="12"/>
      <c r="G258" s="17"/>
      <c r="H258" s="17"/>
      <c r="I258" s="12"/>
      <c r="J258" s="12"/>
      <c r="K258" s="17"/>
      <c r="L258" s="17"/>
      <c r="M258" s="12"/>
    </row>
    <row r="259" ht="13.5" customHeight="1">
      <c r="A259" s="17"/>
      <c r="B259" s="12"/>
      <c r="C259" s="17"/>
      <c r="D259" s="17"/>
      <c r="E259" s="12"/>
      <c r="F259" s="12"/>
      <c r="G259" s="17"/>
      <c r="H259" s="17"/>
      <c r="I259" s="12"/>
      <c r="J259" s="12"/>
      <c r="K259" s="17"/>
      <c r="L259" s="17"/>
      <c r="M259" s="12"/>
    </row>
    <row r="260" ht="13.5" customHeight="1">
      <c r="A260" s="17"/>
      <c r="B260" s="12"/>
      <c r="C260" s="17"/>
      <c r="D260" s="17"/>
      <c r="E260" s="12"/>
      <c r="F260" s="12"/>
      <c r="G260" s="17"/>
      <c r="H260" s="17"/>
      <c r="I260" s="12"/>
      <c r="J260" s="12"/>
      <c r="K260" s="17"/>
      <c r="L260" s="17"/>
      <c r="M260" s="12"/>
    </row>
    <row r="261" ht="13.5" customHeight="1">
      <c r="A261" s="17"/>
      <c r="B261" s="12"/>
      <c r="C261" s="17"/>
      <c r="D261" s="17"/>
      <c r="E261" s="12"/>
      <c r="F261" s="12"/>
      <c r="G261" s="17"/>
      <c r="H261" s="17"/>
      <c r="I261" s="12"/>
      <c r="J261" s="12"/>
      <c r="K261" s="17"/>
      <c r="L261" s="17"/>
      <c r="M261" s="12"/>
    </row>
    <row r="262" ht="13.5" customHeight="1">
      <c r="A262" s="17"/>
      <c r="B262" s="12"/>
      <c r="C262" s="17"/>
      <c r="D262" s="17"/>
      <c r="E262" s="12"/>
      <c r="F262" s="12"/>
      <c r="G262" s="17"/>
      <c r="H262" s="17"/>
      <c r="I262" s="12"/>
      <c r="J262" s="12"/>
      <c r="K262" s="17"/>
      <c r="L262" s="17"/>
      <c r="M262" s="12"/>
    </row>
    <row r="263" ht="13.5" customHeight="1">
      <c r="A263" s="17"/>
      <c r="B263" s="12"/>
      <c r="C263" s="17"/>
      <c r="D263" s="17"/>
      <c r="E263" s="12"/>
      <c r="F263" s="12"/>
      <c r="G263" s="17"/>
      <c r="H263" s="17"/>
      <c r="I263" s="12"/>
      <c r="J263" s="12"/>
      <c r="K263" s="17"/>
      <c r="L263" s="17"/>
      <c r="M263" s="12"/>
    </row>
    <row r="264" ht="13.5" customHeight="1">
      <c r="A264" s="17"/>
      <c r="B264" s="12"/>
      <c r="C264" s="17"/>
      <c r="D264" s="17"/>
      <c r="E264" s="12"/>
      <c r="F264" s="12"/>
      <c r="G264" s="17"/>
      <c r="H264" s="17"/>
      <c r="I264" s="12"/>
      <c r="J264" s="12"/>
      <c r="K264" s="17"/>
      <c r="L264" s="17"/>
      <c r="M264" s="12"/>
    </row>
    <row r="265" ht="13.5" customHeight="1">
      <c r="A265" s="17"/>
      <c r="B265" s="12"/>
      <c r="C265" s="17"/>
      <c r="D265" s="17"/>
      <c r="E265" s="12"/>
      <c r="F265" s="12"/>
      <c r="G265" s="17"/>
      <c r="H265" s="17"/>
      <c r="I265" s="12"/>
      <c r="J265" s="12"/>
      <c r="K265" s="17"/>
      <c r="L265" s="17"/>
      <c r="M265" s="12"/>
    </row>
    <row r="266" ht="13.5" customHeight="1">
      <c r="A266" s="17"/>
      <c r="B266" s="12"/>
      <c r="C266" s="17"/>
      <c r="D266" s="17"/>
      <c r="E266" s="12"/>
      <c r="F266" s="12"/>
      <c r="G266" s="17"/>
      <c r="H266" s="17"/>
      <c r="I266" s="12"/>
      <c r="J266" s="12"/>
      <c r="K266" s="17"/>
      <c r="L266" s="17"/>
      <c r="M266" s="12"/>
    </row>
    <row r="267" ht="13.5" customHeight="1">
      <c r="A267" s="17"/>
      <c r="B267" s="12"/>
      <c r="C267" s="17"/>
      <c r="D267" s="17"/>
      <c r="E267" s="12"/>
      <c r="F267" s="12"/>
      <c r="G267" s="17"/>
      <c r="H267" s="17"/>
      <c r="I267" s="12"/>
      <c r="J267" s="12"/>
      <c r="K267" s="17"/>
      <c r="L267" s="17"/>
      <c r="M267" s="12"/>
    </row>
    <row r="268" ht="13.5" customHeight="1">
      <c r="A268" s="17"/>
      <c r="B268" s="12"/>
      <c r="C268" s="17"/>
      <c r="D268" s="17"/>
      <c r="E268" s="12"/>
      <c r="F268" s="12"/>
      <c r="G268" s="17"/>
      <c r="H268" s="17"/>
      <c r="I268" s="12"/>
      <c r="J268" s="12"/>
      <c r="K268" s="17"/>
      <c r="L268" s="17"/>
      <c r="M268" s="12"/>
    </row>
    <row r="269" ht="13.5" customHeight="1">
      <c r="A269" s="17"/>
      <c r="B269" s="12"/>
      <c r="C269" s="17"/>
      <c r="D269" s="17"/>
      <c r="E269" s="12"/>
      <c r="F269" s="12"/>
      <c r="G269" s="17"/>
      <c r="H269" s="17"/>
      <c r="I269" s="12"/>
      <c r="J269" s="12"/>
      <c r="K269" s="17"/>
      <c r="L269" s="17"/>
      <c r="M269" s="12"/>
    </row>
    <row r="270" ht="13.5" customHeight="1">
      <c r="A270" s="17"/>
      <c r="B270" s="12"/>
      <c r="C270" s="17"/>
      <c r="D270" s="17"/>
      <c r="E270" s="12"/>
      <c r="F270" s="12"/>
      <c r="G270" s="17"/>
      <c r="H270" s="17"/>
      <c r="I270" s="12"/>
      <c r="J270" s="12"/>
      <c r="K270" s="17"/>
      <c r="L270" s="17"/>
      <c r="M270" s="12"/>
    </row>
    <row r="271" ht="13.5" customHeight="1">
      <c r="A271" s="17"/>
      <c r="B271" s="12"/>
      <c r="C271" s="17"/>
      <c r="D271" s="17"/>
      <c r="E271" s="12"/>
      <c r="F271" s="12"/>
      <c r="G271" s="17"/>
      <c r="H271" s="17"/>
      <c r="I271" s="12"/>
      <c r="J271" s="12"/>
      <c r="K271" s="17"/>
      <c r="L271" s="17"/>
      <c r="M271" s="12"/>
    </row>
    <row r="272" ht="13.5" customHeight="1">
      <c r="A272" s="17"/>
      <c r="B272" s="12"/>
      <c r="C272" s="17"/>
      <c r="D272" s="17"/>
      <c r="E272" s="12"/>
      <c r="F272" s="12"/>
      <c r="G272" s="17"/>
      <c r="H272" s="17"/>
      <c r="I272" s="12"/>
      <c r="J272" s="12"/>
      <c r="K272" s="17"/>
      <c r="L272" s="17"/>
      <c r="M272" s="12"/>
    </row>
    <row r="273" ht="13.5" customHeight="1">
      <c r="A273" s="17"/>
      <c r="B273" s="12"/>
      <c r="C273" s="17"/>
      <c r="D273" s="17"/>
      <c r="E273" s="12"/>
      <c r="F273" s="12"/>
      <c r="G273" s="17"/>
      <c r="H273" s="17"/>
      <c r="I273" s="12"/>
      <c r="J273" s="12"/>
      <c r="K273" s="17"/>
      <c r="L273" s="17"/>
      <c r="M273" s="12"/>
    </row>
    <row r="274" ht="13.5" customHeight="1">
      <c r="A274" s="17"/>
      <c r="B274" s="12"/>
      <c r="C274" s="17"/>
      <c r="D274" s="17"/>
      <c r="E274" s="12"/>
      <c r="F274" s="12"/>
      <c r="G274" s="17"/>
      <c r="H274" s="17"/>
      <c r="I274" s="12"/>
      <c r="J274" s="12"/>
      <c r="K274" s="17"/>
      <c r="L274" s="17"/>
      <c r="M274" s="12"/>
    </row>
    <row r="275" ht="13.5" customHeight="1">
      <c r="A275" s="17"/>
      <c r="B275" s="12"/>
      <c r="C275" s="17"/>
      <c r="D275" s="17"/>
      <c r="E275" s="12"/>
      <c r="F275" s="12"/>
      <c r="G275" s="17"/>
      <c r="H275" s="17"/>
      <c r="I275" s="12"/>
      <c r="J275" s="12"/>
      <c r="K275" s="17"/>
      <c r="L275" s="17"/>
      <c r="M275" s="12"/>
    </row>
    <row r="276" ht="13.5" customHeight="1">
      <c r="A276" s="17"/>
      <c r="B276" s="12"/>
      <c r="C276" s="17"/>
      <c r="D276" s="17"/>
      <c r="E276" s="12"/>
      <c r="F276" s="12"/>
      <c r="G276" s="17"/>
      <c r="H276" s="17"/>
      <c r="I276" s="12"/>
      <c r="J276" s="12"/>
      <c r="K276" s="17"/>
      <c r="L276" s="17"/>
      <c r="M276" s="12"/>
    </row>
    <row r="277" ht="13.5" customHeight="1">
      <c r="A277" s="17"/>
      <c r="B277" s="12"/>
      <c r="C277" s="17"/>
      <c r="D277" s="17"/>
      <c r="E277" s="12"/>
      <c r="F277" s="12"/>
      <c r="G277" s="17"/>
      <c r="H277" s="17"/>
      <c r="I277" s="12"/>
      <c r="J277" s="12"/>
      <c r="K277" s="17"/>
      <c r="L277" s="17"/>
      <c r="M277" s="12"/>
    </row>
    <row r="278" ht="13.5" customHeight="1">
      <c r="A278" s="17"/>
      <c r="B278" s="12"/>
      <c r="C278" s="17"/>
      <c r="D278" s="17"/>
      <c r="E278" s="12"/>
      <c r="F278" s="12"/>
      <c r="G278" s="17"/>
      <c r="H278" s="17"/>
      <c r="I278" s="12"/>
      <c r="J278" s="12"/>
      <c r="K278" s="17"/>
      <c r="L278" s="17"/>
      <c r="M278" s="12"/>
    </row>
    <row r="279" ht="13.5" customHeight="1">
      <c r="A279" s="17"/>
      <c r="B279" s="12"/>
      <c r="C279" s="17"/>
      <c r="D279" s="17"/>
      <c r="E279" s="12"/>
      <c r="F279" s="12"/>
      <c r="G279" s="17"/>
      <c r="H279" s="17"/>
      <c r="I279" s="12"/>
      <c r="J279" s="12"/>
      <c r="K279" s="17"/>
      <c r="L279" s="17"/>
      <c r="M279" s="12"/>
    </row>
    <row r="280" ht="13.5" customHeight="1">
      <c r="A280" s="17"/>
      <c r="B280" s="12"/>
      <c r="C280" s="17"/>
      <c r="D280" s="17"/>
      <c r="E280" s="12"/>
      <c r="F280" s="12"/>
      <c r="G280" s="17"/>
      <c r="H280" s="17"/>
      <c r="I280" s="12"/>
      <c r="J280" s="12"/>
      <c r="K280" s="17"/>
      <c r="L280" s="17"/>
      <c r="M280" s="12"/>
    </row>
    <row r="281" ht="13.5" customHeight="1">
      <c r="A281" s="17"/>
      <c r="B281" s="12"/>
      <c r="C281" s="17"/>
      <c r="D281" s="17"/>
      <c r="E281" s="12"/>
      <c r="F281" s="12"/>
      <c r="G281" s="17"/>
      <c r="H281" s="17"/>
      <c r="I281" s="12"/>
      <c r="J281" s="12"/>
      <c r="K281" s="17"/>
      <c r="L281" s="17"/>
      <c r="M281" s="12"/>
    </row>
    <row r="282" ht="13.5" customHeight="1">
      <c r="A282" s="17"/>
      <c r="B282" s="12"/>
      <c r="C282" s="17"/>
      <c r="D282" s="17"/>
      <c r="E282" s="12"/>
      <c r="F282" s="12"/>
      <c r="G282" s="17"/>
      <c r="H282" s="17"/>
      <c r="I282" s="12"/>
      <c r="J282" s="12"/>
      <c r="K282" s="17"/>
      <c r="L282" s="17"/>
      <c r="M282" s="12"/>
    </row>
    <row r="283" ht="13.5" customHeight="1">
      <c r="A283" s="17"/>
      <c r="B283" s="12"/>
      <c r="C283" s="17"/>
      <c r="D283" s="17"/>
      <c r="E283" s="12"/>
      <c r="F283" s="12"/>
      <c r="G283" s="17"/>
      <c r="H283" s="17"/>
      <c r="I283" s="12"/>
      <c r="J283" s="12"/>
      <c r="K283" s="17"/>
      <c r="L283" s="17"/>
      <c r="M283" s="12"/>
    </row>
    <row r="284" ht="13.5" customHeight="1">
      <c r="A284" s="17"/>
      <c r="B284" s="12"/>
      <c r="C284" s="17"/>
      <c r="D284" s="17"/>
      <c r="E284" s="12"/>
      <c r="F284" s="12"/>
      <c r="G284" s="17"/>
      <c r="H284" s="17"/>
      <c r="I284" s="12"/>
      <c r="J284" s="12"/>
      <c r="K284" s="17"/>
      <c r="L284" s="17"/>
      <c r="M284" s="12"/>
    </row>
    <row r="285" ht="13.5" customHeight="1">
      <c r="A285" s="17"/>
      <c r="B285" s="12"/>
      <c r="C285" s="17"/>
      <c r="D285" s="17"/>
      <c r="E285" s="12"/>
      <c r="F285" s="12"/>
      <c r="G285" s="17"/>
      <c r="H285" s="17"/>
      <c r="I285" s="12"/>
      <c r="J285" s="12"/>
      <c r="K285" s="17"/>
      <c r="L285" s="17"/>
      <c r="M285" s="12"/>
    </row>
    <row r="286" ht="13.5" customHeight="1">
      <c r="A286" s="17"/>
      <c r="B286" s="12"/>
      <c r="C286" s="17"/>
      <c r="D286" s="17"/>
      <c r="E286" s="12"/>
      <c r="F286" s="12"/>
      <c r="G286" s="17"/>
      <c r="H286" s="17"/>
      <c r="I286" s="12"/>
      <c r="J286" s="12"/>
      <c r="K286" s="17"/>
      <c r="L286" s="17"/>
      <c r="M286" s="12"/>
    </row>
    <row r="287" ht="13.5" customHeight="1">
      <c r="A287" s="17"/>
      <c r="B287" s="12"/>
      <c r="C287" s="17"/>
      <c r="D287" s="17"/>
      <c r="E287" s="12"/>
      <c r="F287" s="12"/>
      <c r="G287" s="17"/>
      <c r="H287" s="17"/>
      <c r="I287" s="12"/>
      <c r="J287" s="12"/>
      <c r="K287" s="17"/>
      <c r="L287" s="17"/>
      <c r="M287" s="12"/>
    </row>
    <row r="288" ht="13.5" customHeight="1">
      <c r="A288" s="17"/>
      <c r="B288" s="12"/>
      <c r="C288" s="17"/>
      <c r="D288" s="17"/>
      <c r="E288" s="12"/>
      <c r="F288" s="12"/>
      <c r="G288" s="17"/>
      <c r="H288" s="17"/>
      <c r="I288" s="12"/>
      <c r="J288" s="12"/>
      <c r="K288" s="17"/>
      <c r="L288" s="17"/>
      <c r="M288" s="12"/>
    </row>
    <row r="289" ht="13.5" customHeight="1">
      <c r="A289" s="17"/>
      <c r="B289" s="12"/>
      <c r="C289" s="17"/>
      <c r="D289" s="17"/>
      <c r="E289" s="12"/>
      <c r="F289" s="12"/>
      <c r="G289" s="17"/>
      <c r="H289" s="17"/>
      <c r="I289" s="12"/>
      <c r="J289" s="12"/>
      <c r="K289" s="17"/>
      <c r="L289" s="17"/>
      <c r="M289" s="12"/>
    </row>
    <row r="290" ht="13.5" customHeight="1">
      <c r="A290" s="17"/>
      <c r="B290" s="12"/>
      <c r="C290" s="17"/>
      <c r="D290" s="17"/>
      <c r="E290" s="12"/>
      <c r="F290" s="12"/>
      <c r="G290" s="17"/>
      <c r="H290" s="17"/>
      <c r="I290" s="12"/>
      <c r="J290" s="12"/>
      <c r="K290" s="17"/>
      <c r="L290" s="17"/>
      <c r="M290" s="12"/>
    </row>
    <row r="291" ht="13.5" customHeight="1">
      <c r="A291" s="17"/>
      <c r="B291" s="12"/>
      <c r="C291" s="17"/>
      <c r="D291" s="17"/>
      <c r="E291" s="12"/>
      <c r="F291" s="12"/>
      <c r="G291" s="17"/>
      <c r="H291" s="17"/>
      <c r="I291" s="12"/>
      <c r="J291" s="12"/>
      <c r="K291" s="17"/>
      <c r="L291" s="17"/>
      <c r="M291" s="12"/>
    </row>
    <row r="292" ht="13.5" customHeight="1">
      <c r="A292" s="17"/>
      <c r="B292" s="12"/>
      <c r="C292" s="17"/>
      <c r="D292" s="17"/>
      <c r="E292" s="12"/>
      <c r="F292" s="12"/>
      <c r="G292" s="17"/>
      <c r="H292" s="17"/>
      <c r="I292" s="12"/>
      <c r="J292" s="12"/>
      <c r="K292" s="17"/>
      <c r="L292" s="17"/>
      <c r="M292" s="12"/>
    </row>
    <row r="293" ht="13.5" customHeight="1">
      <c r="A293" s="17"/>
      <c r="B293" s="12"/>
      <c r="C293" s="17"/>
      <c r="D293" s="17"/>
      <c r="E293" s="12"/>
      <c r="F293" s="12"/>
      <c r="G293" s="17"/>
      <c r="H293" s="17"/>
      <c r="I293" s="12"/>
      <c r="J293" s="12"/>
      <c r="K293" s="17"/>
      <c r="L293" s="17"/>
      <c r="M293" s="12"/>
    </row>
    <row r="294" ht="13.5" customHeight="1">
      <c r="A294" s="17"/>
      <c r="B294" s="12"/>
      <c r="C294" s="17"/>
      <c r="D294" s="17"/>
      <c r="E294" s="12"/>
      <c r="F294" s="12"/>
      <c r="G294" s="17"/>
      <c r="H294" s="17"/>
      <c r="I294" s="12"/>
      <c r="J294" s="12"/>
      <c r="K294" s="17"/>
      <c r="L294" s="17"/>
      <c r="M294" s="12"/>
    </row>
    <row r="295" ht="13.5" customHeight="1">
      <c r="A295" s="17"/>
      <c r="B295" s="12"/>
      <c r="C295" s="17"/>
      <c r="D295" s="17"/>
      <c r="E295" s="12"/>
      <c r="F295" s="12"/>
      <c r="G295" s="17"/>
      <c r="H295" s="17"/>
      <c r="I295" s="12"/>
      <c r="J295" s="12"/>
      <c r="K295" s="17"/>
      <c r="L295" s="17"/>
      <c r="M295" s="12"/>
    </row>
    <row r="296" ht="13.5" customHeight="1">
      <c r="A296" s="17"/>
      <c r="B296" s="12"/>
      <c r="C296" s="17"/>
      <c r="D296" s="17"/>
      <c r="E296" s="12"/>
      <c r="F296" s="12"/>
      <c r="G296" s="17"/>
      <c r="H296" s="17"/>
      <c r="I296" s="12"/>
      <c r="J296" s="12"/>
      <c r="K296" s="17"/>
      <c r="L296" s="17"/>
      <c r="M296" s="12"/>
    </row>
    <row r="297" ht="13.5" customHeight="1">
      <c r="A297" s="17"/>
      <c r="B297" s="12"/>
      <c r="C297" s="17"/>
      <c r="D297" s="17"/>
      <c r="E297" s="12"/>
      <c r="F297" s="12"/>
      <c r="G297" s="17"/>
      <c r="H297" s="17"/>
      <c r="I297" s="12"/>
      <c r="J297" s="12"/>
      <c r="K297" s="17"/>
      <c r="L297" s="17"/>
      <c r="M297" s="12"/>
    </row>
    <row r="298" ht="13.5" customHeight="1">
      <c r="A298" s="17"/>
      <c r="B298" s="12"/>
      <c r="C298" s="17"/>
      <c r="D298" s="17"/>
      <c r="E298" s="12"/>
      <c r="F298" s="12"/>
      <c r="G298" s="17"/>
      <c r="H298" s="17"/>
      <c r="I298" s="12"/>
      <c r="J298" s="12"/>
      <c r="K298" s="17"/>
      <c r="L298" s="17"/>
      <c r="M298" s="12"/>
    </row>
    <row r="299" ht="13.5" customHeight="1">
      <c r="A299" s="17"/>
      <c r="B299" s="12"/>
      <c r="C299" s="17"/>
      <c r="D299" s="17"/>
      <c r="E299" s="12"/>
      <c r="F299" s="12"/>
      <c r="G299" s="17"/>
      <c r="H299" s="17"/>
      <c r="I299" s="12"/>
      <c r="J299" s="12"/>
      <c r="K299" s="17"/>
      <c r="L299" s="17"/>
      <c r="M299" s="12"/>
    </row>
    <row r="300" ht="13.5" customHeight="1">
      <c r="A300" s="17"/>
      <c r="B300" s="12"/>
      <c r="C300" s="17"/>
      <c r="D300" s="17"/>
      <c r="E300" s="12"/>
      <c r="F300" s="12"/>
      <c r="G300" s="17"/>
      <c r="H300" s="17"/>
      <c r="I300" s="12"/>
      <c r="J300" s="12"/>
      <c r="K300" s="17"/>
      <c r="L300" s="17"/>
      <c r="M300" s="12"/>
    </row>
    <row r="301" ht="13.5" customHeight="1">
      <c r="A301" s="17"/>
      <c r="B301" s="12"/>
      <c r="C301" s="17"/>
      <c r="D301" s="17"/>
      <c r="E301" s="12"/>
      <c r="F301" s="12"/>
      <c r="G301" s="17"/>
      <c r="H301" s="17"/>
      <c r="I301" s="12"/>
      <c r="J301" s="12"/>
      <c r="K301" s="17"/>
      <c r="L301" s="17"/>
      <c r="M301" s="12"/>
    </row>
    <row r="302" ht="13.5" customHeight="1">
      <c r="A302" s="17"/>
      <c r="B302" s="12"/>
      <c r="C302" s="17"/>
      <c r="D302" s="17"/>
      <c r="E302" s="12"/>
      <c r="F302" s="12"/>
      <c r="G302" s="17"/>
      <c r="H302" s="17"/>
      <c r="I302" s="12"/>
      <c r="J302" s="12"/>
      <c r="K302" s="17"/>
      <c r="L302" s="17"/>
      <c r="M302" s="12"/>
    </row>
    <row r="303" ht="13.5" customHeight="1">
      <c r="A303" s="17"/>
      <c r="B303" s="12"/>
      <c r="C303" s="17"/>
      <c r="D303" s="17"/>
      <c r="E303" s="12"/>
      <c r="F303" s="12"/>
      <c r="G303" s="17"/>
      <c r="H303" s="17"/>
      <c r="I303" s="12"/>
      <c r="J303" s="12"/>
      <c r="K303" s="17"/>
      <c r="L303" s="17"/>
      <c r="M303" s="12"/>
    </row>
    <row r="304" ht="13.5" customHeight="1">
      <c r="A304" s="17"/>
      <c r="B304" s="12"/>
      <c r="C304" s="17"/>
      <c r="D304" s="17"/>
      <c r="E304" s="12"/>
      <c r="F304" s="12"/>
      <c r="G304" s="17"/>
      <c r="H304" s="17"/>
      <c r="I304" s="12"/>
      <c r="J304" s="12"/>
      <c r="K304" s="17"/>
      <c r="L304" s="17"/>
      <c r="M304" s="12"/>
    </row>
    <row r="305" ht="13.5" customHeight="1">
      <c r="A305" s="17"/>
      <c r="B305" s="12"/>
      <c r="C305" s="17"/>
      <c r="D305" s="17"/>
      <c r="E305" s="12"/>
      <c r="F305" s="12"/>
      <c r="G305" s="17"/>
      <c r="H305" s="17"/>
      <c r="I305" s="12"/>
      <c r="J305" s="12"/>
      <c r="K305" s="17"/>
      <c r="L305" s="17"/>
      <c r="M305" s="12"/>
    </row>
    <row r="306" ht="13.5" customHeight="1">
      <c r="A306" s="17"/>
      <c r="B306" s="12"/>
      <c r="C306" s="17"/>
      <c r="D306" s="17"/>
      <c r="E306" s="12"/>
      <c r="F306" s="12"/>
      <c r="G306" s="17"/>
      <c r="H306" s="17"/>
      <c r="I306" s="12"/>
      <c r="J306" s="12"/>
      <c r="K306" s="17"/>
      <c r="L306" s="17"/>
      <c r="M306" s="12"/>
    </row>
    <row r="307" ht="13.5" customHeight="1">
      <c r="A307" s="17"/>
      <c r="B307" s="12"/>
      <c r="C307" s="17"/>
      <c r="D307" s="17"/>
      <c r="E307" s="12"/>
      <c r="F307" s="12"/>
      <c r="G307" s="17"/>
      <c r="H307" s="17"/>
      <c r="I307" s="12"/>
      <c r="J307" s="12"/>
      <c r="K307" s="17"/>
      <c r="L307" s="17"/>
      <c r="M307" s="12"/>
    </row>
    <row r="308" ht="13.5" customHeight="1">
      <c r="A308" s="17"/>
      <c r="B308" s="12"/>
      <c r="C308" s="17"/>
      <c r="D308" s="17"/>
      <c r="E308" s="12"/>
      <c r="F308" s="12"/>
      <c r="G308" s="17"/>
      <c r="H308" s="17"/>
      <c r="I308" s="12"/>
      <c r="J308" s="12"/>
      <c r="K308" s="17"/>
      <c r="L308" s="17"/>
      <c r="M308" s="12"/>
    </row>
    <row r="309" ht="13.5" customHeight="1">
      <c r="A309" s="17"/>
      <c r="B309" s="12"/>
      <c r="C309" s="17"/>
      <c r="D309" s="17"/>
      <c r="E309" s="12"/>
      <c r="F309" s="12"/>
      <c r="G309" s="17"/>
      <c r="H309" s="17"/>
      <c r="I309" s="12"/>
      <c r="J309" s="12"/>
      <c r="K309" s="17"/>
      <c r="L309" s="17"/>
      <c r="M309" s="12"/>
    </row>
    <row r="310" ht="13.5" customHeight="1">
      <c r="A310" s="17"/>
      <c r="B310" s="12"/>
      <c r="C310" s="17"/>
      <c r="D310" s="17"/>
      <c r="E310" s="12"/>
      <c r="F310" s="12"/>
      <c r="G310" s="17"/>
      <c r="H310" s="17"/>
      <c r="I310" s="12"/>
      <c r="J310" s="12"/>
      <c r="K310" s="17"/>
      <c r="L310" s="17"/>
      <c r="M310" s="12"/>
    </row>
    <row r="311" ht="13.5" customHeight="1">
      <c r="A311" s="17"/>
      <c r="B311" s="12"/>
      <c r="C311" s="17"/>
      <c r="D311" s="17"/>
      <c r="E311" s="12"/>
      <c r="F311" s="12"/>
      <c r="G311" s="17"/>
      <c r="H311" s="17"/>
      <c r="I311" s="12"/>
      <c r="J311" s="12"/>
      <c r="K311" s="17"/>
      <c r="L311" s="17"/>
      <c r="M311" s="12"/>
    </row>
    <row r="312" ht="13.5" customHeight="1">
      <c r="A312" s="17"/>
      <c r="B312" s="12"/>
      <c r="C312" s="17"/>
      <c r="D312" s="17"/>
      <c r="E312" s="12"/>
      <c r="F312" s="12"/>
      <c r="G312" s="17"/>
      <c r="H312" s="17"/>
      <c r="I312" s="12"/>
      <c r="J312" s="12"/>
      <c r="K312" s="17"/>
      <c r="L312" s="17"/>
      <c r="M312" s="12"/>
    </row>
    <row r="313" ht="13.5" customHeight="1">
      <c r="A313" s="17"/>
      <c r="B313" s="12"/>
      <c r="C313" s="17"/>
      <c r="D313" s="17"/>
      <c r="E313" s="12"/>
      <c r="F313" s="12"/>
      <c r="G313" s="17"/>
      <c r="H313" s="17"/>
      <c r="I313" s="12"/>
      <c r="J313" s="12"/>
      <c r="K313" s="17"/>
      <c r="L313" s="17"/>
      <c r="M313" s="12"/>
    </row>
    <row r="314" ht="13.5" customHeight="1">
      <c r="A314" s="17"/>
      <c r="B314" s="12"/>
      <c r="C314" s="17"/>
      <c r="D314" s="17"/>
      <c r="E314" s="12"/>
      <c r="F314" s="12"/>
      <c r="G314" s="17"/>
      <c r="H314" s="17"/>
      <c r="I314" s="12"/>
      <c r="J314" s="12"/>
      <c r="K314" s="17"/>
      <c r="L314" s="17"/>
      <c r="M314" s="12"/>
    </row>
    <row r="315" ht="13.5" customHeight="1">
      <c r="A315" s="17"/>
      <c r="B315" s="12"/>
      <c r="C315" s="17"/>
      <c r="D315" s="17"/>
      <c r="E315" s="12"/>
      <c r="F315" s="12"/>
      <c r="G315" s="17"/>
      <c r="H315" s="17"/>
      <c r="I315" s="12"/>
      <c r="J315" s="12"/>
      <c r="K315" s="17"/>
      <c r="L315" s="17"/>
      <c r="M315" s="12"/>
    </row>
    <row r="316" ht="13.5" customHeight="1">
      <c r="A316" s="17"/>
      <c r="B316" s="12"/>
      <c r="C316" s="17"/>
      <c r="D316" s="17"/>
      <c r="E316" s="12"/>
      <c r="F316" s="12"/>
      <c r="G316" s="17"/>
      <c r="H316" s="17"/>
      <c r="I316" s="12"/>
      <c r="J316" s="12"/>
      <c r="K316" s="17"/>
      <c r="L316" s="17"/>
      <c r="M316" s="12"/>
    </row>
    <row r="317" ht="13.5" customHeight="1">
      <c r="A317" s="17"/>
      <c r="B317" s="12"/>
      <c r="C317" s="17"/>
      <c r="D317" s="17"/>
      <c r="E317" s="12"/>
      <c r="F317" s="12"/>
      <c r="G317" s="17"/>
      <c r="H317" s="17"/>
      <c r="I317" s="12"/>
      <c r="J317" s="12"/>
      <c r="K317" s="17"/>
      <c r="L317" s="17"/>
      <c r="M317" s="12"/>
    </row>
    <row r="318" ht="13.5" customHeight="1">
      <c r="A318" s="17"/>
      <c r="B318" s="12"/>
      <c r="C318" s="17"/>
      <c r="D318" s="17"/>
      <c r="E318" s="12"/>
      <c r="F318" s="12"/>
      <c r="G318" s="17"/>
      <c r="H318" s="17"/>
      <c r="I318" s="12"/>
      <c r="J318" s="12"/>
      <c r="K318" s="17"/>
      <c r="L318" s="17"/>
      <c r="M318" s="12"/>
    </row>
    <row r="319" ht="13.5" customHeight="1">
      <c r="A319" s="17"/>
      <c r="B319" s="12"/>
      <c r="C319" s="17"/>
      <c r="D319" s="17"/>
      <c r="E319" s="12"/>
      <c r="F319" s="12"/>
      <c r="G319" s="17"/>
      <c r="H319" s="17"/>
      <c r="I319" s="12"/>
      <c r="J319" s="12"/>
      <c r="K319" s="17"/>
      <c r="L319" s="17"/>
      <c r="M319" s="12"/>
    </row>
    <row r="320" ht="13.5" customHeight="1">
      <c r="A320" s="17"/>
      <c r="B320" s="12"/>
      <c r="C320" s="17"/>
      <c r="D320" s="17"/>
      <c r="E320" s="12"/>
      <c r="F320" s="12"/>
      <c r="G320" s="17"/>
      <c r="H320" s="17"/>
      <c r="I320" s="12"/>
      <c r="J320" s="12"/>
      <c r="K320" s="17"/>
      <c r="L320" s="17"/>
      <c r="M320" s="12"/>
    </row>
    <row r="321" ht="13.5" customHeight="1">
      <c r="A321" s="17"/>
      <c r="B321" s="12"/>
      <c r="C321" s="17"/>
      <c r="D321" s="17"/>
      <c r="E321" s="12"/>
      <c r="F321" s="12"/>
      <c r="G321" s="17"/>
      <c r="H321" s="17"/>
      <c r="I321" s="12"/>
      <c r="J321" s="12"/>
      <c r="K321" s="17"/>
      <c r="L321" s="17"/>
      <c r="M321" s="12"/>
    </row>
    <row r="322" ht="13.5" customHeight="1">
      <c r="A322" s="17"/>
      <c r="B322" s="12"/>
      <c r="C322" s="17"/>
      <c r="D322" s="17"/>
      <c r="E322" s="12"/>
      <c r="F322" s="12"/>
      <c r="G322" s="17"/>
      <c r="H322" s="17"/>
      <c r="I322" s="12"/>
      <c r="J322" s="12"/>
      <c r="K322" s="17"/>
      <c r="L322" s="17"/>
      <c r="M322" s="12"/>
    </row>
    <row r="323" ht="13.5" customHeight="1">
      <c r="A323" s="17"/>
      <c r="B323" s="12"/>
      <c r="C323" s="17"/>
      <c r="D323" s="17"/>
      <c r="E323" s="12"/>
      <c r="F323" s="12"/>
      <c r="G323" s="17"/>
      <c r="H323" s="17"/>
      <c r="I323" s="12"/>
      <c r="J323" s="12"/>
      <c r="K323" s="17"/>
      <c r="L323" s="17"/>
      <c r="M323" s="12"/>
    </row>
    <row r="324" ht="13.5" customHeight="1">
      <c r="A324" s="17"/>
      <c r="B324" s="12"/>
      <c r="C324" s="17"/>
      <c r="D324" s="17"/>
      <c r="E324" s="12"/>
      <c r="F324" s="12"/>
      <c r="G324" s="17"/>
      <c r="H324" s="17"/>
      <c r="I324" s="12"/>
      <c r="J324" s="12"/>
      <c r="K324" s="17"/>
      <c r="L324" s="17"/>
      <c r="M324" s="12"/>
    </row>
    <row r="325" ht="13.5" customHeight="1">
      <c r="A325" s="17"/>
      <c r="B325" s="12"/>
      <c r="C325" s="17"/>
      <c r="D325" s="17"/>
      <c r="E325" s="12"/>
      <c r="F325" s="12"/>
      <c r="G325" s="17"/>
      <c r="H325" s="17"/>
      <c r="I325" s="12"/>
      <c r="J325" s="12"/>
      <c r="K325" s="17"/>
      <c r="L325" s="17"/>
      <c r="M325" s="12"/>
    </row>
    <row r="326" ht="13.5" customHeight="1">
      <c r="A326" s="17"/>
      <c r="B326" s="12"/>
      <c r="C326" s="17"/>
      <c r="D326" s="17"/>
      <c r="E326" s="12"/>
      <c r="F326" s="12"/>
      <c r="G326" s="17"/>
      <c r="H326" s="17"/>
      <c r="I326" s="12"/>
      <c r="J326" s="12"/>
      <c r="K326" s="17"/>
      <c r="L326" s="17"/>
      <c r="M326" s="12"/>
    </row>
    <row r="327" ht="13.5" customHeight="1">
      <c r="A327" s="17"/>
      <c r="B327" s="12"/>
      <c r="C327" s="17"/>
      <c r="D327" s="17"/>
      <c r="E327" s="12"/>
      <c r="F327" s="12"/>
      <c r="G327" s="17"/>
      <c r="H327" s="17"/>
      <c r="I327" s="12"/>
      <c r="J327" s="12"/>
      <c r="K327" s="17"/>
      <c r="L327" s="17"/>
      <c r="M327" s="12"/>
    </row>
    <row r="328" ht="13.5" customHeight="1">
      <c r="A328" s="17"/>
      <c r="B328" s="12"/>
      <c r="C328" s="17"/>
      <c r="D328" s="17"/>
      <c r="E328" s="12"/>
      <c r="F328" s="12"/>
      <c r="G328" s="17"/>
      <c r="H328" s="17"/>
      <c r="I328" s="12"/>
      <c r="J328" s="12"/>
      <c r="K328" s="17"/>
      <c r="L328" s="17"/>
      <c r="M328" s="12"/>
    </row>
    <row r="329" ht="13.5" customHeight="1">
      <c r="A329" s="17"/>
      <c r="B329" s="12"/>
      <c r="C329" s="17"/>
      <c r="D329" s="17"/>
      <c r="E329" s="12"/>
      <c r="F329" s="12"/>
      <c r="G329" s="17"/>
      <c r="H329" s="17"/>
      <c r="I329" s="12"/>
      <c r="J329" s="12"/>
      <c r="K329" s="17"/>
      <c r="L329" s="17"/>
      <c r="M329" s="12"/>
    </row>
    <row r="330" ht="13.5" customHeight="1">
      <c r="A330" s="17"/>
      <c r="B330" s="12"/>
      <c r="C330" s="17"/>
      <c r="D330" s="17"/>
      <c r="E330" s="12"/>
      <c r="F330" s="12"/>
      <c r="G330" s="17"/>
      <c r="H330" s="17"/>
      <c r="I330" s="12"/>
      <c r="J330" s="12"/>
      <c r="K330" s="17"/>
      <c r="L330" s="17"/>
      <c r="M330" s="12"/>
    </row>
    <row r="331" ht="13.5" customHeight="1">
      <c r="A331" s="17"/>
      <c r="B331" s="12"/>
      <c r="C331" s="17"/>
      <c r="D331" s="17"/>
      <c r="E331" s="12"/>
      <c r="F331" s="12"/>
      <c r="G331" s="17"/>
      <c r="H331" s="17"/>
      <c r="I331" s="12"/>
      <c r="J331" s="12"/>
      <c r="K331" s="17"/>
      <c r="L331" s="17"/>
      <c r="M331" s="12"/>
    </row>
    <row r="332" ht="13.5" customHeight="1">
      <c r="A332" s="17"/>
      <c r="B332" s="12"/>
      <c r="C332" s="17"/>
      <c r="D332" s="17"/>
      <c r="E332" s="12"/>
      <c r="F332" s="12"/>
      <c r="G332" s="17"/>
      <c r="H332" s="17"/>
      <c r="I332" s="12"/>
      <c r="J332" s="12"/>
      <c r="K332" s="17"/>
      <c r="L332" s="17"/>
      <c r="M332" s="12"/>
    </row>
    <row r="333" ht="13.5" customHeight="1">
      <c r="A333" s="17"/>
      <c r="B333" s="12"/>
      <c r="C333" s="17"/>
      <c r="D333" s="17"/>
      <c r="E333" s="12"/>
      <c r="F333" s="12"/>
      <c r="G333" s="17"/>
      <c r="H333" s="17"/>
      <c r="I333" s="12"/>
      <c r="J333" s="12"/>
      <c r="K333" s="17"/>
      <c r="L333" s="17"/>
      <c r="M333" s="12"/>
    </row>
    <row r="334" ht="13.5" customHeight="1">
      <c r="A334" s="17"/>
      <c r="B334" s="12"/>
      <c r="C334" s="17"/>
      <c r="D334" s="17"/>
      <c r="E334" s="12"/>
      <c r="F334" s="12"/>
      <c r="G334" s="17"/>
      <c r="H334" s="17"/>
      <c r="I334" s="12"/>
      <c r="J334" s="12"/>
      <c r="K334" s="17"/>
      <c r="L334" s="17"/>
      <c r="M334" s="12"/>
    </row>
    <row r="335" ht="13.5" customHeight="1">
      <c r="A335" s="17"/>
      <c r="B335" s="12"/>
      <c r="C335" s="17"/>
      <c r="D335" s="17"/>
      <c r="E335" s="12"/>
      <c r="F335" s="12"/>
      <c r="G335" s="17"/>
      <c r="H335" s="17"/>
      <c r="I335" s="12"/>
      <c r="J335" s="12"/>
      <c r="K335" s="17"/>
      <c r="L335" s="17"/>
      <c r="M335" s="12"/>
    </row>
    <row r="336" ht="13.5" customHeight="1">
      <c r="A336" s="17"/>
      <c r="B336" s="12"/>
      <c r="C336" s="17"/>
      <c r="D336" s="17"/>
      <c r="E336" s="12"/>
      <c r="F336" s="12"/>
      <c r="G336" s="17"/>
      <c r="H336" s="17"/>
      <c r="I336" s="12"/>
      <c r="J336" s="12"/>
      <c r="K336" s="17"/>
      <c r="L336" s="17"/>
      <c r="M336" s="12"/>
    </row>
    <row r="337" ht="13.5" customHeight="1">
      <c r="A337" s="17"/>
      <c r="B337" s="12"/>
      <c r="C337" s="17"/>
      <c r="D337" s="17"/>
      <c r="E337" s="12"/>
      <c r="F337" s="12"/>
      <c r="G337" s="17"/>
      <c r="H337" s="17"/>
      <c r="I337" s="12"/>
      <c r="J337" s="12"/>
      <c r="K337" s="17"/>
      <c r="L337" s="17"/>
      <c r="M337" s="12"/>
    </row>
    <row r="338" ht="13.5" customHeight="1">
      <c r="A338" s="17"/>
      <c r="B338" s="12"/>
      <c r="C338" s="17"/>
      <c r="D338" s="17"/>
      <c r="E338" s="12"/>
      <c r="F338" s="12"/>
      <c r="G338" s="17"/>
      <c r="H338" s="17"/>
      <c r="I338" s="12"/>
      <c r="J338" s="12"/>
      <c r="K338" s="17"/>
      <c r="L338" s="17"/>
      <c r="M338" s="12"/>
    </row>
    <row r="339" ht="13.5" customHeight="1">
      <c r="A339" s="17"/>
      <c r="B339" s="12"/>
      <c r="C339" s="17"/>
      <c r="D339" s="17"/>
      <c r="E339" s="12"/>
      <c r="F339" s="12"/>
      <c r="G339" s="17"/>
      <c r="H339" s="17"/>
      <c r="I339" s="12"/>
      <c r="J339" s="12"/>
      <c r="K339" s="17"/>
      <c r="L339" s="17"/>
      <c r="M339" s="12"/>
    </row>
    <row r="340" ht="13.5" customHeight="1">
      <c r="A340" s="17"/>
      <c r="B340" s="12"/>
      <c r="C340" s="17"/>
      <c r="D340" s="17"/>
      <c r="E340" s="12"/>
      <c r="F340" s="12"/>
      <c r="G340" s="17"/>
      <c r="H340" s="17"/>
      <c r="I340" s="12"/>
      <c r="J340" s="12"/>
      <c r="K340" s="17"/>
      <c r="L340" s="17"/>
      <c r="M340" s="12"/>
    </row>
    <row r="341" ht="13.5" customHeight="1">
      <c r="A341" s="17"/>
      <c r="B341" s="12"/>
      <c r="C341" s="17"/>
      <c r="D341" s="17"/>
      <c r="E341" s="12"/>
      <c r="F341" s="12"/>
      <c r="G341" s="17"/>
      <c r="H341" s="17"/>
      <c r="I341" s="12"/>
      <c r="J341" s="12"/>
      <c r="K341" s="17"/>
      <c r="L341" s="17"/>
      <c r="M341" s="12"/>
    </row>
    <row r="342" ht="13.5" customHeight="1">
      <c r="A342" s="17"/>
      <c r="B342" s="12"/>
      <c r="C342" s="17"/>
      <c r="D342" s="17"/>
      <c r="E342" s="12"/>
      <c r="F342" s="12"/>
      <c r="G342" s="17"/>
      <c r="H342" s="17"/>
      <c r="I342" s="12"/>
      <c r="J342" s="12"/>
      <c r="K342" s="17"/>
      <c r="L342" s="17"/>
      <c r="M342" s="12"/>
    </row>
    <row r="343" ht="13.5" customHeight="1">
      <c r="A343" s="17"/>
      <c r="B343" s="12"/>
      <c r="C343" s="17"/>
      <c r="D343" s="17"/>
      <c r="E343" s="12"/>
      <c r="F343" s="12"/>
      <c r="G343" s="17"/>
      <c r="H343" s="17"/>
      <c r="I343" s="12"/>
      <c r="J343" s="12"/>
      <c r="K343" s="17"/>
      <c r="L343" s="17"/>
      <c r="M343" s="12"/>
    </row>
    <row r="344" ht="13.5" customHeight="1">
      <c r="A344" s="17"/>
      <c r="B344" s="12"/>
      <c r="C344" s="17"/>
      <c r="D344" s="17"/>
      <c r="E344" s="12"/>
      <c r="F344" s="12"/>
      <c r="G344" s="17"/>
      <c r="H344" s="17"/>
      <c r="I344" s="12"/>
      <c r="J344" s="12"/>
      <c r="K344" s="17"/>
      <c r="L344" s="17"/>
      <c r="M344" s="12"/>
    </row>
    <row r="345" ht="13.5" customHeight="1">
      <c r="A345" s="17"/>
      <c r="B345" s="12"/>
      <c r="C345" s="17"/>
      <c r="D345" s="17"/>
      <c r="E345" s="12"/>
      <c r="F345" s="12"/>
      <c r="G345" s="17"/>
      <c r="H345" s="17"/>
      <c r="I345" s="12"/>
      <c r="J345" s="12"/>
      <c r="K345" s="17"/>
      <c r="L345" s="17"/>
      <c r="M345" s="12"/>
    </row>
    <row r="346" ht="13.5" customHeight="1">
      <c r="A346" s="17"/>
      <c r="B346" s="12"/>
      <c r="C346" s="17"/>
      <c r="D346" s="17"/>
      <c r="E346" s="12"/>
      <c r="F346" s="12"/>
      <c r="G346" s="17"/>
      <c r="H346" s="17"/>
      <c r="I346" s="12"/>
      <c r="J346" s="12"/>
      <c r="K346" s="17"/>
      <c r="L346" s="17"/>
      <c r="M346" s="12"/>
    </row>
    <row r="347" ht="13.5" customHeight="1">
      <c r="A347" s="17"/>
      <c r="B347" s="12"/>
      <c r="C347" s="17"/>
      <c r="D347" s="17"/>
      <c r="E347" s="12"/>
      <c r="F347" s="12"/>
      <c r="G347" s="17"/>
      <c r="H347" s="17"/>
      <c r="I347" s="12"/>
      <c r="J347" s="12"/>
      <c r="K347" s="17"/>
      <c r="L347" s="17"/>
      <c r="M347" s="12"/>
    </row>
    <row r="348" ht="13.5" customHeight="1">
      <c r="A348" s="17"/>
      <c r="B348" s="12"/>
      <c r="C348" s="17"/>
      <c r="D348" s="17"/>
      <c r="E348" s="12"/>
      <c r="F348" s="12"/>
      <c r="G348" s="17"/>
      <c r="H348" s="17"/>
      <c r="I348" s="12"/>
      <c r="J348" s="12"/>
      <c r="K348" s="17"/>
      <c r="L348" s="17"/>
      <c r="M348" s="12"/>
    </row>
    <row r="349" ht="13.5" customHeight="1">
      <c r="A349" s="17"/>
      <c r="B349" s="12"/>
      <c r="C349" s="17"/>
      <c r="D349" s="17"/>
      <c r="E349" s="12"/>
      <c r="F349" s="12"/>
      <c r="G349" s="17"/>
      <c r="H349" s="17"/>
      <c r="I349" s="12"/>
      <c r="J349" s="12"/>
      <c r="K349" s="17"/>
      <c r="L349" s="17"/>
      <c r="M349" s="12"/>
    </row>
    <row r="350" ht="13.5" customHeight="1">
      <c r="A350" s="17"/>
      <c r="B350" s="12"/>
      <c r="C350" s="17"/>
      <c r="D350" s="17"/>
      <c r="E350" s="12"/>
      <c r="F350" s="12"/>
      <c r="G350" s="17"/>
      <c r="H350" s="17"/>
      <c r="I350" s="12"/>
      <c r="J350" s="12"/>
      <c r="K350" s="17"/>
      <c r="L350" s="17"/>
      <c r="M350" s="12"/>
    </row>
    <row r="351" ht="13.5" customHeight="1">
      <c r="A351" s="17"/>
      <c r="B351" s="12"/>
      <c r="C351" s="17"/>
      <c r="D351" s="17"/>
      <c r="E351" s="12"/>
      <c r="F351" s="12"/>
      <c r="G351" s="17"/>
      <c r="H351" s="17"/>
      <c r="I351" s="12"/>
      <c r="J351" s="12"/>
      <c r="K351" s="17"/>
      <c r="L351" s="17"/>
      <c r="M351" s="12"/>
    </row>
    <row r="352" ht="13.5" customHeight="1">
      <c r="A352" s="17"/>
      <c r="B352" s="12"/>
      <c r="C352" s="17"/>
      <c r="D352" s="17"/>
      <c r="E352" s="12"/>
      <c r="F352" s="12"/>
      <c r="G352" s="17"/>
      <c r="H352" s="17"/>
      <c r="I352" s="12"/>
      <c r="J352" s="12"/>
      <c r="K352" s="17"/>
      <c r="L352" s="17"/>
      <c r="M352" s="12"/>
    </row>
    <row r="353" ht="13.5" customHeight="1">
      <c r="A353" s="17"/>
      <c r="B353" s="12"/>
      <c r="C353" s="17"/>
      <c r="D353" s="17"/>
      <c r="E353" s="12"/>
      <c r="F353" s="12"/>
      <c r="G353" s="17"/>
      <c r="H353" s="17"/>
      <c r="I353" s="12"/>
      <c r="J353" s="12"/>
      <c r="K353" s="17"/>
      <c r="L353" s="17"/>
      <c r="M353" s="12"/>
    </row>
    <row r="354" ht="13.5" customHeight="1">
      <c r="A354" s="17"/>
      <c r="B354" s="12"/>
      <c r="C354" s="17"/>
      <c r="D354" s="17"/>
      <c r="E354" s="12"/>
      <c r="F354" s="12"/>
      <c r="G354" s="17"/>
      <c r="H354" s="17"/>
      <c r="I354" s="12"/>
      <c r="J354" s="12"/>
      <c r="K354" s="17"/>
      <c r="L354" s="17"/>
      <c r="M354" s="12"/>
    </row>
    <row r="355" ht="13.5" customHeight="1">
      <c r="A355" s="17"/>
      <c r="B355" s="12"/>
      <c r="C355" s="17"/>
      <c r="D355" s="17"/>
      <c r="E355" s="12"/>
      <c r="F355" s="12"/>
      <c r="G355" s="17"/>
      <c r="H355" s="17"/>
      <c r="I355" s="12"/>
      <c r="J355" s="12"/>
      <c r="K355" s="17"/>
      <c r="L355" s="17"/>
      <c r="M355" s="12"/>
    </row>
    <row r="356" ht="13.5" customHeight="1">
      <c r="A356" s="17"/>
      <c r="B356" s="12"/>
      <c r="C356" s="17"/>
      <c r="D356" s="17"/>
      <c r="E356" s="12"/>
      <c r="F356" s="12"/>
      <c r="G356" s="17"/>
      <c r="H356" s="17"/>
      <c r="I356" s="12"/>
      <c r="J356" s="12"/>
      <c r="K356" s="17"/>
      <c r="L356" s="17"/>
      <c r="M356" s="12"/>
    </row>
    <row r="357" ht="13.5" customHeight="1">
      <c r="A357" s="17"/>
      <c r="B357" s="12"/>
      <c r="C357" s="17"/>
      <c r="D357" s="17"/>
      <c r="E357" s="12"/>
      <c r="F357" s="12"/>
      <c r="G357" s="17"/>
      <c r="H357" s="17"/>
      <c r="I357" s="12"/>
      <c r="J357" s="12"/>
      <c r="K357" s="17"/>
      <c r="L357" s="17"/>
      <c r="M357" s="12"/>
    </row>
    <row r="358" ht="13.5" customHeight="1">
      <c r="A358" s="17"/>
      <c r="B358" s="12"/>
      <c r="C358" s="17"/>
      <c r="D358" s="17"/>
      <c r="E358" s="12"/>
      <c r="F358" s="12"/>
      <c r="G358" s="17"/>
      <c r="H358" s="17"/>
      <c r="I358" s="12"/>
      <c r="J358" s="12"/>
      <c r="K358" s="17"/>
      <c r="L358" s="17"/>
      <c r="M358" s="12"/>
    </row>
    <row r="359" ht="13.5" customHeight="1">
      <c r="A359" s="17"/>
      <c r="B359" s="12"/>
      <c r="C359" s="17"/>
      <c r="D359" s="17"/>
      <c r="E359" s="12"/>
      <c r="F359" s="12"/>
      <c r="G359" s="17"/>
      <c r="H359" s="17"/>
      <c r="I359" s="12"/>
      <c r="J359" s="12"/>
      <c r="K359" s="17"/>
      <c r="L359" s="17"/>
      <c r="M359" s="12"/>
    </row>
    <row r="360" ht="13.5" customHeight="1">
      <c r="A360" s="17"/>
      <c r="B360" s="12"/>
      <c r="C360" s="17"/>
      <c r="D360" s="17"/>
      <c r="E360" s="12"/>
      <c r="F360" s="12"/>
      <c r="G360" s="17"/>
      <c r="H360" s="17"/>
      <c r="I360" s="12"/>
      <c r="J360" s="12"/>
      <c r="K360" s="17"/>
      <c r="L360" s="17"/>
      <c r="M360" s="12"/>
    </row>
    <row r="361" ht="13.5" customHeight="1">
      <c r="A361" s="17"/>
      <c r="B361" s="12"/>
      <c r="C361" s="17"/>
      <c r="D361" s="17"/>
      <c r="E361" s="12"/>
      <c r="F361" s="12"/>
      <c r="G361" s="17"/>
      <c r="H361" s="17"/>
      <c r="I361" s="12"/>
      <c r="J361" s="12"/>
      <c r="K361" s="17"/>
      <c r="L361" s="17"/>
      <c r="M361" s="12"/>
    </row>
    <row r="362" ht="13.5" customHeight="1">
      <c r="A362" s="17"/>
      <c r="B362" s="12"/>
      <c r="C362" s="17"/>
      <c r="D362" s="17"/>
      <c r="E362" s="12"/>
      <c r="F362" s="12"/>
      <c r="G362" s="17"/>
      <c r="H362" s="17"/>
      <c r="I362" s="12"/>
      <c r="J362" s="12"/>
      <c r="K362" s="17"/>
      <c r="L362" s="17"/>
      <c r="M362" s="12"/>
    </row>
    <row r="363" ht="13.5" customHeight="1">
      <c r="A363" s="17"/>
      <c r="B363" s="12"/>
      <c r="C363" s="17"/>
      <c r="D363" s="17"/>
      <c r="E363" s="12"/>
      <c r="F363" s="12"/>
      <c r="G363" s="17"/>
      <c r="H363" s="17"/>
      <c r="I363" s="12"/>
      <c r="J363" s="12"/>
      <c r="K363" s="17"/>
      <c r="L363" s="17"/>
      <c r="M363" s="12"/>
    </row>
    <row r="364" ht="13.5" customHeight="1">
      <c r="A364" s="17"/>
      <c r="B364" s="12"/>
      <c r="C364" s="17"/>
      <c r="D364" s="17"/>
      <c r="E364" s="12"/>
      <c r="F364" s="12"/>
      <c r="G364" s="17"/>
      <c r="H364" s="17"/>
      <c r="I364" s="12"/>
      <c r="J364" s="12"/>
      <c r="K364" s="17"/>
      <c r="L364" s="17"/>
      <c r="M364" s="12"/>
    </row>
    <row r="365" ht="13.5" customHeight="1">
      <c r="A365" s="17"/>
      <c r="B365" s="12"/>
      <c r="C365" s="17"/>
      <c r="D365" s="17"/>
      <c r="E365" s="12"/>
      <c r="F365" s="12"/>
      <c r="G365" s="17"/>
      <c r="H365" s="17"/>
      <c r="I365" s="12"/>
      <c r="J365" s="12"/>
      <c r="K365" s="17"/>
      <c r="L365" s="17"/>
      <c r="M365" s="12"/>
    </row>
    <row r="366" ht="13.5" customHeight="1">
      <c r="A366" s="17"/>
      <c r="B366" s="12"/>
      <c r="C366" s="17"/>
      <c r="D366" s="17"/>
      <c r="E366" s="12"/>
      <c r="F366" s="12"/>
      <c r="G366" s="17"/>
      <c r="H366" s="17"/>
      <c r="I366" s="12"/>
      <c r="J366" s="12"/>
      <c r="K366" s="17"/>
      <c r="L366" s="17"/>
      <c r="M366" s="12"/>
    </row>
    <row r="367" ht="13.5" customHeight="1">
      <c r="A367" s="17"/>
      <c r="B367" s="12"/>
      <c r="C367" s="17"/>
      <c r="D367" s="17"/>
      <c r="E367" s="12"/>
      <c r="F367" s="12"/>
      <c r="G367" s="17"/>
      <c r="H367" s="17"/>
      <c r="I367" s="12"/>
      <c r="J367" s="12"/>
      <c r="K367" s="17"/>
      <c r="L367" s="17"/>
      <c r="M367" s="12"/>
    </row>
    <row r="368" ht="13.5" customHeight="1">
      <c r="A368" s="17"/>
      <c r="B368" s="12"/>
      <c r="C368" s="17"/>
      <c r="D368" s="17"/>
      <c r="E368" s="12"/>
      <c r="F368" s="12"/>
      <c r="G368" s="17"/>
      <c r="H368" s="17"/>
      <c r="I368" s="12"/>
      <c r="J368" s="12"/>
      <c r="K368" s="17"/>
      <c r="L368" s="17"/>
      <c r="M368" s="12"/>
    </row>
    <row r="369" ht="13.5" customHeight="1">
      <c r="A369" s="17"/>
      <c r="B369" s="12"/>
      <c r="C369" s="17"/>
      <c r="D369" s="17"/>
      <c r="E369" s="12"/>
      <c r="F369" s="12"/>
      <c r="G369" s="17"/>
      <c r="H369" s="17"/>
      <c r="I369" s="12"/>
      <c r="J369" s="12"/>
      <c r="K369" s="17"/>
      <c r="L369" s="17"/>
      <c r="M369" s="12"/>
    </row>
    <row r="370" ht="13.5" customHeight="1">
      <c r="A370" s="17"/>
      <c r="B370" s="12"/>
      <c r="C370" s="17"/>
      <c r="D370" s="17"/>
      <c r="E370" s="12"/>
      <c r="F370" s="12"/>
      <c r="G370" s="17"/>
      <c r="H370" s="17"/>
      <c r="I370" s="12"/>
      <c r="J370" s="12"/>
      <c r="K370" s="17"/>
      <c r="L370" s="17"/>
      <c r="M370" s="12"/>
    </row>
    <row r="371" ht="13.5" customHeight="1">
      <c r="A371" s="17"/>
      <c r="B371" s="12"/>
      <c r="C371" s="17"/>
      <c r="D371" s="17"/>
      <c r="E371" s="12"/>
      <c r="F371" s="12"/>
      <c r="G371" s="17"/>
      <c r="H371" s="17"/>
      <c r="I371" s="12"/>
      <c r="J371" s="12"/>
      <c r="K371" s="17"/>
      <c r="L371" s="17"/>
      <c r="M371" s="12"/>
    </row>
    <row r="372" ht="13.5" customHeight="1">
      <c r="A372" s="17"/>
      <c r="B372" s="12"/>
      <c r="C372" s="17"/>
      <c r="D372" s="17"/>
      <c r="E372" s="12"/>
      <c r="F372" s="12"/>
      <c r="G372" s="17"/>
      <c r="H372" s="17"/>
      <c r="I372" s="12"/>
      <c r="J372" s="12"/>
      <c r="K372" s="17"/>
      <c r="L372" s="17"/>
      <c r="M372" s="12"/>
    </row>
    <row r="373" ht="13.5" customHeight="1">
      <c r="A373" s="17"/>
      <c r="B373" s="12"/>
      <c r="C373" s="17"/>
      <c r="D373" s="17"/>
      <c r="E373" s="12"/>
      <c r="F373" s="12"/>
      <c r="G373" s="17"/>
      <c r="H373" s="17"/>
      <c r="I373" s="12"/>
      <c r="J373" s="12"/>
      <c r="K373" s="17"/>
      <c r="L373" s="17"/>
      <c r="M373" s="12"/>
    </row>
    <row r="374" ht="13.5" customHeight="1">
      <c r="A374" s="17"/>
      <c r="B374" s="12"/>
      <c r="C374" s="17"/>
      <c r="D374" s="17"/>
      <c r="E374" s="12"/>
      <c r="F374" s="12"/>
      <c r="G374" s="17"/>
      <c r="H374" s="17"/>
      <c r="I374" s="12"/>
      <c r="J374" s="12"/>
      <c r="K374" s="17"/>
      <c r="L374" s="17"/>
      <c r="M374" s="12"/>
    </row>
    <row r="375" ht="13.5" customHeight="1">
      <c r="A375" s="17"/>
      <c r="B375" s="12"/>
      <c r="C375" s="17"/>
      <c r="D375" s="17"/>
      <c r="E375" s="12"/>
      <c r="F375" s="12"/>
      <c r="G375" s="17"/>
      <c r="H375" s="17"/>
      <c r="I375" s="12"/>
      <c r="J375" s="12"/>
      <c r="K375" s="17"/>
      <c r="L375" s="17"/>
      <c r="M375" s="12"/>
    </row>
    <row r="376" ht="13.5" customHeight="1">
      <c r="A376" s="17"/>
      <c r="B376" s="12"/>
      <c r="C376" s="17"/>
      <c r="D376" s="17"/>
      <c r="E376" s="12"/>
      <c r="F376" s="12"/>
      <c r="G376" s="17"/>
      <c r="H376" s="17"/>
      <c r="I376" s="12"/>
      <c r="J376" s="12"/>
      <c r="K376" s="17"/>
      <c r="L376" s="17"/>
      <c r="M376" s="12"/>
    </row>
    <row r="377" ht="13.5" customHeight="1">
      <c r="A377" s="17"/>
      <c r="B377" s="12"/>
      <c r="C377" s="17"/>
      <c r="D377" s="17"/>
      <c r="E377" s="12"/>
      <c r="F377" s="12"/>
      <c r="G377" s="17"/>
      <c r="H377" s="17"/>
      <c r="I377" s="12"/>
      <c r="J377" s="12"/>
      <c r="K377" s="17"/>
      <c r="L377" s="17"/>
      <c r="M377" s="12"/>
    </row>
    <row r="378" ht="13.5" customHeight="1">
      <c r="A378" s="17"/>
      <c r="B378" s="12"/>
      <c r="C378" s="17"/>
      <c r="D378" s="17"/>
      <c r="E378" s="12"/>
      <c r="F378" s="12"/>
      <c r="G378" s="17"/>
      <c r="H378" s="17"/>
      <c r="I378" s="12"/>
      <c r="J378" s="12"/>
      <c r="K378" s="17"/>
      <c r="L378" s="17"/>
      <c r="M378" s="12"/>
    </row>
    <row r="379" ht="13.5" customHeight="1">
      <c r="A379" s="17"/>
      <c r="B379" s="12"/>
      <c r="C379" s="17"/>
      <c r="D379" s="17"/>
      <c r="E379" s="12"/>
      <c r="F379" s="12"/>
      <c r="G379" s="17"/>
      <c r="H379" s="17"/>
      <c r="I379" s="12"/>
      <c r="J379" s="12"/>
      <c r="K379" s="17"/>
      <c r="L379" s="17"/>
      <c r="M379" s="12"/>
    </row>
    <row r="380" ht="13.5" customHeight="1">
      <c r="A380" s="17"/>
      <c r="B380" s="12"/>
      <c r="C380" s="17"/>
      <c r="D380" s="17"/>
      <c r="E380" s="12"/>
      <c r="F380" s="12"/>
      <c r="G380" s="17"/>
      <c r="H380" s="17"/>
      <c r="I380" s="12"/>
      <c r="J380" s="12"/>
      <c r="K380" s="17"/>
      <c r="L380" s="17"/>
      <c r="M380" s="12"/>
    </row>
    <row r="381" ht="13.5" customHeight="1">
      <c r="A381" s="17"/>
      <c r="B381" s="12"/>
      <c r="C381" s="17"/>
      <c r="D381" s="17"/>
      <c r="E381" s="12"/>
      <c r="F381" s="12"/>
      <c r="G381" s="17"/>
      <c r="H381" s="17"/>
      <c r="I381" s="12"/>
      <c r="J381" s="12"/>
      <c r="K381" s="17"/>
      <c r="L381" s="17"/>
      <c r="M381" s="12"/>
    </row>
    <row r="382" ht="13.5" customHeight="1">
      <c r="A382" s="17"/>
      <c r="B382" s="12"/>
      <c r="C382" s="17"/>
      <c r="D382" s="17"/>
      <c r="E382" s="12"/>
      <c r="F382" s="12"/>
      <c r="G382" s="17"/>
      <c r="H382" s="17"/>
      <c r="I382" s="12"/>
      <c r="J382" s="12"/>
      <c r="K382" s="17"/>
      <c r="L382" s="17"/>
      <c r="M382" s="12"/>
    </row>
    <row r="383" ht="13.5" customHeight="1">
      <c r="A383" s="17"/>
      <c r="B383" s="12"/>
      <c r="C383" s="17"/>
      <c r="D383" s="17"/>
      <c r="E383" s="12"/>
      <c r="F383" s="12"/>
      <c r="G383" s="17"/>
      <c r="H383" s="17"/>
      <c r="I383" s="12"/>
      <c r="J383" s="12"/>
      <c r="K383" s="17"/>
      <c r="L383" s="17"/>
      <c r="M383" s="12"/>
    </row>
    <row r="384" ht="13.5" customHeight="1">
      <c r="A384" s="17"/>
      <c r="B384" s="12"/>
      <c r="C384" s="17"/>
      <c r="D384" s="17"/>
      <c r="E384" s="12"/>
      <c r="F384" s="12"/>
      <c r="G384" s="17"/>
      <c r="H384" s="17"/>
      <c r="I384" s="12"/>
      <c r="J384" s="12"/>
      <c r="K384" s="17"/>
      <c r="L384" s="17"/>
      <c r="M384" s="12"/>
    </row>
    <row r="385" ht="13.5" customHeight="1">
      <c r="A385" s="17"/>
      <c r="B385" s="12"/>
      <c r="C385" s="17"/>
      <c r="D385" s="17"/>
      <c r="E385" s="12"/>
      <c r="F385" s="12"/>
      <c r="G385" s="17"/>
      <c r="H385" s="17"/>
      <c r="I385" s="12"/>
      <c r="J385" s="12"/>
      <c r="K385" s="17"/>
      <c r="L385" s="17"/>
      <c r="M385" s="12"/>
    </row>
    <row r="386" ht="13.5" customHeight="1">
      <c r="A386" s="17"/>
      <c r="B386" s="12"/>
      <c r="C386" s="17"/>
      <c r="D386" s="17"/>
      <c r="E386" s="12"/>
      <c r="F386" s="12"/>
      <c r="G386" s="17"/>
      <c r="H386" s="17"/>
      <c r="I386" s="12"/>
      <c r="J386" s="12"/>
      <c r="K386" s="17"/>
      <c r="L386" s="17"/>
      <c r="M386" s="12"/>
    </row>
    <row r="387" ht="13.5" customHeight="1">
      <c r="A387" s="17"/>
      <c r="B387" s="12"/>
      <c r="C387" s="17"/>
      <c r="D387" s="17"/>
      <c r="E387" s="12"/>
      <c r="F387" s="12"/>
      <c r="G387" s="17"/>
      <c r="H387" s="17"/>
      <c r="I387" s="12"/>
      <c r="J387" s="12"/>
      <c r="K387" s="17"/>
      <c r="L387" s="17"/>
      <c r="M387" s="12"/>
    </row>
    <row r="388" ht="13.5" customHeight="1">
      <c r="A388" s="17"/>
      <c r="B388" s="12"/>
      <c r="C388" s="17"/>
      <c r="D388" s="17"/>
      <c r="E388" s="12"/>
      <c r="F388" s="12"/>
      <c r="G388" s="17"/>
      <c r="H388" s="17"/>
      <c r="I388" s="12"/>
      <c r="J388" s="12"/>
      <c r="K388" s="17"/>
      <c r="L388" s="17"/>
      <c r="M388" s="12"/>
    </row>
    <row r="389" ht="13.5" customHeight="1">
      <c r="A389" s="17"/>
      <c r="B389" s="12"/>
      <c r="C389" s="17"/>
      <c r="D389" s="17"/>
      <c r="E389" s="12"/>
      <c r="F389" s="12"/>
      <c r="G389" s="17"/>
      <c r="H389" s="17"/>
      <c r="I389" s="12"/>
      <c r="J389" s="12"/>
      <c r="K389" s="17"/>
      <c r="L389" s="17"/>
      <c r="M389" s="12"/>
    </row>
    <row r="390" ht="13.5" customHeight="1">
      <c r="A390" s="17"/>
      <c r="B390" s="12"/>
      <c r="C390" s="17"/>
      <c r="D390" s="17"/>
      <c r="E390" s="12"/>
      <c r="F390" s="12"/>
      <c r="G390" s="17"/>
      <c r="H390" s="17"/>
      <c r="I390" s="12"/>
      <c r="J390" s="12"/>
      <c r="K390" s="17"/>
      <c r="L390" s="17"/>
      <c r="M390" s="12"/>
    </row>
    <row r="391" ht="13.5" customHeight="1">
      <c r="A391" s="17"/>
      <c r="B391" s="12"/>
      <c r="C391" s="17"/>
      <c r="D391" s="17"/>
      <c r="E391" s="12"/>
      <c r="F391" s="12"/>
      <c r="G391" s="17"/>
      <c r="H391" s="17"/>
      <c r="I391" s="12"/>
      <c r="J391" s="12"/>
      <c r="K391" s="17"/>
      <c r="L391" s="17"/>
      <c r="M391" s="12"/>
    </row>
    <row r="392" ht="13.5" customHeight="1">
      <c r="A392" s="17"/>
      <c r="B392" s="12"/>
      <c r="C392" s="17"/>
      <c r="D392" s="17"/>
      <c r="E392" s="12"/>
      <c r="F392" s="12"/>
      <c r="G392" s="17"/>
      <c r="H392" s="17"/>
      <c r="I392" s="12"/>
      <c r="J392" s="12"/>
      <c r="K392" s="17"/>
      <c r="L392" s="17"/>
      <c r="M392" s="12"/>
    </row>
    <row r="393" ht="13.5" customHeight="1">
      <c r="A393" s="17"/>
      <c r="B393" s="12"/>
      <c r="C393" s="17"/>
      <c r="D393" s="17"/>
      <c r="E393" s="12"/>
      <c r="F393" s="12"/>
      <c r="G393" s="17"/>
      <c r="H393" s="17"/>
      <c r="I393" s="12"/>
      <c r="J393" s="12"/>
      <c r="K393" s="17"/>
      <c r="L393" s="17"/>
      <c r="M393" s="12"/>
    </row>
    <row r="394" ht="13.5" customHeight="1">
      <c r="A394" s="17"/>
      <c r="B394" s="12"/>
      <c r="C394" s="17"/>
      <c r="D394" s="17"/>
      <c r="E394" s="12"/>
      <c r="F394" s="12"/>
      <c r="G394" s="17"/>
      <c r="H394" s="17"/>
      <c r="I394" s="12"/>
      <c r="J394" s="12"/>
      <c r="K394" s="17"/>
      <c r="L394" s="17"/>
      <c r="M394" s="12"/>
    </row>
    <row r="395" ht="13.5" customHeight="1">
      <c r="A395" s="17"/>
      <c r="B395" s="12"/>
      <c r="C395" s="17"/>
      <c r="D395" s="17"/>
      <c r="E395" s="12"/>
      <c r="F395" s="12"/>
      <c r="G395" s="17"/>
      <c r="H395" s="17"/>
      <c r="I395" s="12"/>
      <c r="J395" s="12"/>
      <c r="K395" s="17"/>
      <c r="L395" s="17"/>
      <c r="M395" s="12"/>
    </row>
    <row r="396" ht="13.5" customHeight="1">
      <c r="A396" s="17"/>
      <c r="B396" s="12"/>
      <c r="C396" s="17"/>
      <c r="D396" s="17"/>
      <c r="E396" s="12"/>
      <c r="F396" s="12"/>
      <c r="G396" s="17"/>
      <c r="H396" s="17"/>
      <c r="I396" s="12"/>
      <c r="J396" s="12"/>
      <c r="K396" s="17"/>
      <c r="L396" s="17"/>
      <c r="M396" s="12"/>
    </row>
    <row r="397" ht="13.5" customHeight="1">
      <c r="A397" s="17"/>
      <c r="B397" s="12"/>
      <c r="C397" s="17"/>
      <c r="D397" s="17"/>
      <c r="E397" s="12"/>
      <c r="F397" s="12"/>
      <c r="G397" s="17"/>
      <c r="H397" s="17"/>
      <c r="I397" s="12"/>
      <c r="J397" s="12"/>
      <c r="K397" s="17"/>
      <c r="L397" s="17"/>
      <c r="M397" s="12"/>
    </row>
    <row r="398" ht="13.5" customHeight="1">
      <c r="A398" s="17"/>
      <c r="B398" s="12"/>
      <c r="C398" s="17"/>
      <c r="D398" s="17"/>
      <c r="E398" s="12"/>
      <c r="F398" s="12"/>
      <c r="G398" s="17"/>
      <c r="H398" s="17"/>
      <c r="I398" s="12"/>
      <c r="J398" s="12"/>
      <c r="K398" s="17"/>
      <c r="L398" s="17"/>
      <c r="M398" s="12"/>
    </row>
    <row r="399" ht="13.5" customHeight="1">
      <c r="A399" s="17"/>
      <c r="B399" s="12"/>
      <c r="C399" s="17"/>
      <c r="D399" s="17"/>
      <c r="E399" s="12"/>
      <c r="F399" s="12"/>
      <c r="G399" s="17"/>
      <c r="H399" s="17"/>
      <c r="I399" s="12"/>
      <c r="J399" s="12"/>
      <c r="K399" s="17"/>
      <c r="L399" s="17"/>
      <c r="M399" s="12"/>
    </row>
    <row r="400" ht="13.5" customHeight="1">
      <c r="A400" s="17"/>
      <c r="B400" s="12"/>
      <c r="C400" s="17"/>
      <c r="D400" s="17"/>
      <c r="E400" s="12"/>
      <c r="F400" s="12"/>
      <c r="G400" s="17"/>
      <c r="H400" s="17"/>
      <c r="I400" s="12"/>
      <c r="J400" s="12"/>
      <c r="K400" s="17"/>
      <c r="L400" s="17"/>
      <c r="M400" s="12"/>
    </row>
    <row r="401" ht="13.5" customHeight="1">
      <c r="A401" s="17"/>
      <c r="B401" s="12"/>
      <c r="C401" s="17"/>
      <c r="D401" s="17"/>
      <c r="E401" s="12"/>
      <c r="F401" s="12"/>
      <c r="G401" s="17"/>
      <c r="H401" s="17"/>
      <c r="I401" s="12"/>
      <c r="J401" s="12"/>
      <c r="K401" s="17"/>
      <c r="L401" s="17"/>
      <c r="M401" s="12"/>
    </row>
    <row r="402" ht="13.5" customHeight="1">
      <c r="A402" s="17"/>
      <c r="B402" s="12"/>
      <c r="C402" s="17"/>
      <c r="D402" s="17"/>
      <c r="E402" s="12"/>
      <c r="F402" s="12"/>
      <c r="G402" s="17"/>
      <c r="H402" s="17"/>
      <c r="I402" s="12"/>
      <c r="J402" s="12"/>
      <c r="K402" s="17"/>
      <c r="L402" s="17"/>
      <c r="M402" s="12"/>
    </row>
    <row r="403" ht="13.5" customHeight="1">
      <c r="A403" s="17"/>
      <c r="B403" s="12"/>
      <c r="C403" s="17"/>
      <c r="D403" s="17"/>
      <c r="E403" s="12"/>
      <c r="F403" s="12"/>
      <c r="G403" s="17"/>
      <c r="H403" s="17"/>
      <c r="I403" s="12"/>
      <c r="J403" s="12"/>
      <c r="K403" s="17"/>
      <c r="L403" s="17"/>
      <c r="M403" s="12"/>
    </row>
    <row r="404" ht="13.5" customHeight="1">
      <c r="A404" s="17"/>
      <c r="B404" s="12"/>
      <c r="C404" s="17"/>
      <c r="D404" s="17"/>
      <c r="E404" s="12"/>
      <c r="F404" s="12"/>
      <c r="G404" s="17"/>
      <c r="H404" s="17"/>
      <c r="I404" s="12"/>
      <c r="J404" s="12"/>
      <c r="K404" s="17"/>
      <c r="L404" s="17"/>
      <c r="M404" s="12"/>
    </row>
    <row r="405" ht="13.5" customHeight="1">
      <c r="A405" s="17"/>
      <c r="B405" s="12"/>
      <c r="C405" s="17"/>
      <c r="D405" s="17"/>
      <c r="E405" s="12"/>
      <c r="F405" s="12"/>
      <c r="G405" s="17"/>
      <c r="H405" s="17"/>
      <c r="I405" s="12"/>
      <c r="J405" s="12"/>
      <c r="K405" s="17"/>
      <c r="L405" s="17"/>
      <c r="M405" s="12"/>
    </row>
    <row r="406" ht="13.5" customHeight="1">
      <c r="A406" s="17"/>
      <c r="B406" s="12"/>
      <c r="C406" s="17"/>
      <c r="D406" s="17"/>
      <c r="E406" s="12"/>
      <c r="F406" s="12"/>
      <c r="G406" s="17"/>
      <c r="H406" s="17"/>
      <c r="I406" s="12"/>
      <c r="J406" s="12"/>
      <c r="K406" s="17"/>
      <c r="L406" s="17"/>
      <c r="M406" s="12"/>
    </row>
    <row r="407" ht="13.5" customHeight="1">
      <c r="A407" s="17"/>
      <c r="B407" s="12"/>
      <c r="C407" s="17"/>
      <c r="D407" s="17"/>
      <c r="E407" s="12"/>
      <c r="F407" s="12"/>
      <c r="G407" s="17"/>
      <c r="H407" s="17"/>
      <c r="I407" s="12"/>
      <c r="J407" s="12"/>
      <c r="K407" s="17"/>
      <c r="L407" s="17"/>
      <c r="M407" s="12"/>
    </row>
    <row r="408" ht="13.5" customHeight="1">
      <c r="A408" s="17"/>
      <c r="B408" s="12"/>
      <c r="C408" s="17"/>
      <c r="D408" s="17"/>
      <c r="E408" s="12"/>
      <c r="F408" s="12"/>
      <c r="G408" s="17"/>
      <c r="H408" s="17"/>
      <c r="I408" s="12"/>
      <c r="J408" s="12"/>
      <c r="K408" s="17"/>
      <c r="L408" s="17"/>
      <c r="M408" s="12"/>
    </row>
    <row r="409" ht="13.5" customHeight="1">
      <c r="A409" s="17"/>
      <c r="B409" s="12"/>
      <c r="C409" s="17"/>
      <c r="D409" s="17"/>
      <c r="E409" s="12"/>
      <c r="F409" s="12"/>
      <c r="G409" s="17"/>
      <c r="H409" s="17"/>
      <c r="I409" s="12"/>
      <c r="J409" s="12"/>
      <c r="K409" s="17"/>
      <c r="L409" s="17"/>
      <c r="M409" s="12"/>
    </row>
    <row r="410" ht="13.5" customHeight="1">
      <c r="A410" s="17"/>
      <c r="B410" s="12"/>
      <c r="C410" s="17"/>
      <c r="D410" s="17"/>
      <c r="E410" s="12"/>
      <c r="F410" s="12"/>
      <c r="G410" s="17"/>
      <c r="H410" s="17"/>
      <c r="I410" s="12"/>
      <c r="J410" s="12"/>
      <c r="K410" s="17"/>
      <c r="L410" s="17"/>
      <c r="M410" s="12"/>
    </row>
    <row r="411" ht="13.5" customHeight="1">
      <c r="A411" s="17"/>
      <c r="B411" s="12"/>
      <c r="C411" s="17"/>
      <c r="D411" s="17"/>
      <c r="E411" s="12"/>
      <c r="F411" s="12"/>
      <c r="G411" s="17"/>
      <c r="H411" s="17"/>
      <c r="I411" s="12"/>
      <c r="J411" s="12"/>
      <c r="K411" s="17"/>
      <c r="L411" s="17"/>
      <c r="M411" s="12"/>
    </row>
    <row r="412" ht="13.5" customHeight="1">
      <c r="A412" s="17"/>
      <c r="B412" s="12"/>
      <c r="C412" s="17"/>
      <c r="D412" s="17"/>
      <c r="E412" s="12"/>
      <c r="F412" s="12"/>
      <c r="G412" s="17"/>
      <c r="H412" s="17"/>
      <c r="I412" s="12"/>
      <c r="J412" s="12"/>
      <c r="K412" s="17"/>
      <c r="L412" s="17"/>
      <c r="M412" s="12"/>
    </row>
    <row r="413" ht="13.5" customHeight="1">
      <c r="A413" s="17"/>
      <c r="B413" s="12"/>
      <c r="C413" s="17"/>
      <c r="D413" s="17"/>
      <c r="E413" s="12"/>
      <c r="F413" s="12"/>
      <c r="G413" s="17"/>
      <c r="H413" s="17"/>
      <c r="I413" s="12"/>
      <c r="J413" s="12"/>
      <c r="K413" s="17"/>
      <c r="L413" s="17"/>
      <c r="M413" s="12"/>
    </row>
    <row r="414" ht="13.5" customHeight="1">
      <c r="A414" s="17"/>
      <c r="B414" s="12"/>
      <c r="C414" s="17"/>
      <c r="D414" s="17"/>
      <c r="E414" s="12"/>
      <c r="F414" s="12"/>
      <c r="G414" s="17"/>
      <c r="H414" s="17"/>
      <c r="I414" s="12"/>
      <c r="J414" s="12"/>
      <c r="K414" s="17"/>
      <c r="L414" s="17"/>
      <c r="M414" s="12"/>
    </row>
    <row r="415" ht="13.5" customHeight="1">
      <c r="A415" s="17"/>
      <c r="B415" s="12"/>
      <c r="C415" s="17"/>
      <c r="D415" s="17"/>
      <c r="E415" s="12"/>
      <c r="F415" s="12"/>
      <c r="G415" s="17"/>
      <c r="H415" s="17"/>
      <c r="I415" s="12"/>
      <c r="J415" s="12"/>
      <c r="K415" s="17"/>
      <c r="L415" s="17"/>
      <c r="M415" s="12"/>
    </row>
    <row r="416" ht="13.5" customHeight="1">
      <c r="A416" s="17"/>
      <c r="B416" s="12"/>
      <c r="C416" s="17"/>
      <c r="D416" s="17"/>
      <c r="E416" s="12"/>
      <c r="F416" s="12"/>
      <c r="G416" s="17"/>
      <c r="H416" s="17"/>
      <c r="I416" s="12"/>
      <c r="J416" s="12"/>
      <c r="K416" s="17"/>
      <c r="L416" s="17"/>
      <c r="M416" s="12"/>
    </row>
    <row r="417" ht="13.5" customHeight="1">
      <c r="A417" s="17"/>
      <c r="B417" s="12"/>
      <c r="C417" s="17"/>
      <c r="D417" s="17"/>
      <c r="E417" s="12"/>
      <c r="F417" s="12"/>
      <c r="G417" s="17"/>
      <c r="H417" s="17"/>
      <c r="I417" s="12"/>
      <c r="J417" s="12"/>
      <c r="K417" s="17"/>
      <c r="L417" s="17"/>
      <c r="M417" s="12"/>
    </row>
    <row r="418" ht="13.5" customHeight="1">
      <c r="A418" s="17"/>
      <c r="B418" s="12"/>
      <c r="C418" s="17"/>
      <c r="D418" s="17"/>
      <c r="E418" s="12"/>
      <c r="F418" s="12"/>
      <c r="G418" s="17"/>
      <c r="H418" s="17"/>
      <c r="I418" s="12"/>
      <c r="J418" s="12"/>
      <c r="K418" s="17"/>
      <c r="L418" s="17"/>
      <c r="M418" s="12"/>
    </row>
    <row r="419" ht="13.5" customHeight="1">
      <c r="A419" s="17"/>
      <c r="B419" s="12"/>
      <c r="C419" s="17"/>
      <c r="D419" s="17"/>
      <c r="E419" s="12"/>
      <c r="F419" s="12"/>
      <c r="G419" s="17"/>
      <c r="H419" s="17"/>
      <c r="I419" s="12"/>
      <c r="J419" s="12"/>
      <c r="K419" s="17"/>
      <c r="L419" s="17"/>
      <c r="M419" s="12"/>
    </row>
    <row r="420" ht="13.5" customHeight="1">
      <c r="A420" s="17"/>
      <c r="B420" s="12"/>
      <c r="C420" s="17"/>
      <c r="D420" s="17"/>
      <c r="E420" s="12"/>
      <c r="F420" s="12"/>
      <c r="G420" s="17"/>
      <c r="H420" s="17"/>
      <c r="I420" s="12"/>
      <c r="J420" s="12"/>
      <c r="K420" s="17"/>
      <c r="L420" s="17"/>
      <c r="M420" s="12"/>
    </row>
    <row r="421" ht="13.5" customHeight="1">
      <c r="A421" s="17"/>
      <c r="B421" s="12"/>
      <c r="C421" s="17"/>
      <c r="D421" s="17"/>
      <c r="E421" s="12"/>
      <c r="F421" s="12"/>
      <c r="G421" s="17"/>
      <c r="H421" s="17"/>
      <c r="I421" s="12"/>
      <c r="J421" s="12"/>
      <c r="K421" s="17"/>
      <c r="L421" s="17"/>
      <c r="M421" s="12"/>
    </row>
    <row r="422" ht="13.5" customHeight="1">
      <c r="A422" s="17"/>
      <c r="B422" s="12"/>
      <c r="C422" s="17"/>
      <c r="D422" s="17"/>
      <c r="E422" s="12"/>
      <c r="F422" s="12"/>
      <c r="G422" s="17"/>
      <c r="H422" s="17"/>
      <c r="I422" s="12"/>
      <c r="J422" s="12"/>
      <c r="K422" s="17"/>
      <c r="L422" s="17"/>
      <c r="M422" s="12"/>
    </row>
    <row r="423" ht="13.5" customHeight="1">
      <c r="A423" s="17"/>
      <c r="B423" s="12"/>
      <c r="C423" s="17"/>
      <c r="D423" s="17"/>
      <c r="E423" s="12"/>
      <c r="F423" s="12"/>
      <c r="G423" s="17"/>
      <c r="H423" s="17"/>
      <c r="I423" s="12"/>
      <c r="J423" s="12"/>
      <c r="K423" s="17"/>
      <c r="L423" s="17"/>
      <c r="M423" s="12"/>
    </row>
    <row r="424" ht="13.5" customHeight="1">
      <c r="A424" s="17"/>
      <c r="B424" s="12"/>
      <c r="C424" s="17"/>
      <c r="D424" s="17"/>
      <c r="E424" s="12"/>
      <c r="F424" s="12"/>
      <c r="G424" s="17"/>
      <c r="H424" s="17"/>
      <c r="I424" s="12"/>
      <c r="J424" s="12"/>
      <c r="K424" s="17"/>
      <c r="L424" s="17"/>
      <c r="M424" s="12"/>
    </row>
    <row r="425" ht="13.5" customHeight="1">
      <c r="A425" s="17"/>
      <c r="B425" s="12"/>
      <c r="C425" s="17"/>
      <c r="D425" s="17"/>
      <c r="E425" s="12"/>
      <c r="F425" s="12"/>
      <c r="G425" s="17"/>
      <c r="H425" s="17"/>
      <c r="I425" s="12"/>
      <c r="J425" s="12"/>
      <c r="K425" s="17"/>
      <c r="L425" s="17"/>
      <c r="M425" s="12"/>
    </row>
    <row r="426" ht="13.5" customHeight="1">
      <c r="A426" s="17"/>
      <c r="B426" s="12"/>
      <c r="C426" s="17"/>
      <c r="D426" s="17"/>
      <c r="E426" s="12"/>
      <c r="F426" s="12"/>
      <c r="G426" s="17"/>
      <c r="H426" s="17"/>
      <c r="I426" s="12"/>
      <c r="J426" s="12"/>
      <c r="K426" s="17"/>
      <c r="L426" s="17"/>
      <c r="M426" s="12"/>
    </row>
    <row r="427" ht="13.5" customHeight="1">
      <c r="A427" s="17"/>
      <c r="B427" s="12"/>
      <c r="C427" s="17"/>
      <c r="D427" s="17"/>
      <c r="E427" s="12"/>
      <c r="F427" s="12"/>
      <c r="G427" s="17"/>
      <c r="H427" s="17"/>
      <c r="I427" s="12"/>
      <c r="J427" s="12"/>
      <c r="K427" s="17"/>
      <c r="L427" s="17"/>
      <c r="M427" s="12"/>
    </row>
    <row r="428" ht="13.5" customHeight="1">
      <c r="A428" s="17"/>
      <c r="B428" s="12"/>
      <c r="C428" s="17"/>
      <c r="D428" s="17"/>
      <c r="E428" s="12"/>
      <c r="F428" s="12"/>
      <c r="G428" s="17"/>
      <c r="H428" s="17"/>
      <c r="I428" s="12"/>
      <c r="J428" s="12"/>
      <c r="K428" s="17"/>
      <c r="L428" s="17"/>
      <c r="M428" s="12"/>
    </row>
    <row r="429" ht="13.5" customHeight="1">
      <c r="A429" s="17"/>
      <c r="B429" s="12"/>
      <c r="C429" s="17"/>
      <c r="D429" s="17"/>
      <c r="E429" s="12"/>
      <c r="F429" s="12"/>
      <c r="G429" s="17"/>
      <c r="H429" s="17"/>
      <c r="I429" s="12"/>
      <c r="J429" s="12"/>
      <c r="K429" s="17"/>
      <c r="L429" s="17"/>
      <c r="M429" s="12"/>
    </row>
    <row r="430" ht="13.5" customHeight="1">
      <c r="A430" s="17"/>
      <c r="B430" s="12"/>
      <c r="C430" s="17"/>
      <c r="D430" s="17"/>
      <c r="E430" s="12"/>
      <c r="F430" s="12"/>
      <c r="G430" s="17"/>
      <c r="H430" s="17"/>
      <c r="I430" s="12"/>
      <c r="J430" s="12"/>
      <c r="K430" s="17"/>
      <c r="L430" s="17"/>
      <c r="M430" s="12"/>
    </row>
    <row r="431" ht="13.5" customHeight="1">
      <c r="A431" s="17"/>
      <c r="B431" s="12"/>
      <c r="C431" s="17"/>
      <c r="D431" s="17"/>
      <c r="E431" s="12"/>
      <c r="F431" s="12"/>
      <c r="G431" s="17"/>
      <c r="H431" s="17"/>
      <c r="I431" s="12"/>
      <c r="J431" s="12"/>
      <c r="K431" s="17"/>
      <c r="L431" s="17"/>
      <c r="M431" s="12"/>
    </row>
    <row r="432" ht="13.5" customHeight="1">
      <c r="A432" s="17"/>
      <c r="B432" s="12"/>
      <c r="C432" s="17"/>
      <c r="D432" s="17"/>
      <c r="E432" s="12"/>
      <c r="F432" s="12"/>
      <c r="G432" s="17"/>
      <c r="H432" s="17"/>
      <c r="I432" s="12"/>
      <c r="J432" s="12"/>
      <c r="K432" s="17"/>
      <c r="L432" s="17"/>
      <c r="M432" s="12"/>
    </row>
    <row r="433" ht="13.5" customHeight="1">
      <c r="A433" s="17"/>
      <c r="B433" s="12"/>
      <c r="C433" s="17"/>
      <c r="D433" s="17"/>
      <c r="E433" s="12"/>
      <c r="F433" s="12"/>
      <c r="G433" s="17"/>
      <c r="H433" s="17"/>
      <c r="I433" s="12"/>
      <c r="J433" s="12"/>
      <c r="K433" s="17"/>
      <c r="L433" s="17"/>
      <c r="M433" s="12"/>
    </row>
    <row r="434" ht="13.5" customHeight="1">
      <c r="A434" s="17"/>
      <c r="B434" s="12"/>
      <c r="C434" s="17"/>
      <c r="D434" s="17"/>
      <c r="E434" s="12"/>
      <c r="F434" s="12"/>
      <c r="G434" s="17"/>
      <c r="H434" s="17"/>
      <c r="I434" s="12"/>
      <c r="J434" s="12"/>
      <c r="K434" s="17"/>
      <c r="L434" s="17"/>
      <c r="M434" s="12"/>
    </row>
    <row r="435" ht="13.5" customHeight="1">
      <c r="A435" s="17"/>
      <c r="B435" s="12"/>
      <c r="C435" s="17"/>
      <c r="D435" s="17"/>
      <c r="E435" s="12"/>
      <c r="F435" s="12"/>
      <c r="G435" s="17"/>
      <c r="H435" s="17"/>
      <c r="I435" s="12"/>
      <c r="J435" s="12"/>
      <c r="K435" s="17"/>
      <c r="L435" s="17"/>
      <c r="M435" s="12"/>
    </row>
    <row r="436" ht="13.5" customHeight="1">
      <c r="A436" s="17"/>
      <c r="B436" s="12"/>
      <c r="C436" s="17"/>
      <c r="D436" s="17"/>
      <c r="E436" s="12"/>
      <c r="F436" s="12"/>
      <c r="G436" s="17"/>
      <c r="H436" s="17"/>
      <c r="I436" s="12"/>
      <c r="J436" s="12"/>
      <c r="K436" s="17"/>
      <c r="L436" s="17"/>
      <c r="M436" s="12"/>
    </row>
    <row r="437" ht="13.5" customHeight="1">
      <c r="A437" s="17"/>
      <c r="B437" s="12"/>
      <c r="C437" s="17"/>
      <c r="D437" s="17"/>
      <c r="E437" s="12"/>
      <c r="F437" s="12"/>
      <c r="G437" s="17"/>
      <c r="H437" s="17"/>
      <c r="I437" s="12"/>
      <c r="J437" s="12"/>
      <c r="K437" s="17"/>
      <c r="L437" s="17"/>
      <c r="M437" s="12"/>
    </row>
    <row r="438" ht="13.5" customHeight="1">
      <c r="A438" s="17"/>
      <c r="B438" s="12"/>
      <c r="C438" s="17"/>
      <c r="D438" s="17"/>
      <c r="E438" s="12"/>
      <c r="F438" s="12"/>
      <c r="G438" s="17"/>
      <c r="H438" s="17"/>
      <c r="I438" s="12"/>
      <c r="J438" s="12"/>
      <c r="K438" s="17"/>
      <c r="L438" s="17"/>
      <c r="M438" s="12"/>
    </row>
    <row r="439" ht="13.5" customHeight="1">
      <c r="A439" s="17"/>
      <c r="B439" s="12"/>
      <c r="C439" s="17"/>
      <c r="D439" s="17"/>
      <c r="E439" s="12"/>
      <c r="F439" s="12"/>
      <c r="G439" s="17"/>
      <c r="H439" s="17"/>
      <c r="I439" s="12"/>
      <c r="J439" s="12"/>
      <c r="K439" s="17"/>
      <c r="L439" s="17"/>
      <c r="M439" s="12"/>
    </row>
    <row r="440" ht="13.5" customHeight="1">
      <c r="A440" s="17"/>
      <c r="B440" s="12"/>
      <c r="C440" s="17"/>
      <c r="D440" s="17"/>
      <c r="E440" s="12"/>
      <c r="F440" s="12"/>
      <c r="G440" s="17"/>
      <c r="H440" s="17"/>
      <c r="I440" s="12"/>
      <c r="J440" s="12"/>
      <c r="K440" s="17"/>
      <c r="L440" s="17"/>
      <c r="M440" s="12"/>
    </row>
    <row r="441" ht="13.5" customHeight="1">
      <c r="A441" s="17"/>
      <c r="B441" s="12"/>
      <c r="C441" s="17"/>
      <c r="D441" s="17"/>
      <c r="E441" s="12"/>
      <c r="F441" s="12"/>
      <c r="G441" s="17"/>
      <c r="H441" s="17"/>
      <c r="I441" s="12"/>
      <c r="J441" s="12"/>
      <c r="K441" s="17"/>
      <c r="L441" s="17"/>
      <c r="M441" s="12"/>
    </row>
    <row r="442" ht="13.5" customHeight="1">
      <c r="A442" s="17"/>
      <c r="B442" s="12"/>
      <c r="C442" s="17"/>
      <c r="D442" s="17"/>
      <c r="E442" s="12"/>
      <c r="F442" s="12"/>
      <c r="G442" s="17"/>
      <c r="H442" s="17"/>
      <c r="I442" s="12"/>
      <c r="J442" s="12"/>
      <c r="K442" s="17"/>
      <c r="L442" s="17"/>
      <c r="M442" s="12"/>
    </row>
    <row r="443" ht="13.5" customHeight="1">
      <c r="A443" s="17"/>
      <c r="B443" s="12"/>
      <c r="C443" s="17"/>
      <c r="D443" s="17"/>
      <c r="E443" s="12"/>
      <c r="F443" s="12"/>
      <c r="G443" s="17"/>
      <c r="H443" s="17"/>
      <c r="I443" s="12"/>
      <c r="J443" s="12"/>
      <c r="K443" s="17"/>
      <c r="L443" s="17"/>
      <c r="M443" s="12"/>
    </row>
    <row r="444" ht="13.5" customHeight="1">
      <c r="A444" s="17"/>
      <c r="B444" s="12"/>
      <c r="C444" s="17"/>
      <c r="D444" s="17"/>
      <c r="E444" s="12"/>
      <c r="F444" s="12"/>
      <c r="G444" s="17"/>
      <c r="H444" s="17"/>
      <c r="I444" s="12"/>
      <c r="J444" s="12"/>
      <c r="K444" s="17"/>
      <c r="L444" s="17"/>
      <c r="M444" s="12"/>
    </row>
    <row r="445" ht="13.5" customHeight="1">
      <c r="A445" s="17"/>
      <c r="B445" s="12"/>
      <c r="C445" s="17"/>
      <c r="D445" s="17"/>
      <c r="E445" s="12"/>
      <c r="F445" s="12"/>
      <c r="G445" s="17"/>
      <c r="H445" s="17"/>
      <c r="I445" s="12"/>
      <c r="J445" s="12"/>
      <c r="K445" s="17"/>
      <c r="L445" s="17"/>
      <c r="M445" s="12"/>
    </row>
    <row r="446" ht="13.5" customHeight="1">
      <c r="A446" s="17"/>
      <c r="B446" s="12"/>
      <c r="C446" s="17"/>
      <c r="D446" s="17"/>
      <c r="E446" s="12"/>
      <c r="F446" s="12"/>
      <c r="G446" s="17"/>
      <c r="H446" s="17"/>
      <c r="I446" s="12"/>
      <c r="J446" s="12"/>
      <c r="K446" s="17"/>
      <c r="L446" s="17"/>
      <c r="M446" s="12"/>
    </row>
    <row r="447" ht="13.5" customHeight="1">
      <c r="A447" s="17"/>
      <c r="B447" s="12"/>
      <c r="C447" s="17"/>
      <c r="D447" s="17"/>
      <c r="E447" s="12"/>
      <c r="F447" s="12"/>
      <c r="G447" s="17"/>
      <c r="H447" s="17"/>
      <c r="I447" s="12"/>
      <c r="J447" s="12"/>
      <c r="K447" s="17"/>
      <c r="L447" s="17"/>
      <c r="M447" s="12"/>
    </row>
    <row r="448" ht="13.5" customHeight="1">
      <c r="A448" s="17"/>
      <c r="B448" s="12"/>
      <c r="C448" s="17"/>
      <c r="D448" s="17"/>
      <c r="E448" s="12"/>
      <c r="F448" s="12"/>
      <c r="G448" s="17"/>
      <c r="H448" s="17"/>
      <c r="I448" s="12"/>
      <c r="J448" s="12"/>
      <c r="K448" s="17"/>
      <c r="L448" s="17"/>
      <c r="M448" s="12"/>
    </row>
    <row r="449" ht="13.5" customHeight="1">
      <c r="A449" s="17"/>
      <c r="B449" s="12"/>
      <c r="C449" s="17"/>
      <c r="D449" s="17"/>
      <c r="E449" s="12"/>
      <c r="F449" s="12"/>
      <c r="G449" s="17"/>
      <c r="H449" s="17"/>
      <c r="I449" s="12"/>
      <c r="J449" s="12"/>
      <c r="K449" s="17"/>
      <c r="L449" s="17"/>
      <c r="M449" s="12"/>
    </row>
    <row r="450" ht="13.5" customHeight="1">
      <c r="A450" s="17"/>
      <c r="B450" s="12"/>
      <c r="C450" s="17"/>
      <c r="D450" s="17"/>
      <c r="E450" s="12"/>
      <c r="F450" s="12"/>
      <c r="G450" s="17"/>
      <c r="H450" s="17"/>
      <c r="I450" s="12"/>
      <c r="J450" s="12"/>
      <c r="K450" s="17"/>
      <c r="L450" s="17"/>
      <c r="M450" s="12"/>
    </row>
    <row r="451" ht="13.5" customHeight="1">
      <c r="A451" s="17"/>
      <c r="B451" s="12"/>
      <c r="C451" s="17"/>
      <c r="D451" s="17"/>
      <c r="E451" s="12"/>
      <c r="F451" s="12"/>
      <c r="G451" s="17"/>
      <c r="H451" s="17"/>
      <c r="I451" s="12"/>
      <c r="J451" s="12"/>
      <c r="K451" s="17"/>
      <c r="L451" s="17"/>
      <c r="M451" s="12"/>
    </row>
    <row r="452" ht="13.5" customHeight="1">
      <c r="A452" s="17"/>
      <c r="B452" s="12"/>
      <c r="C452" s="17"/>
      <c r="D452" s="17"/>
      <c r="E452" s="12"/>
      <c r="F452" s="12"/>
      <c r="G452" s="17"/>
      <c r="H452" s="17"/>
      <c r="I452" s="12"/>
      <c r="J452" s="12"/>
      <c r="K452" s="17"/>
      <c r="L452" s="17"/>
      <c r="M452" s="12"/>
    </row>
    <row r="453" ht="13.5" customHeight="1">
      <c r="A453" s="17"/>
      <c r="B453" s="12"/>
      <c r="C453" s="17"/>
      <c r="D453" s="17"/>
      <c r="E453" s="12"/>
      <c r="F453" s="12"/>
      <c r="G453" s="17"/>
      <c r="H453" s="17"/>
      <c r="I453" s="12"/>
      <c r="J453" s="12"/>
      <c r="K453" s="17"/>
      <c r="L453" s="17"/>
      <c r="M453" s="12"/>
    </row>
    <row r="454" ht="13.5" customHeight="1">
      <c r="A454" s="17"/>
      <c r="B454" s="12"/>
      <c r="C454" s="17"/>
      <c r="D454" s="17"/>
      <c r="E454" s="12"/>
      <c r="F454" s="12"/>
      <c r="G454" s="17"/>
      <c r="H454" s="17"/>
      <c r="I454" s="12"/>
      <c r="J454" s="12"/>
      <c r="K454" s="17"/>
      <c r="L454" s="17"/>
      <c r="M454" s="12"/>
    </row>
    <row r="455" ht="13.5" customHeight="1">
      <c r="A455" s="17"/>
      <c r="B455" s="12"/>
      <c r="C455" s="17"/>
      <c r="D455" s="17"/>
      <c r="E455" s="12"/>
      <c r="F455" s="12"/>
      <c r="G455" s="17"/>
      <c r="H455" s="17"/>
      <c r="I455" s="12"/>
      <c r="J455" s="12"/>
      <c r="K455" s="17"/>
      <c r="L455" s="17"/>
      <c r="M455" s="12"/>
    </row>
    <row r="456" ht="13.5" customHeight="1">
      <c r="A456" s="17"/>
      <c r="B456" s="12"/>
      <c r="C456" s="17"/>
      <c r="D456" s="17"/>
      <c r="E456" s="12"/>
      <c r="F456" s="12"/>
      <c r="G456" s="17"/>
      <c r="H456" s="17"/>
      <c r="I456" s="12"/>
      <c r="J456" s="12"/>
      <c r="K456" s="17"/>
      <c r="L456" s="17"/>
      <c r="M456" s="12"/>
    </row>
    <row r="457" ht="13.5" customHeight="1">
      <c r="A457" s="17"/>
      <c r="B457" s="12"/>
      <c r="C457" s="17"/>
      <c r="D457" s="17"/>
      <c r="E457" s="12"/>
      <c r="F457" s="12"/>
      <c r="G457" s="17"/>
      <c r="H457" s="17"/>
      <c r="I457" s="12"/>
      <c r="J457" s="12"/>
      <c r="K457" s="17"/>
      <c r="L457" s="17"/>
      <c r="M457" s="12"/>
    </row>
    <row r="458" ht="13.5" customHeight="1">
      <c r="A458" s="17"/>
      <c r="B458" s="12"/>
      <c r="C458" s="17"/>
      <c r="D458" s="17"/>
      <c r="E458" s="12"/>
      <c r="F458" s="12"/>
      <c r="G458" s="17"/>
      <c r="H458" s="17"/>
      <c r="I458" s="12"/>
      <c r="J458" s="12"/>
      <c r="K458" s="17"/>
      <c r="L458" s="17"/>
      <c r="M458" s="12"/>
    </row>
    <row r="459" ht="13.5" customHeight="1">
      <c r="A459" s="17"/>
      <c r="B459" s="12"/>
      <c r="C459" s="17"/>
      <c r="D459" s="17"/>
      <c r="E459" s="12"/>
      <c r="F459" s="12"/>
      <c r="G459" s="17"/>
      <c r="H459" s="17"/>
      <c r="I459" s="12"/>
      <c r="J459" s="12"/>
      <c r="K459" s="17"/>
      <c r="L459" s="17"/>
      <c r="M459" s="12"/>
    </row>
    <row r="460" ht="13.5" customHeight="1">
      <c r="A460" s="17"/>
      <c r="B460" s="12"/>
      <c r="C460" s="17"/>
      <c r="D460" s="17"/>
      <c r="E460" s="12"/>
      <c r="F460" s="12"/>
      <c r="G460" s="17"/>
      <c r="H460" s="17"/>
      <c r="I460" s="12"/>
      <c r="J460" s="12"/>
      <c r="K460" s="17"/>
      <c r="L460" s="17"/>
      <c r="M460" s="12"/>
    </row>
    <row r="461" ht="13.5" customHeight="1">
      <c r="A461" s="17"/>
      <c r="B461" s="12"/>
      <c r="C461" s="17"/>
      <c r="D461" s="17"/>
      <c r="E461" s="12"/>
      <c r="F461" s="12"/>
      <c r="G461" s="17"/>
      <c r="H461" s="17"/>
      <c r="I461" s="12"/>
      <c r="J461" s="12"/>
      <c r="K461" s="17"/>
      <c r="L461" s="17"/>
      <c r="M461" s="12"/>
    </row>
    <row r="462" ht="13.5" customHeight="1">
      <c r="A462" s="17"/>
      <c r="B462" s="12"/>
      <c r="C462" s="17"/>
      <c r="D462" s="17"/>
      <c r="E462" s="12"/>
      <c r="F462" s="12"/>
      <c r="G462" s="17"/>
      <c r="H462" s="17"/>
      <c r="I462" s="12"/>
      <c r="J462" s="12"/>
      <c r="K462" s="17"/>
      <c r="L462" s="17"/>
      <c r="M462" s="12"/>
    </row>
    <row r="463" ht="13.5" customHeight="1">
      <c r="A463" s="17"/>
      <c r="B463" s="12"/>
      <c r="C463" s="17"/>
      <c r="D463" s="17"/>
      <c r="E463" s="12"/>
      <c r="F463" s="12"/>
      <c r="G463" s="17"/>
      <c r="H463" s="17"/>
      <c r="I463" s="12"/>
      <c r="J463" s="12"/>
      <c r="K463" s="17"/>
      <c r="L463" s="17"/>
      <c r="M463" s="12"/>
    </row>
    <row r="464" ht="13.5" customHeight="1">
      <c r="A464" s="17"/>
      <c r="B464" s="12"/>
      <c r="C464" s="17"/>
      <c r="D464" s="17"/>
      <c r="E464" s="12"/>
      <c r="F464" s="12"/>
      <c r="G464" s="17"/>
      <c r="H464" s="17"/>
      <c r="I464" s="12"/>
      <c r="J464" s="12"/>
      <c r="K464" s="17"/>
      <c r="L464" s="17"/>
      <c r="M464" s="12"/>
    </row>
    <row r="465" ht="13.5" customHeight="1">
      <c r="A465" s="17"/>
      <c r="B465" s="12"/>
      <c r="C465" s="17"/>
      <c r="D465" s="17"/>
      <c r="E465" s="12"/>
      <c r="F465" s="12"/>
      <c r="G465" s="17"/>
      <c r="H465" s="17"/>
      <c r="I465" s="12"/>
      <c r="J465" s="12"/>
      <c r="K465" s="17"/>
      <c r="L465" s="17"/>
      <c r="M465" s="12"/>
    </row>
    <row r="466" ht="13.5" customHeight="1">
      <c r="A466" s="17"/>
      <c r="B466" s="12"/>
      <c r="C466" s="17"/>
      <c r="D466" s="17"/>
      <c r="E466" s="12"/>
      <c r="F466" s="12"/>
      <c r="G466" s="17"/>
      <c r="H466" s="17"/>
      <c r="I466" s="12"/>
      <c r="J466" s="12"/>
      <c r="K466" s="17"/>
      <c r="L466" s="17"/>
      <c r="M466" s="12"/>
    </row>
    <row r="467" ht="13.5" customHeight="1">
      <c r="A467" s="17"/>
      <c r="B467" s="12"/>
      <c r="C467" s="17"/>
      <c r="D467" s="17"/>
      <c r="E467" s="12"/>
      <c r="F467" s="12"/>
      <c r="G467" s="17"/>
      <c r="H467" s="17"/>
      <c r="I467" s="12"/>
      <c r="J467" s="12"/>
      <c r="K467" s="17"/>
      <c r="L467" s="17"/>
      <c r="M467" s="12"/>
    </row>
    <row r="468" ht="13.5" customHeight="1">
      <c r="A468" s="17"/>
      <c r="B468" s="12"/>
      <c r="C468" s="17"/>
      <c r="D468" s="17"/>
      <c r="E468" s="12"/>
      <c r="F468" s="12"/>
      <c r="G468" s="17"/>
      <c r="H468" s="17"/>
      <c r="I468" s="12"/>
      <c r="J468" s="12"/>
      <c r="K468" s="17"/>
      <c r="L468" s="17"/>
      <c r="M468" s="12"/>
    </row>
    <row r="469" ht="13.5" customHeight="1">
      <c r="A469" s="17"/>
      <c r="B469" s="12"/>
      <c r="C469" s="17"/>
      <c r="D469" s="17"/>
      <c r="E469" s="12"/>
      <c r="F469" s="12"/>
      <c r="G469" s="17"/>
      <c r="H469" s="17"/>
      <c r="I469" s="12"/>
      <c r="J469" s="12"/>
      <c r="K469" s="17"/>
      <c r="L469" s="17"/>
      <c r="M469" s="12"/>
    </row>
    <row r="470" ht="13.5" customHeight="1">
      <c r="A470" s="17"/>
      <c r="B470" s="12"/>
      <c r="C470" s="17"/>
      <c r="D470" s="17"/>
      <c r="E470" s="12"/>
      <c r="F470" s="12"/>
      <c r="G470" s="17"/>
      <c r="H470" s="17"/>
      <c r="I470" s="12"/>
      <c r="J470" s="12"/>
      <c r="K470" s="17"/>
      <c r="L470" s="17"/>
      <c r="M470" s="12"/>
    </row>
    <row r="471" ht="13.5" customHeight="1">
      <c r="A471" s="17"/>
      <c r="B471" s="12"/>
      <c r="C471" s="17"/>
      <c r="D471" s="17"/>
      <c r="E471" s="12"/>
      <c r="F471" s="12"/>
      <c r="G471" s="17"/>
      <c r="H471" s="17"/>
      <c r="I471" s="12"/>
      <c r="J471" s="12"/>
      <c r="K471" s="17"/>
      <c r="L471" s="17"/>
      <c r="M471" s="12"/>
    </row>
    <row r="472" ht="13.5" customHeight="1">
      <c r="A472" s="17"/>
      <c r="B472" s="12"/>
      <c r="C472" s="17"/>
      <c r="D472" s="17"/>
      <c r="E472" s="12"/>
      <c r="F472" s="12"/>
      <c r="G472" s="17"/>
      <c r="H472" s="17"/>
      <c r="I472" s="12"/>
      <c r="J472" s="12"/>
      <c r="K472" s="17"/>
      <c r="L472" s="17"/>
      <c r="M472" s="12"/>
    </row>
    <row r="473" ht="13.5" customHeight="1">
      <c r="A473" s="17"/>
      <c r="B473" s="12"/>
      <c r="C473" s="17"/>
      <c r="D473" s="17"/>
      <c r="E473" s="12"/>
      <c r="F473" s="12"/>
      <c r="G473" s="17"/>
      <c r="H473" s="17"/>
      <c r="I473" s="12"/>
      <c r="J473" s="12"/>
      <c r="K473" s="17"/>
      <c r="L473" s="17"/>
      <c r="M473" s="12"/>
    </row>
    <row r="474" ht="13.5" customHeight="1">
      <c r="A474" s="17"/>
      <c r="B474" s="12"/>
      <c r="C474" s="17"/>
      <c r="D474" s="17"/>
      <c r="E474" s="12"/>
      <c r="F474" s="12"/>
      <c r="G474" s="17"/>
      <c r="H474" s="17"/>
      <c r="I474" s="12"/>
      <c r="J474" s="12"/>
      <c r="K474" s="17"/>
      <c r="L474" s="17"/>
      <c r="M474" s="12"/>
    </row>
    <row r="475" ht="13.5" customHeight="1">
      <c r="A475" s="17"/>
      <c r="B475" s="12"/>
      <c r="C475" s="17"/>
      <c r="D475" s="17"/>
      <c r="E475" s="12"/>
      <c r="F475" s="12"/>
      <c r="G475" s="17"/>
      <c r="H475" s="17"/>
      <c r="I475" s="12"/>
      <c r="J475" s="12"/>
      <c r="K475" s="17"/>
      <c r="L475" s="17"/>
      <c r="M475" s="12"/>
    </row>
    <row r="476" ht="13.5" customHeight="1">
      <c r="A476" s="17"/>
      <c r="B476" s="12"/>
      <c r="C476" s="17"/>
      <c r="D476" s="17"/>
      <c r="E476" s="12"/>
      <c r="F476" s="12"/>
      <c r="G476" s="17"/>
      <c r="H476" s="17"/>
      <c r="I476" s="12"/>
      <c r="J476" s="12"/>
      <c r="K476" s="17"/>
      <c r="L476" s="17"/>
      <c r="M476" s="12"/>
    </row>
    <row r="477" ht="13.5" customHeight="1">
      <c r="A477" s="17"/>
      <c r="B477" s="12"/>
      <c r="C477" s="17"/>
      <c r="D477" s="17"/>
      <c r="E477" s="12"/>
      <c r="F477" s="12"/>
      <c r="G477" s="17"/>
      <c r="H477" s="17"/>
      <c r="I477" s="12"/>
      <c r="J477" s="12"/>
      <c r="K477" s="17"/>
      <c r="L477" s="17"/>
      <c r="M477" s="12"/>
    </row>
    <row r="478" ht="13.5" customHeight="1">
      <c r="A478" s="17"/>
      <c r="B478" s="12"/>
      <c r="C478" s="17"/>
      <c r="D478" s="17"/>
      <c r="E478" s="12"/>
      <c r="F478" s="12"/>
      <c r="G478" s="17"/>
      <c r="H478" s="17"/>
      <c r="I478" s="12"/>
      <c r="J478" s="12"/>
      <c r="K478" s="17"/>
      <c r="L478" s="17"/>
      <c r="M478" s="12"/>
    </row>
    <row r="479" ht="13.5" customHeight="1">
      <c r="A479" s="17"/>
      <c r="B479" s="12"/>
      <c r="C479" s="17"/>
      <c r="D479" s="17"/>
      <c r="E479" s="12"/>
      <c r="F479" s="12"/>
      <c r="G479" s="17"/>
      <c r="H479" s="17"/>
      <c r="I479" s="12"/>
      <c r="J479" s="12"/>
      <c r="K479" s="17"/>
      <c r="L479" s="17"/>
      <c r="M479" s="12"/>
    </row>
    <row r="480" ht="13.5" customHeight="1">
      <c r="A480" s="17"/>
      <c r="B480" s="12"/>
      <c r="C480" s="17"/>
      <c r="D480" s="17"/>
      <c r="E480" s="12"/>
      <c r="F480" s="12"/>
      <c r="G480" s="17"/>
      <c r="H480" s="17"/>
      <c r="I480" s="12"/>
      <c r="J480" s="12"/>
      <c r="K480" s="17"/>
      <c r="L480" s="17"/>
      <c r="M480" s="12"/>
    </row>
    <row r="481" ht="13.5" customHeight="1">
      <c r="A481" s="17"/>
      <c r="B481" s="12"/>
      <c r="C481" s="17"/>
      <c r="D481" s="17"/>
      <c r="E481" s="12"/>
      <c r="F481" s="12"/>
      <c r="G481" s="17"/>
      <c r="H481" s="17"/>
      <c r="I481" s="12"/>
      <c r="J481" s="12"/>
      <c r="K481" s="17"/>
      <c r="L481" s="17"/>
      <c r="M481" s="12"/>
    </row>
    <row r="482" ht="13.5" customHeight="1">
      <c r="A482" s="17"/>
      <c r="B482" s="12"/>
      <c r="C482" s="17"/>
      <c r="D482" s="17"/>
      <c r="E482" s="12"/>
      <c r="F482" s="12"/>
      <c r="G482" s="17"/>
      <c r="H482" s="17"/>
      <c r="I482" s="12"/>
      <c r="J482" s="12"/>
      <c r="K482" s="17"/>
      <c r="L482" s="17"/>
      <c r="M482" s="12"/>
    </row>
    <row r="483" ht="13.5" customHeight="1">
      <c r="A483" s="17"/>
      <c r="B483" s="12"/>
      <c r="C483" s="17"/>
      <c r="D483" s="17"/>
      <c r="E483" s="12"/>
      <c r="F483" s="12"/>
      <c r="G483" s="17"/>
      <c r="H483" s="17"/>
      <c r="I483" s="12"/>
      <c r="J483" s="12"/>
      <c r="K483" s="17"/>
      <c r="L483" s="17"/>
      <c r="M483" s="12"/>
    </row>
    <row r="484" ht="13.5" customHeight="1">
      <c r="A484" s="17"/>
      <c r="B484" s="12"/>
      <c r="C484" s="17"/>
      <c r="D484" s="17"/>
      <c r="E484" s="12"/>
      <c r="F484" s="12"/>
      <c r="G484" s="17"/>
      <c r="H484" s="17"/>
      <c r="I484" s="12"/>
      <c r="J484" s="12"/>
      <c r="K484" s="17"/>
      <c r="L484" s="17"/>
      <c r="M484" s="12"/>
    </row>
    <row r="485" ht="13.5" customHeight="1">
      <c r="A485" s="17"/>
      <c r="B485" s="12"/>
      <c r="C485" s="17"/>
      <c r="D485" s="17"/>
      <c r="E485" s="12"/>
      <c r="F485" s="12"/>
      <c r="G485" s="17"/>
      <c r="H485" s="17"/>
      <c r="I485" s="12"/>
      <c r="J485" s="12"/>
      <c r="K485" s="17"/>
      <c r="L485" s="17"/>
      <c r="M485" s="12"/>
    </row>
    <row r="486" ht="13.5" customHeight="1">
      <c r="A486" s="17"/>
      <c r="B486" s="12"/>
      <c r="C486" s="17"/>
      <c r="D486" s="17"/>
      <c r="E486" s="12"/>
      <c r="F486" s="12"/>
      <c r="G486" s="17"/>
      <c r="H486" s="17"/>
      <c r="I486" s="12"/>
      <c r="J486" s="12"/>
      <c r="K486" s="17"/>
      <c r="L486" s="17"/>
      <c r="M486" s="12"/>
    </row>
    <row r="487" ht="13.5" customHeight="1">
      <c r="A487" s="17"/>
      <c r="B487" s="12"/>
      <c r="C487" s="17"/>
      <c r="D487" s="17"/>
      <c r="E487" s="12"/>
      <c r="F487" s="12"/>
      <c r="G487" s="17"/>
      <c r="H487" s="17"/>
      <c r="I487" s="12"/>
      <c r="J487" s="12"/>
      <c r="K487" s="17"/>
      <c r="L487" s="17"/>
      <c r="M487" s="12"/>
    </row>
    <row r="488" ht="13.5" customHeight="1">
      <c r="A488" s="17"/>
      <c r="B488" s="12"/>
      <c r="C488" s="17"/>
      <c r="D488" s="17"/>
      <c r="E488" s="12"/>
      <c r="F488" s="12"/>
      <c r="G488" s="17"/>
      <c r="H488" s="17"/>
      <c r="I488" s="12"/>
      <c r="J488" s="12"/>
      <c r="K488" s="17"/>
      <c r="L488" s="17"/>
      <c r="M488" s="12"/>
    </row>
    <row r="489" ht="13.5" customHeight="1">
      <c r="A489" s="17"/>
      <c r="B489" s="12"/>
      <c r="C489" s="17"/>
      <c r="D489" s="17"/>
      <c r="E489" s="12"/>
      <c r="F489" s="12"/>
      <c r="G489" s="17"/>
      <c r="H489" s="17"/>
      <c r="I489" s="12"/>
      <c r="J489" s="12"/>
      <c r="K489" s="17"/>
      <c r="L489" s="17"/>
      <c r="M489" s="12"/>
    </row>
    <row r="490" ht="13.5" customHeight="1">
      <c r="A490" s="17"/>
      <c r="B490" s="12"/>
      <c r="C490" s="17"/>
      <c r="D490" s="17"/>
      <c r="E490" s="12"/>
      <c r="F490" s="12"/>
      <c r="G490" s="17"/>
      <c r="H490" s="17"/>
      <c r="I490" s="12"/>
      <c r="J490" s="12"/>
      <c r="K490" s="17"/>
      <c r="L490" s="17"/>
      <c r="M490" s="12"/>
    </row>
    <row r="491" ht="13.5" customHeight="1">
      <c r="A491" s="17"/>
      <c r="B491" s="12"/>
      <c r="C491" s="17"/>
      <c r="D491" s="17"/>
      <c r="E491" s="12"/>
      <c r="F491" s="12"/>
      <c r="G491" s="17"/>
      <c r="H491" s="17"/>
      <c r="I491" s="12"/>
      <c r="J491" s="12"/>
      <c r="K491" s="17"/>
      <c r="L491" s="17"/>
      <c r="M491" s="12"/>
    </row>
    <row r="492" ht="13.5" customHeight="1">
      <c r="A492" s="17"/>
      <c r="B492" s="12"/>
      <c r="C492" s="17"/>
      <c r="D492" s="17"/>
      <c r="E492" s="12"/>
      <c r="F492" s="12"/>
      <c r="G492" s="17"/>
      <c r="H492" s="17"/>
      <c r="I492" s="12"/>
      <c r="J492" s="12"/>
      <c r="K492" s="17"/>
      <c r="L492" s="17"/>
      <c r="M492" s="12"/>
    </row>
    <row r="493" ht="13.5" customHeight="1">
      <c r="A493" s="17"/>
      <c r="B493" s="12"/>
      <c r="C493" s="17"/>
      <c r="D493" s="17"/>
      <c r="E493" s="12"/>
      <c r="F493" s="12"/>
      <c r="G493" s="17"/>
      <c r="H493" s="17"/>
      <c r="I493" s="12"/>
      <c r="J493" s="12"/>
      <c r="K493" s="17"/>
      <c r="L493" s="17"/>
      <c r="M493" s="12"/>
    </row>
    <row r="494" ht="13.5" customHeight="1">
      <c r="A494" s="17"/>
      <c r="B494" s="12"/>
      <c r="C494" s="17"/>
      <c r="D494" s="17"/>
      <c r="E494" s="12"/>
      <c r="F494" s="12"/>
      <c r="G494" s="17"/>
      <c r="H494" s="17"/>
      <c r="I494" s="12"/>
      <c r="J494" s="12"/>
      <c r="K494" s="17"/>
      <c r="L494" s="17"/>
      <c r="M494" s="12"/>
    </row>
    <row r="495" ht="13.5" customHeight="1">
      <c r="A495" s="17"/>
      <c r="B495" s="12"/>
      <c r="C495" s="17"/>
      <c r="D495" s="17"/>
      <c r="E495" s="12"/>
      <c r="F495" s="12"/>
      <c r="G495" s="17"/>
      <c r="H495" s="17"/>
      <c r="I495" s="12"/>
      <c r="J495" s="12"/>
      <c r="K495" s="17"/>
      <c r="L495" s="17"/>
      <c r="M495" s="12"/>
    </row>
    <row r="496" ht="13.5" customHeight="1">
      <c r="A496" s="17"/>
      <c r="B496" s="12"/>
      <c r="C496" s="17"/>
      <c r="D496" s="17"/>
      <c r="E496" s="12"/>
      <c r="F496" s="12"/>
      <c r="G496" s="17"/>
      <c r="H496" s="17"/>
      <c r="I496" s="12"/>
      <c r="J496" s="12"/>
      <c r="K496" s="17"/>
      <c r="L496" s="17"/>
      <c r="M496" s="12"/>
    </row>
    <row r="497" ht="13.5" customHeight="1">
      <c r="A497" s="17"/>
      <c r="B497" s="12"/>
      <c r="C497" s="17"/>
      <c r="D497" s="17"/>
      <c r="E497" s="12"/>
      <c r="F497" s="12"/>
      <c r="G497" s="17"/>
      <c r="H497" s="17"/>
      <c r="I497" s="12"/>
      <c r="J497" s="12"/>
      <c r="K497" s="17"/>
      <c r="L497" s="17"/>
      <c r="M497" s="12"/>
    </row>
    <row r="498" ht="13.5" customHeight="1">
      <c r="A498" s="17"/>
      <c r="B498" s="12"/>
      <c r="C498" s="17"/>
      <c r="D498" s="17"/>
      <c r="E498" s="12"/>
      <c r="F498" s="12"/>
      <c r="G498" s="17"/>
      <c r="H498" s="17"/>
      <c r="I498" s="12"/>
      <c r="J498" s="12"/>
      <c r="K498" s="17"/>
      <c r="L498" s="17"/>
      <c r="M498" s="12"/>
    </row>
    <row r="499" ht="13.5" customHeight="1">
      <c r="A499" s="17"/>
      <c r="B499" s="12"/>
      <c r="C499" s="17"/>
      <c r="D499" s="17"/>
      <c r="E499" s="12"/>
      <c r="F499" s="12"/>
      <c r="G499" s="17"/>
      <c r="H499" s="17"/>
      <c r="I499" s="12"/>
      <c r="J499" s="12"/>
      <c r="K499" s="17"/>
      <c r="L499" s="17"/>
      <c r="M499" s="12"/>
    </row>
    <row r="500" ht="13.5" customHeight="1">
      <c r="A500" s="17"/>
      <c r="B500" s="12"/>
      <c r="C500" s="17"/>
      <c r="D500" s="17"/>
      <c r="E500" s="12"/>
      <c r="F500" s="12"/>
      <c r="G500" s="17"/>
      <c r="H500" s="17"/>
      <c r="I500" s="12"/>
      <c r="J500" s="12"/>
      <c r="K500" s="17"/>
      <c r="L500" s="17"/>
      <c r="M500" s="12"/>
    </row>
    <row r="501" ht="13.5" customHeight="1">
      <c r="A501" s="17"/>
      <c r="B501" s="12"/>
      <c r="C501" s="17"/>
      <c r="D501" s="17"/>
      <c r="E501" s="12"/>
      <c r="F501" s="12"/>
      <c r="G501" s="17"/>
      <c r="H501" s="17"/>
      <c r="I501" s="12"/>
      <c r="J501" s="12"/>
      <c r="K501" s="17"/>
      <c r="L501" s="17"/>
      <c r="M501" s="12"/>
    </row>
    <row r="502" ht="13.5" customHeight="1">
      <c r="A502" s="17"/>
      <c r="B502" s="12"/>
      <c r="C502" s="17"/>
      <c r="D502" s="17"/>
      <c r="E502" s="12"/>
      <c r="F502" s="12"/>
      <c r="G502" s="17"/>
      <c r="H502" s="17"/>
      <c r="I502" s="12"/>
      <c r="J502" s="12"/>
      <c r="K502" s="17"/>
      <c r="L502" s="17"/>
      <c r="M502" s="12"/>
    </row>
    <row r="503" ht="13.5" customHeight="1">
      <c r="A503" s="17"/>
      <c r="B503" s="12"/>
      <c r="C503" s="17"/>
      <c r="D503" s="17"/>
      <c r="E503" s="12"/>
      <c r="F503" s="12"/>
      <c r="G503" s="17"/>
      <c r="H503" s="17"/>
      <c r="I503" s="12"/>
      <c r="J503" s="12"/>
      <c r="K503" s="17"/>
      <c r="L503" s="17"/>
      <c r="M503" s="12"/>
    </row>
    <row r="504" ht="13.5" customHeight="1">
      <c r="A504" s="17"/>
      <c r="B504" s="12"/>
      <c r="C504" s="17"/>
      <c r="D504" s="17"/>
      <c r="E504" s="12"/>
      <c r="F504" s="12"/>
      <c r="G504" s="17"/>
      <c r="H504" s="17"/>
      <c r="I504" s="12"/>
      <c r="J504" s="12"/>
      <c r="K504" s="17"/>
      <c r="L504" s="17"/>
      <c r="M504" s="12"/>
    </row>
    <row r="505" ht="13.5" customHeight="1">
      <c r="A505" s="17"/>
      <c r="B505" s="12"/>
      <c r="C505" s="17"/>
      <c r="D505" s="17"/>
      <c r="E505" s="12"/>
      <c r="F505" s="12"/>
      <c r="G505" s="17"/>
      <c r="H505" s="17"/>
      <c r="I505" s="12"/>
      <c r="J505" s="12"/>
      <c r="K505" s="17"/>
      <c r="L505" s="17"/>
      <c r="M505" s="12"/>
    </row>
    <row r="506" ht="13.5" customHeight="1">
      <c r="A506" s="17"/>
      <c r="B506" s="12"/>
      <c r="C506" s="17"/>
      <c r="D506" s="17"/>
      <c r="E506" s="12"/>
      <c r="F506" s="12"/>
      <c r="G506" s="17"/>
      <c r="H506" s="17"/>
      <c r="I506" s="12"/>
      <c r="J506" s="12"/>
      <c r="K506" s="17"/>
      <c r="L506" s="17"/>
      <c r="M506" s="12"/>
    </row>
    <row r="507" ht="13.5" customHeight="1">
      <c r="A507" s="17"/>
      <c r="B507" s="12"/>
      <c r="C507" s="17"/>
      <c r="D507" s="17"/>
      <c r="E507" s="12"/>
      <c r="F507" s="12"/>
      <c r="G507" s="17"/>
      <c r="H507" s="17"/>
      <c r="I507" s="12"/>
      <c r="J507" s="12"/>
      <c r="K507" s="17"/>
      <c r="L507" s="17"/>
      <c r="M507" s="12"/>
    </row>
    <row r="508" ht="13.5" customHeight="1">
      <c r="A508" s="17"/>
      <c r="B508" s="12"/>
      <c r="C508" s="17"/>
      <c r="D508" s="17"/>
      <c r="E508" s="12"/>
      <c r="F508" s="12"/>
      <c r="G508" s="17"/>
      <c r="H508" s="17"/>
      <c r="I508" s="12"/>
      <c r="J508" s="12"/>
      <c r="K508" s="17"/>
      <c r="L508" s="17"/>
      <c r="M508" s="12"/>
    </row>
    <row r="509" ht="13.5" customHeight="1">
      <c r="A509" s="17"/>
      <c r="B509" s="12"/>
      <c r="C509" s="17"/>
      <c r="D509" s="17"/>
      <c r="E509" s="12"/>
      <c r="F509" s="12"/>
      <c r="G509" s="17"/>
      <c r="H509" s="17"/>
      <c r="I509" s="12"/>
      <c r="J509" s="12"/>
      <c r="K509" s="17"/>
      <c r="L509" s="17"/>
      <c r="M509" s="12"/>
    </row>
    <row r="510" ht="13.5" customHeight="1">
      <c r="A510" s="17"/>
      <c r="B510" s="12"/>
      <c r="C510" s="17"/>
      <c r="D510" s="17"/>
      <c r="E510" s="12"/>
      <c r="F510" s="12"/>
      <c r="G510" s="17"/>
      <c r="H510" s="17"/>
      <c r="I510" s="12"/>
      <c r="J510" s="12"/>
      <c r="K510" s="17"/>
      <c r="L510" s="17"/>
      <c r="M510" s="12"/>
    </row>
    <row r="511" ht="13.5" customHeight="1">
      <c r="A511" s="17"/>
      <c r="B511" s="12"/>
      <c r="C511" s="17"/>
      <c r="D511" s="17"/>
      <c r="E511" s="12"/>
      <c r="F511" s="12"/>
      <c r="G511" s="17"/>
      <c r="H511" s="17"/>
      <c r="I511" s="12"/>
      <c r="J511" s="12"/>
      <c r="K511" s="17"/>
      <c r="L511" s="17"/>
      <c r="M511" s="12"/>
    </row>
    <row r="512" ht="13.5" customHeight="1">
      <c r="A512" s="17"/>
      <c r="B512" s="12"/>
      <c r="C512" s="17"/>
      <c r="D512" s="17"/>
      <c r="E512" s="12"/>
      <c r="F512" s="12"/>
      <c r="G512" s="17"/>
      <c r="H512" s="17"/>
      <c r="I512" s="12"/>
      <c r="J512" s="12"/>
      <c r="K512" s="17"/>
      <c r="L512" s="17"/>
      <c r="M512" s="12"/>
    </row>
    <row r="513" ht="13.5" customHeight="1">
      <c r="A513" s="17"/>
      <c r="B513" s="12"/>
      <c r="C513" s="17"/>
      <c r="D513" s="17"/>
      <c r="E513" s="12"/>
      <c r="F513" s="12"/>
      <c r="G513" s="17"/>
      <c r="H513" s="17"/>
      <c r="I513" s="12"/>
      <c r="J513" s="12"/>
      <c r="K513" s="17"/>
      <c r="L513" s="17"/>
      <c r="M513" s="12"/>
    </row>
    <row r="514" ht="13.5" customHeight="1">
      <c r="A514" s="17"/>
      <c r="B514" s="12"/>
      <c r="C514" s="17"/>
      <c r="D514" s="17"/>
      <c r="E514" s="12"/>
      <c r="F514" s="12"/>
      <c r="G514" s="17"/>
      <c r="H514" s="17"/>
      <c r="I514" s="12"/>
      <c r="J514" s="12"/>
      <c r="K514" s="17"/>
      <c r="L514" s="17"/>
      <c r="M514" s="12"/>
    </row>
    <row r="515" ht="13.5" customHeight="1">
      <c r="A515" s="17"/>
      <c r="B515" s="12"/>
      <c r="C515" s="17"/>
      <c r="D515" s="17"/>
      <c r="E515" s="12"/>
      <c r="F515" s="12"/>
      <c r="G515" s="17"/>
      <c r="H515" s="17"/>
      <c r="I515" s="12"/>
      <c r="J515" s="12"/>
      <c r="K515" s="17"/>
      <c r="L515" s="17"/>
      <c r="M515" s="12"/>
    </row>
    <row r="516" ht="13.5" customHeight="1">
      <c r="A516" s="17"/>
      <c r="B516" s="12"/>
      <c r="C516" s="17"/>
      <c r="D516" s="17"/>
      <c r="E516" s="12"/>
      <c r="F516" s="12"/>
      <c r="G516" s="17"/>
      <c r="H516" s="17"/>
      <c r="I516" s="12"/>
      <c r="J516" s="12"/>
      <c r="K516" s="17"/>
      <c r="L516" s="17"/>
      <c r="M516" s="12"/>
    </row>
    <row r="517" ht="13.5" customHeight="1">
      <c r="A517" s="17"/>
      <c r="B517" s="12"/>
      <c r="C517" s="17"/>
      <c r="D517" s="17"/>
      <c r="E517" s="12"/>
      <c r="F517" s="12"/>
      <c r="G517" s="17"/>
      <c r="H517" s="17"/>
      <c r="I517" s="12"/>
      <c r="J517" s="12"/>
      <c r="K517" s="17"/>
      <c r="L517" s="17"/>
      <c r="M517" s="12"/>
    </row>
    <row r="518" ht="13.5" customHeight="1">
      <c r="A518" s="17"/>
      <c r="B518" s="12"/>
      <c r="C518" s="17"/>
      <c r="D518" s="17"/>
      <c r="E518" s="12"/>
      <c r="F518" s="12"/>
      <c r="G518" s="17"/>
      <c r="H518" s="17"/>
      <c r="I518" s="12"/>
      <c r="J518" s="12"/>
      <c r="K518" s="17"/>
      <c r="L518" s="17"/>
      <c r="M518" s="12"/>
    </row>
    <row r="519" ht="13.5" customHeight="1">
      <c r="A519" s="17"/>
      <c r="B519" s="12"/>
      <c r="C519" s="17"/>
      <c r="D519" s="17"/>
      <c r="E519" s="12"/>
      <c r="F519" s="12"/>
      <c r="G519" s="17"/>
      <c r="H519" s="17"/>
      <c r="I519" s="12"/>
      <c r="J519" s="12"/>
      <c r="K519" s="17"/>
      <c r="L519" s="17"/>
      <c r="M519" s="12"/>
    </row>
    <row r="520" ht="13.5" customHeight="1">
      <c r="A520" s="17"/>
      <c r="B520" s="12"/>
      <c r="C520" s="17"/>
      <c r="D520" s="17"/>
      <c r="E520" s="12"/>
      <c r="F520" s="12"/>
      <c r="G520" s="17"/>
      <c r="H520" s="17"/>
      <c r="I520" s="12"/>
      <c r="J520" s="12"/>
      <c r="K520" s="17"/>
      <c r="L520" s="17"/>
      <c r="M520" s="12"/>
    </row>
    <row r="521" ht="13.5" customHeight="1">
      <c r="A521" s="17"/>
      <c r="B521" s="12"/>
      <c r="C521" s="17"/>
      <c r="D521" s="17"/>
      <c r="E521" s="12"/>
      <c r="F521" s="12"/>
      <c r="G521" s="17"/>
      <c r="H521" s="17"/>
      <c r="I521" s="12"/>
      <c r="J521" s="12"/>
      <c r="K521" s="17"/>
      <c r="L521" s="17"/>
      <c r="M521" s="12"/>
    </row>
    <row r="522" ht="13.5" customHeight="1">
      <c r="A522" s="17"/>
      <c r="B522" s="12"/>
      <c r="C522" s="17"/>
      <c r="D522" s="17"/>
      <c r="E522" s="12"/>
      <c r="F522" s="12"/>
      <c r="G522" s="17"/>
      <c r="H522" s="17"/>
      <c r="I522" s="12"/>
      <c r="J522" s="12"/>
      <c r="K522" s="17"/>
      <c r="L522" s="17"/>
      <c r="M522" s="12"/>
    </row>
    <row r="523" ht="13.5" customHeight="1">
      <c r="A523" s="17"/>
      <c r="B523" s="12"/>
      <c r="C523" s="17"/>
      <c r="D523" s="17"/>
      <c r="E523" s="12"/>
      <c r="F523" s="12"/>
      <c r="G523" s="17"/>
      <c r="H523" s="17"/>
      <c r="I523" s="12"/>
      <c r="J523" s="12"/>
      <c r="K523" s="17"/>
      <c r="L523" s="17"/>
      <c r="M523" s="12"/>
    </row>
    <row r="524" ht="13.5" customHeight="1">
      <c r="A524" s="17"/>
      <c r="B524" s="12"/>
      <c r="C524" s="17"/>
      <c r="D524" s="17"/>
      <c r="E524" s="12"/>
      <c r="F524" s="12"/>
      <c r="G524" s="17"/>
      <c r="H524" s="17"/>
      <c r="I524" s="12"/>
      <c r="J524" s="12"/>
      <c r="K524" s="17"/>
      <c r="L524" s="17"/>
      <c r="M524" s="12"/>
    </row>
    <row r="525" ht="13.5" customHeight="1">
      <c r="A525" s="17"/>
      <c r="B525" s="12"/>
      <c r="C525" s="17"/>
      <c r="D525" s="17"/>
      <c r="E525" s="12"/>
      <c r="F525" s="12"/>
      <c r="G525" s="17"/>
      <c r="H525" s="17"/>
      <c r="I525" s="12"/>
      <c r="J525" s="12"/>
      <c r="K525" s="17"/>
      <c r="L525" s="17"/>
      <c r="M525" s="12"/>
    </row>
    <row r="526" ht="13.5" customHeight="1">
      <c r="A526" s="17"/>
      <c r="B526" s="12"/>
      <c r="C526" s="17"/>
      <c r="D526" s="17"/>
      <c r="E526" s="12"/>
      <c r="F526" s="12"/>
      <c r="G526" s="17"/>
      <c r="H526" s="17"/>
      <c r="I526" s="12"/>
      <c r="J526" s="12"/>
      <c r="K526" s="17"/>
      <c r="L526" s="17"/>
      <c r="M526" s="12"/>
    </row>
    <row r="527" ht="13.5" customHeight="1">
      <c r="A527" s="17"/>
      <c r="B527" s="12"/>
      <c r="C527" s="17"/>
      <c r="D527" s="17"/>
      <c r="E527" s="12"/>
      <c r="F527" s="12"/>
      <c r="G527" s="17"/>
      <c r="H527" s="17"/>
      <c r="I527" s="12"/>
      <c r="J527" s="12"/>
      <c r="K527" s="17"/>
      <c r="L527" s="17"/>
      <c r="M527" s="12"/>
    </row>
    <row r="528" ht="13.5" customHeight="1">
      <c r="A528" s="17"/>
      <c r="B528" s="12"/>
      <c r="C528" s="17"/>
      <c r="D528" s="17"/>
      <c r="E528" s="12"/>
      <c r="F528" s="12"/>
      <c r="G528" s="17"/>
      <c r="H528" s="17"/>
      <c r="I528" s="12"/>
      <c r="J528" s="12"/>
      <c r="K528" s="17"/>
      <c r="L528" s="17"/>
      <c r="M528" s="12"/>
    </row>
    <row r="529" ht="13.5" customHeight="1">
      <c r="A529" s="17"/>
      <c r="B529" s="12"/>
      <c r="C529" s="17"/>
      <c r="D529" s="17"/>
      <c r="E529" s="12"/>
      <c r="F529" s="12"/>
      <c r="G529" s="17"/>
      <c r="H529" s="17"/>
      <c r="I529" s="12"/>
      <c r="J529" s="12"/>
      <c r="K529" s="17"/>
      <c r="L529" s="17"/>
      <c r="M529" s="12"/>
    </row>
    <row r="530" ht="13.5" customHeight="1">
      <c r="A530" s="17"/>
      <c r="B530" s="12"/>
      <c r="C530" s="17"/>
      <c r="D530" s="17"/>
      <c r="E530" s="12"/>
      <c r="F530" s="12"/>
      <c r="G530" s="17"/>
      <c r="H530" s="17"/>
      <c r="I530" s="12"/>
      <c r="J530" s="12"/>
      <c r="K530" s="17"/>
      <c r="L530" s="17"/>
      <c r="M530" s="12"/>
    </row>
    <row r="531" ht="13.5" customHeight="1">
      <c r="A531" s="17"/>
      <c r="B531" s="12"/>
      <c r="C531" s="17"/>
      <c r="D531" s="17"/>
      <c r="E531" s="12"/>
      <c r="F531" s="12"/>
      <c r="G531" s="17"/>
      <c r="H531" s="17"/>
      <c r="I531" s="12"/>
      <c r="J531" s="12"/>
      <c r="K531" s="17"/>
      <c r="L531" s="17"/>
      <c r="M531" s="12"/>
    </row>
    <row r="532" ht="13.5" customHeight="1">
      <c r="A532" s="17"/>
      <c r="B532" s="12"/>
      <c r="C532" s="17"/>
      <c r="D532" s="17"/>
      <c r="E532" s="12"/>
      <c r="F532" s="12"/>
      <c r="G532" s="17"/>
      <c r="H532" s="17"/>
      <c r="I532" s="12"/>
      <c r="J532" s="12"/>
      <c r="K532" s="17"/>
      <c r="L532" s="17"/>
      <c r="M532" s="12"/>
    </row>
    <row r="533" ht="13.5" customHeight="1">
      <c r="A533" s="17"/>
      <c r="B533" s="12"/>
      <c r="C533" s="17"/>
      <c r="D533" s="17"/>
      <c r="E533" s="12"/>
      <c r="F533" s="12"/>
      <c r="G533" s="17"/>
      <c r="H533" s="17"/>
      <c r="I533" s="12"/>
      <c r="J533" s="12"/>
      <c r="K533" s="17"/>
      <c r="L533" s="17"/>
      <c r="M533" s="12"/>
    </row>
    <row r="534" ht="13.5" customHeight="1">
      <c r="A534" s="17"/>
      <c r="B534" s="12"/>
      <c r="C534" s="17"/>
      <c r="D534" s="17"/>
      <c r="E534" s="12"/>
      <c r="F534" s="12"/>
      <c r="G534" s="17"/>
      <c r="H534" s="17"/>
      <c r="I534" s="12"/>
      <c r="J534" s="12"/>
      <c r="K534" s="17"/>
      <c r="L534" s="17"/>
      <c r="M534" s="12"/>
    </row>
    <row r="535" ht="13.5" customHeight="1">
      <c r="A535" s="17"/>
      <c r="B535" s="12"/>
      <c r="C535" s="17"/>
      <c r="D535" s="17"/>
      <c r="E535" s="12"/>
      <c r="F535" s="12"/>
      <c r="G535" s="17"/>
      <c r="H535" s="17"/>
      <c r="I535" s="12"/>
      <c r="J535" s="12"/>
      <c r="K535" s="17"/>
      <c r="L535" s="17"/>
      <c r="M535" s="12"/>
    </row>
    <row r="536" ht="13.5" customHeight="1">
      <c r="A536" s="17"/>
      <c r="B536" s="12"/>
      <c r="C536" s="17"/>
      <c r="D536" s="17"/>
      <c r="E536" s="12"/>
      <c r="F536" s="12"/>
      <c r="G536" s="17"/>
      <c r="H536" s="17"/>
      <c r="I536" s="12"/>
      <c r="J536" s="12"/>
      <c r="K536" s="17"/>
      <c r="L536" s="17"/>
      <c r="M536" s="12"/>
    </row>
    <row r="537" ht="13.5" customHeight="1">
      <c r="A537" s="17"/>
      <c r="B537" s="12"/>
      <c r="C537" s="17"/>
      <c r="D537" s="17"/>
      <c r="E537" s="12"/>
      <c r="F537" s="12"/>
      <c r="G537" s="17"/>
      <c r="H537" s="17"/>
      <c r="I537" s="12"/>
      <c r="J537" s="12"/>
      <c r="K537" s="17"/>
      <c r="L537" s="17"/>
      <c r="M537" s="12"/>
    </row>
    <row r="538" ht="13.5" customHeight="1">
      <c r="A538" s="17"/>
      <c r="B538" s="12"/>
      <c r="C538" s="17"/>
      <c r="D538" s="17"/>
      <c r="E538" s="12"/>
      <c r="F538" s="12"/>
      <c r="G538" s="17"/>
      <c r="H538" s="17"/>
      <c r="I538" s="12"/>
      <c r="J538" s="12"/>
      <c r="K538" s="17"/>
      <c r="L538" s="17"/>
      <c r="M538" s="12"/>
    </row>
    <row r="539" ht="13.5" customHeight="1">
      <c r="A539" s="17"/>
      <c r="B539" s="12"/>
      <c r="C539" s="17"/>
      <c r="D539" s="17"/>
      <c r="E539" s="12"/>
      <c r="F539" s="12"/>
      <c r="G539" s="17"/>
      <c r="H539" s="17"/>
      <c r="I539" s="12"/>
      <c r="J539" s="12"/>
      <c r="K539" s="17"/>
      <c r="L539" s="17"/>
      <c r="M539" s="12"/>
    </row>
    <row r="540" ht="13.5" customHeight="1">
      <c r="A540" s="17"/>
      <c r="B540" s="12"/>
      <c r="C540" s="17"/>
      <c r="D540" s="17"/>
      <c r="E540" s="12"/>
      <c r="F540" s="12"/>
      <c r="G540" s="17"/>
      <c r="H540" s="17"/>
      <c r="I540" s="12"/>
      <c r="J540" s="12"/>
      <c r="K540" s="17"/>
      <c r="L540" s="17"/>
      <c r="M540" s="12"/>
    </row>
    <row r="541" ht="13.5" customHeight="1">
      <c r="A541" s="17"/>
      <c r="B541" s="12"/>
      <c r="C541" s="17"/>
      <c r="D541" s="17"/>
      <c r="E541" s="12"/>
      <c r="F541" s="12"/>
      <c r="G541" s="17"/>
      <c r="H541" s="17"/>
      <c r="I541" s="12"/>
      <c r="J541" s="12"/>
      <c r="K541" s="17"/>
      <c r="L541" s="17"/>
      <c r="M541" s="12"/>
    </row>
    <row r="542" ht="13.5" customHeight="1">
      <c r="A542" s="17"/>
      <c r="B542" s="12"/>
      <c r="C542" s="17"/>
      <c r="D542" s="17"/>
      <c r="E542" s="12"/>
      <c r="F542" s="12"/>
      <c r="G542" s="17"/>
      <c r="H542" s="17"/>
      <c r="I542" s="12"/>
      <c r="J542" s="12"/>
      <c r="K542" s="17"/>
      <c r="L542" s="17"/>
      <c r="M542" s="12"/>
    </row>
    <row r="543" ht="13.5" customHeight="1">
      <c r="A543" s="17"/>
      <c r="B543" s="12"/>
      <c r="C543" s="17"/>
      <c r="D543" s="17"/>
      <c r="E543" s="12"/>
      <c r="F543" s="12"/>
      <c r="G543" s="17"/>
      <c r="H543" s="17"/>
      <c r="I543" s="12"/>
      <c r="J543" s="12"/>
      <c r="K543" s="17"/>
      <c r="L543" s="17"/>
      <c r="M543" s="12"/>
    </row>
    <row r="544" ht="13.5" customHeight="1">
      <c r="A544" s="17"/>
      <c r="B544" s="12"/>
      <c r="C544" s="17"/>
      <c r="D544" s="17"/>
      <c r="E544" s="12"/>
      <c r="F544" s="12"/>
      <c r="G544" s="17"/>
      <c r="H544" s="17"/>
      <c r="I544" s="12"/>
      <c r="J544" s="12"/>
      <c r="K544" s="17"/>
      <c r="L544" s="17"/>
      <c r="M544" s="12"/>
    </row>
    <row r="545" ht="13.5" customHeight="1">
      <c r="A545" s="17"/>
      <c r="B545" s="12"/>
      <c r="C545" s="17"/>
      <c r="D545" s="17"/>
      <c r="E545" s="12"/>
      <c r="F545" s="12"/>
      <c r="G545" s="17"/>
      <c r="H545" s="17"/>
      <c r="I545" s="12"/>
      <c r="J545" s="12"/>
      <c r="K545" s="17"/>
      <c r="L545" s="17"/>
      <c r="M545" s="12"/>
    </row>
    <row r="546" ht="13.5" customHeight="1">
      <c r="A546" s="17"/>
      <c r="B546" s="12"/>
      <c r="C546" s="17"/>
      <c r="D546" s="17"/>
      <c r="E546" s="12"/>
      <c r="F546" s="12"/>
      <c r="G546" s="17"/>
      <c r="H546" s="17"/>
      <c r="I546" s="12"/>
      <c r="J546" s="12"/>
      <c r="K546" s="17"/>
      <c r="L546" s="17"/>
      <c r="M546" s="12"/>
    </row>
    <row r="547" ht="13.5" customHeight="1">
      <c r="A547" s="17"/>
      <c r="B547" s="12"/>
      <c r="C547" s="17"/>
      <c r="D547" s="17"/>
      <c r="E547" s="12"/>
      <c r="F547" s="12"/>
      <c r="G547" s="17"/>
      <c r="H547" s="17"/>
      <c r="I547" s="12"/>
      <c r="J547" s="12"/>
      <c r="K547" s="17"/>
      <c r="L547" s="17"/>
      <c r="M547" s="12"/>
    </row>
    <row r="548" ht="13.5" customHeight="1">
      <c r="A548" s="17"/>
      <c r="B548" s="12"/>
      <c r="C548" s="17"/>
      <c r="D548" s="17"/>
      <c r="E548" s="12"/>
      <c r="F548" s="12"/>
      <c r="G548" s="17"/>
      <c r="H548" s="17"/>
      <c r="I548" s="12"/>
      <c r="J548" s="12"/>
      <c r="K548" s="17"/>
      <c r="L548" s="17"/>
      <c r="M548" s="12"/>
    </row>
    <row r="549" ht="13.5" customHeight="1">
      <c r="A549" s="17"/>
      <c r="B549" s="12"/>
      <c r="C549" s="17"/>
      <c r="D549" s="17"/>
      <c r="E549" s="12"/>
      <c r="F549" s="12"/>
      <c r="G549" s="17"/>
      <c r="H549" s="17"/>
      <c r="I549" s="12"/>
      <c r="J549" s="12"/>
      <c r="K549" s="17"/>
      <c r="L549" s="17"/>
      <c r="M549" s="12"/>
    </row>
    <row r="550" ht="13.5" customHeight="1">
      <c r="A550" s="17"/>
      <c r="B550" s="12"/>
      <c r="C550" s="17"/>
      <c r="D550" s="17"/>
      <c r="E550" s="12"/>
      <c r="F550" s="12"/>
      <c r="G550" s="17"/>
      <c r="H550" s="17"/>
      <c r="I550" s="12"/>
      <c r="J550" s="12"/>
      <c r="K550" s="17"/>
      <c r="L550" s="17"/>
      <c r="M550" s="12"/>
    </row>
    <row r="551" ht="13.5" customHeight="1">
      <c r="A551" s="17"/>
      <c r="B551" s="12"/>
      <c r="C551" s="17"/>
      <c r="D551" s="17"/>
      <c r="E551" s="12"/>
      <c r="F551" s="12"/>
      <c r="G551" s="17"/>
      <c r="H551" s="17"/>
      <c r="I551" s="12"/>
      <c r="J551" s="12"/>
      <c r="K551" s="17"/>
      <c r="L551" s="17"/>
      <c r="M551" s="12"/>
    </row>
    <row r="552" ht="13.5" customHeight="1">
      <c r="A552" s="17"/>
      <c r="B552" s="12"/>
      <c r="C552" s="17"/>
      <c r="D552" s="17"/>
      <c r="E552" s="12"/>
      <c r="F552" s="12"/>
      <c r="G552" s="17"/>
      <c r="H552" s="17"/>
      <c r="I552" s="12"/>
      <c r="J552" s="12"/>
      <c r="K552" s="17"/>
      <c r="L552" s="17"/>
      <c r="M552" s="12"/>
    </row>
    <row r="553" ht="13.5" customHeight="1">
      <c r="A553" s="17"/>
      <c r="B553" s="12"/>
      <c r="C553" s="17"/>
      <c r="D553" s="17"/>
      <c r="E553" s="12"/>
      <c r="F553" s="12"/>
      <c r="G553" s="17"/>
      <c r="H553" s="17"/>
      <c r="I553" s="12"/>
      <c r="J553" s="12"/>
      <c r="K553" s="17"/>
      <c r="L553" s="17"/>
      <c r="M553" s="12"/>
    </row>
    <row r="554" ht="13.5" customHeight="1">
      <c r="A554" s="17"/>
      <c r="B554" s="12"/>
      <c r="C554" s="17"/>
      <c r="D554" s="17"/>
      <c r="E554" s="12"/>
      <c r="F554" s="12"/>
      <c r="G554" s="17"/>
      <c r="H554" s="17"/>
      <c r="I554" s="12"/>
      <c r="J554" s="12"/>
      <c r="K554" s="17"/>
      <c r="L554" s="17"/>
      <c r="M554" s="12"/>
    </row>
    <row r="555" ht="13.5" customHeight="1">
      <c r="A555" s="17"/>
      <c r="B555" s="12"/>
      <c r="C555" s="17"/>
      <c r="D555" s="17"/>
      <c r="E555" s="12"/>
      <c r="F555" s="12"/>
      <c r="G555" s="17"/>
      <c r="H555" s="17"/>
      <c r="I555" s="12"/>
      <c r="J555" s="12"/>
      <c r="K555" s="17"/>
      <c r="L555" s="17"/>
      <c r="M555" s="12"/>
    </row>
    <row r="556" ht="13.5" customHeight="1">
      <c r="A556" s="17"/>
      <c r="B556" s="12"/>
      <c r="C556" s="17"/>
      <c r="D556" s="17"/>
      <c r="E556" s="12"/>
      <c r="F556" s="12"/>
      <c r="G556" s="17"/>
      <c r="H556" s="17"/>
      <c r="I556" s="12"/>
      <c r="J556" s="12"/>
      <c r="K556" s="17"/>
      <c r="L556" s="17"/>
      <c r="M556" s="12"/>
    </row>
    <row r="557" ht="13.5" customHeight="1">
      <c r="A557" s="17"/>
      <c r="B557" s="12"/>
      <c r="C557" s="17"/>
      <c r="D557" s="17"/>
      <c r="E557" s="12"/>
      <c r="F557" s="12"/>
      <c r="G557" s="17"/>
      <c r="H557" s="17"/>
      <c r="I557" s="12"/>
      <c r="J557" s="12"/>
      <c r="K557" s="17"/>
      <c r="L557" s="17"/>
      <c r="M557" s="12"/>
    </row>
    <row r="558" ht="13.5" customHeight="1">
      <c r="A558" s="17"/>
      <c r="B558" s="12"/>
      <c r="C558" s="17"/>
      <c r="D558" s="17"/>
      <c r="E558" s="12"/>
      <c r="F558" s="12"/>
      <c r="G558" s="17"/>
      <c r="H558" s="17"/>
      <c r="I558" s="12"/>
      <c r="J558" s="12"/>
      <c r="K558" s="17"/>
      <c r="L558" s="17"/>
      <c r="M558" s="12"/>
    </row>
    <row r="559" ht="13.5" customHeight="1">
      <c r="A559" s="17"/>
      <c r="B559" s="12"/>
      <c r="C559" s="17"/>
      <c r="D559" s="17"/>
      <c r="E559" s="12"/>
      <c r="F559" s="12"/>
      <c r="G559" s="17"/>
      <c r="H559" s="17"/>
      <c r="I559" s="12"/>
      <c r="J559" s="12"/>
      <c r="K559" s="17"/>
      <c r="L559" s="17"/>
      <c r="M559" s="12"/>
    </row>
    <row r="560" ht="13.5" customHeight="1">
      <c r="A560" s="17"/>
      <c r="B560" s="12"/>
      <c r="C560" s="17"/>
      <c r="D560" s="17"/>
      <c r="E560" s="12"/>
      <c r="F560" s="12"/>
      <c r="G560" s="17"/>
      <c r="H560" s="17"/>
      <c r="I560" s="12"/>
      <c r="J560" s="12"/>
      <c r="K560" s="17"/>
      <c r="L560" s="17"/>
      <c r="M560" s="12"/>
    </row>
    <row r="561" ht="13.5" customHeight="1">
      <c r="A561" s="17"/>
      <c r="B561" s="12"/>
      <c r="C561" s="17"/>
      <c r="D561" s="17"/>
      <c r="E561" s="12"/>
      <c r="F561" s="12"/>
      <c r="G561" s="17"/>
      <c r="H561" s="17"/>
      <c r="I561" s="12"/>
      <c r="J561" s="12"/>
      <c r="K561" s="17"/>
      <c r="L561" s="17"/>
      <c r="M561" s="12"/>
    </row>
    <row r="562" ht="13.5" customHeight="1">
      <c r="A562" s="17"/>
      <c r="B562" s="12"/>
      <c r="C562" s="17"/>
      <c r="D562" s="17"/>
      <c r="E562" s="12"/>
      <c r="F562" s="12"/>
      <c r="G562" s="17"/>
      <c r="H562" s="17"/>
      <c r="I562" s="12"/>
      <c r="J562" s="12"/>
      <c r="K562" s="17"/>
      <c r="L562" s="17"/>
      <c r="M562" s="12"/>
    </row>
    <row r="563" ht="13.5" customHeight="1">
      <c r="A563" s="17"/>
      <c r="B563" s="12"/>
      <c r="C563" s="17"/>
      <c r="D563" s="17"/>
      <c r="E563" s="12"/>
      <c r="F563" s="12"/>
      <c r="G563" s="17"/>
      <c r="H563" s="17"/>
      <c r="I563" s="12"/>
      <c r="J563" s="12"/>
      <c r="K563" s="17"/>
      <c r="L563" s="17"/>
      <c r="M563" s="12"/>
    </row>
    <row r="564" ht="13.5" customHeight="1">
      <c r="A564" s="17"/>
      <c r="B564" s="12"/>
      <c r="C564" s="17"/>
      <c r="D564" s="17"/>
      <c r="E564" s="12"/>
      <c r="F564" s="12"/>
      <c r="G564" s="17"/>
      <c r="H564" s="17"/>
      <c r="I564" s="12"/>
      <c r="J564" s="12"/>
      <c r="K564" s="17"/>
      <c r="L564" s="17"/>
      <c r="M564" s="12"/>
    </row>
    <row r="565" ht="13.5" customHeight="1">
      <c r="A565" s="17"/>
      <c r="B565" s="12"/>
      <c r="C565" s="17"/>
      <c r="D565" s="17"/>
      <c r="E565" s="12"/>
      <c r="F565" s="12"/>
      <c r="G565" s="17"/>
      <c r="H565" s="17"/>
      <c r="I565" s="12"/>
      <c r="J565" s="12"/>
      <c r="K565" s="17"/>
      <c r="L565" s="17"/>
      <c r="M565" s="12"/>
    </row>
    <row r="566" ht="13.5" customHeight="1">
      <c r="A566" s="17"/>
      <c r="B566" s="12"/>
      <c r="C566" s="17"/>
      <c r="D566" s="17"/>
      <c r="E566" s="12"/>
      <c r="F566" s="12"/>
      <c r="G566" s="17"/>
      <c r="H566" s="17"/>
      <c r="I566" s="12"/>
      <c r="J566" s="12"/>
      <c r="K566" s="17"/>
      <c r="L566" s="17"/>
      <c r="M566" s="12"/>
    </row>
    <row r="567" ht="13.5" customHeight="1">
      <c r="A567" s="17"/>
      <c r="B567" s="12"/>
      <c r="C567" s="17"/>
      <c r="D567" s="17"/>
      <c r="E567" s="12"/>
      <c r="F567" s="12"/>
      <c r="G567" s="17"/>
      <c r="H567" s="17"/>
      <c r="I567" s="12"/>
      <c r="J567" s="12"/>
      <c r="K567" s="17"/>
      <c r="L567" s="17"/>
      <c r="M567" s="12"/>
    </row>
    <row r="568" ht="13.5" customHeight="1">
      <c r="A568" s="17"/>
      <c r="B568" s="12"/>
      <c r="C568" s="17"/>
      <c r="D568" s="17"/>
      <c r="E568" s="12"/>
      <c r="F568" s="12"/>
      <c r="G568" s="17"/>
      <c r="H568" s="17"/>
      <c r="I568" s="12"/>
      <c r="J568" s="12"/>
      <c r="K568" s="17"/>
      <c r="L568" s="17"/>
      <c r="M568" s="12"/>
    </row>
    <row r="569" ht="13.5" customHeight="1">
      <c r="A569" s="17"/>
      <c r="B569" s="12"/>
      <c r="C569" s="17"/>
      <c r="D569" s="17"/>
      <c r="E569" s="12"/>
      <c r="F569" s="12"/>
      <c r="G569" s="17"/>
      <c r="H569" s="17"/>
      <c r="I569" s="12"/>
      <c r="J569" s="12"/>
      <c r="K569" s="17"/>
      <c r="L569" s="17"/>
      <c r="M569" s="12"/>
    </row>
    <row r="570" ht="13.5" customHeight="1">
      <c r="A570" s="17"/>
      <c r="B570" s="12"/>
      <c r="C570" s="17"/>
      <c r="D570" s="17"/>
      <c r="E570" s="12"/>
      <c r="F570" s="12"/>
      <c r="G570" s="17"/>
      <c r="H570" s="17"/>
      <c r="I570" s="12"/>
      <c r="J570" s="12"/>
      <c r="K570" s="17"/>
      <c r="L570" s="17"/>
      <c r="M570" s="12"/>
    </row>
    <row r="571" ht="13.5" customHeight="1">
      <c r="A571" s="17"/>
      <c r="B571" s="12"/>
      <c r="C571" s="17"/>
      <c r="D571" s="17"/>
      <c r="E571" s="12"/>
      <c r="F571" s="12"/>
      <c r="G571" s="17"/>
      <c r="H571" s="17"/>
      <c r="I571" s="12"/>
      <c r="J571" s="12"/>
      <c r="K571" s="17"/>
      <c r="L571" s="17"/>
      <c r="M571" s="12"/>
    </row>
    <row r="572" ht="13.5" customHeight="1">
      <c r="A572" s="17"/>
      <c r="B572" s="12"/>
      <c r="C572" s="17"/>
      <c r="D572" s="17"/>
      <c r="E572" s="12"/>
      <c r="F572" s="12"/>
      <c r="G572" s="17"/>
      <c r="H572" s="17"/>
      <c r="I572" s="12"/>
      <c r="J572" s="12"/>
      <c r="K572" s="17"/>
      <c r="L572" s="17"/>
      <c r="M572" s="12"/>
    </row>
    <row r="573" ht="13.5" customHeight="1">
      <c r="A573" s="17"/>
      <c r="B573" s="12"/>
      <c r="C573" s="17"/>
      <c r="D573" s="17"/>
      <c r="E573" s="12"/>
      <c r="F573" s="12"/>
      <c r="G573" s="17"/>
      <c r="H573" s="17"/>
      <c r="I573" s="12"/>
      <c r="J573" s="12"/>
      <c r="K573" s="17"/>
      <c r="L573" s="17"/>
      <c r="M573" s="12"/>
    </row>
    <row r="574" ht="13.5" customHeight="1">
      <c r="A574" s="17"/>
      <c r="B574" s="12"/>
      <c r="C574" s="17"/>
      <c r="D574" s="17"/>
      <c r="E574" s="12"/>
      <c r="F574" s="12"/>
      <c r="G574" s="17"/>
      <c r="H574" s="17"/>
      <c r="I574" s="12"/>
      <c r="J574" s="12"/>
      <c r="K574" s="17"/>
      <c r="L574" s="17"/>
      <c r="M574" s="12"/>
    </row>
    <row r="575" ht="13.5" customHeight="1">
      <c r="A575" s="17"/>
      <c r="B575" s="12"/>
      <c r="C575" s="17"/>
      <c r="D575" s="17"/>
      <c r="E575" s="12"/>
      <c r="F575" s="12"/>
      <c r="G575" s="17"/>
      <c r="H575" s="17"/>
      <c r="I575" s="12"/>
      <c r="J575" s="12"/>
      <c r="K575" s="17"/>
      <c r="L575" s="17"/>
      <c r="M575" s="12"/>
    </row>
    <row r="576" ht="13.5" customHeight="1">
      <c r="A576" s="17"/>
      <c r="B576" s="12"/>
      <c r="C576" s="17"/>
      <c r="D576" s="17"/>
      <c r="E576" s="12"/>
      <c r="F576" s="12"/>
      <c r="G576" s="17"/>
      <c r="H576" s="17"/>
      <c r="I576" s="12"/>
      <c r="J576" s="12"/>
      <c r="K576" s="17"/>
      <c r="L576" s="17"/>
      <c r="M576" s="12"/>
    </row>
    <row r="577" ht="13.5" customHeight="1">
      <c r="A577" s="17"/>
      <c r="B577" s="12"/>
      <c r="C577" s="17"/>
      <c r="D577" s="17"/>
      <c r="E577" s="12"/>
      <c r="F577" s="12"/>
      <c r="G577" s="17"/>
      <c r="H577" s="17"/>
      <c r="I577" s="12"/>
      <c r="J577" s="12"/>
      <c r="K577" s="17"/>
      <c r="L577" s="17"/>
      <c r="M577" s="12"/>
    </row>
    <row r="578" ht="13.5" customHeight="1">
      <c r="A578" s="17"/>
      <c r="B578" s="12"/>
      <c r="C578" s="17"/>
      <c r="D578" s="17"/>
      <c r="E578" s="12"/>
      <c r="F578" s="12"/>
      <c r="G578" s="17"/>
      <c r="H578" s="17"/>
      <c r="I578" s="12"/>
      <c r="J578" s="12"/>
      <c r="K578" s="17"/>
      <c r="L578" s="17"/>
      <c r="M578" s="12"/>
    </row>
    <row r="579" ht="13.5" customHeight="1">
      <c r="A579" s="17"/>
      <c r="B579" s="12"/>
      <c r="C579" s="17"/>
      <c r="D579" s="17"/>
      <c r="E579" s="12"/>
      <c r="F579" s="12"/>
      <c r="G579" s="17"/>
      <c r="H579" s="17"/>
      <c r="I579" s="12"/>
      <c r="J579" s="12"/>
      <c r="K579" s="17"/>
      <c r="L579" s="17"/>
      <c r="M579" s="12"/>
    </row>
    <row r="580" ht="13.5" customHeight="1">
      <c r="A580" s="17"/>
      <c r="B580" s="12"/>
      <c r="C580" s="17"/>
      <c r="D580" s="17"/>
      <c r="E580" s="12"/>
      <c r="F580" s="12"/>
      <c r="G580" s="17"/>
      <c r="H580" s="17"/>
      <c r="I580" s="12"/>
      <c r="J580" s="12"/>
      <c r="K580" s="17"/>
      <c r="L580" s="17"/>
      <c r="M580" s="12"/>
    </row>
    <row r="581" ht="13.5" customHeight="1">
      <c r="A581" s="17"/>
      <c r="B581" s="12"/>
      <c r="C581" s="17"/>
      <c r="D581" s="17"/>
      <c r="E581" s="12"/>
      <c r="F581" s="12"/>
      <c r="G581" s="17"/>
      <c r="H581" s="17"/>
      <c r="I581" s="12"/>
      <c r="J581" s="12"/>
      <c r="K581" s="17"/>
      <c r="L581" s="17"/>
      <c r="M581" s="12"/>
    </row>
    <row r="582" ht="13.5" customHeight="1">
      <c r="A582" s="17"/>
      <c r="B582" s="12"/>
      <c r="C582" s="17"/>
      <c r="D582" s="17"/>
      <c r="E582" s="12"/>
      <c r="F582" s="12"/>
      <c r="G582" s="17"/>
      <c r="H582" s="17"/>
      <c r="I582" s="12"/>
      <c r="J582" s="12"/>
      <c r="K582" s="17"/>
      <c r="L582" s="17"/>
      <c r="M582" s="12"/>
    </row>
    <row r="583" ht="13.5" customHeight="1">
      <c r="A583" s="17"/>
      <c r="B583" s="12"/>
      <c r="C583" s="17"/>
      <c r="D583" s="17"/>
      <c r="E583" s="12"/>
      <c r="F583" s="12"/>
      <c r="G583" s="17"/>
      <c r="H583" s="17"/>
      <c r="I583" s="12"/>
      <c r="J583" s="12"/>
      <c r="K583" s="17"/>
      <c r="L583" s="17"/>
      <c r="M583" s="12"/>
    </row>
    <row r="584" ht="13.5" customHeight="1">
      <c r="A584" s="17"/>
      <c r="B584" s="12"/>
      <c r="C584" s="17"/>
      <c r="D584" s="17"/>
      <c r="E584" s="12"/>
      <c r="F584" s="12"/>
      <c r="G584" s="17"/>
      <c r="H584" s="17"/>
      <c r="I584" s="12"/>
      <c r="J584" s="12"/>
      <c r="K584" s="17"/>
      <c r="L584" s="17"/>
      <c r="M584" s="12"/>
    </row>
    <row r="585" ht="13.5" customHeight="1">
      <c r="A585" s="17"/>
      <c r="B585" s="12"/>
      <c r="C585" s="17"/>
      <c r="D585" s="17"/>
      <c r="E585" s="12"/>
      <c r="F585" s="12"/>
      <c r="G585" s="17"/>
      <c r="H585" s="17"/>
      <c r="I585" s="12"/>
      <c r="J585" s="12"/>
      <c r="K585" s="17"/>
      <c r="L585" s="17"/>
      <c r="M585" s="12"/>
    </row>
    <row r="586" ht="13.5" customHeight="1">
      <c r="A586" s="17"/>
      <c r="B586" s="12"/>
      <c r="C586" s="17"/>
      <c r="D586" s="17"/>
      <c r="E586" s="12"/>
      <c r="F586" s="12"/>
      <c r="G586" s="17"/>
      <c r="H586" s="17"/>
      <c r="I586" s="12"/>
      <c r="J586" s="12"/>
      <c r="K586" s="17"/>
      <c r="L586" s="17"/>
      <c r="M586" s="12"/>
    </row>
    <row r="587" ht="13.5" customHeight="1">
      <c r="A587" s="17"/>
      <c r="B587" s="12"/>
      <c r="C587" s="17"/>
      <c r="D587" s="17"/>
      <c r="E587" s="12"/>
      <c r="F587" s="12"/>
      <c r="G587" s="17"/>
      <c r="H587" s="17"/>
      <c r="I587" s="12"/>
      <c r="J587" s="12"/>
      <c r="K587" s="17"/>
      <c r="L587" s="17"/>
      <c r="M587" s="12"/>
    </row>
    <row r="588" ht="13.5" customHeight="1">
      <c r="A588" s="17"/>
      <c r="B588" s="12"/>
      <c r="C588" s="17"/>
      <c r="D588" s="17"/>
      <c r="E588" s="12"/>
      <c r="F588" s="12"/>
      <c r="G588" s="17"/>
      <c r="H588" s="17"/>
      <c r="I588" s="12"/>
      <c r="J588" s="12"/>
      <c r="K588" s="17"/>
      <c r="L588" s="17"/>
      <c r="M588" s="12"/>
    </row>
    <row r="589" ht="13.5" customHeight="1">
      <c r="A589" s="17"/>
      <c r="B589" s="12"/>
      <c r="C589" s="17"/>
      <c r="D589" s="17"/>
      <c r="E589" s="12"/>
      <c r="F589" s="12"/>
      <c r="G589" s="17"/>
      <c r="H589" s="17"/>
      <c r="I589" s="12"/>
      <c r="J589" s="12"/>
      <c r="K589" s="17"/>
      <c r="L589" s="17"/>
      <c r="M589" s="12"/>
    </row>
    <row r="590" ht="13.5" customHeight="1">
      <c r="A590" s="17"/>
      <c r="B590" s="12"/>
      <c r="C590" s="17"/>
      <c r="D590" s="17"/>
      <c r="E590" s="12"/>
      <c r="F590" s="12"/>
      <c r="G590" s="17"/>
      <c r="H590" s="17"/>
      <c r="I590" s="12"/>
      <c r="J590" s="12"/>
      <c r="K590" s="17"/>
      <c r="L590" s="17"/>
      <c r="M590" s="12"/>
    </row>
    <row r="591" ht="13.5" customHeight="1">
      <c r="A591" s="17"/>
      <c r="B591" s="12"/>
      <c r="C591" s="17"/>
      <c r="D591" s="17"/>
      <c r="E591" s="12"/>
      <c r="F591" s="12"/>
      <c r="G591" s="17"/>
      <c r="H591" s="17"/>
      <c r="I591" s="12"/>
      <c r="J591" s="12"/>
      <c r="K591" s="17"/>
      <c r="L591" s="17"/>
      <c r="M591" s="12"/>
    </row>
    <row r="592" ht="13.5" customHeight="1">
      <c r="A592" s="17"/>
      <c r="B592" s="12"/>
      <c r="C592" s="17"/>
      <c r="D592" s="17"/>
      <c r="E592" s="12"/>
      <c r="F592" s="12"/>
      <c r="G592" s="17"/>
      <c r="H592" s="17"/>
      <c r="I592" s="12"/>
      <c r="J592" s="12"/>
      <c r="K592" s="17"/>
      <c r="L592" s="17"/>
      <c r="M592" s="12"/>
    </row>
    <row r="593" ht="13.5" customHeight="1">
      <c r="A593" s="17"/>
      <c r="B593" s="12"/>
      <c r="C593" s="17"/>
      <c r="D593" s="17"/>
      <c r="E593" s="12"/>
      <c r="F593" s="12"/>
      <c r="G593" s="17"/>
      <c r="H593" s="17"/>
      <c r="I593" s="12"/>
      <c r="J593" s="12"/>
      <c r="K593" s="17"/>
      <c r="L593" s="17"/>
      <c r="M593" s="12"/>
    </row>
    <row r="594" ht="13.5" customHeight="1">
      <c r="A594" s="17"/>
      <c r="B594" s="12"/>
      <c r="C594" s="17"/>
      <c r="D594" s="17"/>
      <c r="E594" s="12"/>
      <c r="F594" s="12"/>
      <c r="G594" s="17"/>
      <c r="H594" s="17"/>
      <c r="I594" s="12"/>
      <c r="J594" s="12"/>
      <c r="K594" s="17"/>
      <c r="L594" s="17"/>
      <c r="M594" s="12"/>
    </row>
    <row r="595" ht="13.5" customHeight="1">
      <c r="A595" s="17"/>
      <c r="B595" s="12"/>
      <c r="C595" s="17"/>
      <c r="D595" s="17"/>
      <c r="E595" s="12"/>
      <c r="F595" s="12"/>
      <c r="G595" s="17"/>
      <c r="H595" s="17"/>
      <c r="I595" s="12"/>
      <c r="J595" s="12"/>
      <c r="K595" s="17"/>
      <c r="L595" s="17"/>
      <c r="M595" s="12"/>
    </row>
    <row r="596" ht="13.5" customHeight="1">
      <c r="A596" s="17"/>
      <c r="B596" s="12"/>
      <c r="C596" s="17"/>
      <c r="D596" s="17"/>
      <c r="E596" s="12"/>
      <c r="F596" s="12"/>
      <c r="G596" s="17"/>
      <c r="H596" s="17"/>
      <c r="I596" s="12"/>
      <c r="J596" s="12"/>
      <c r="K596" s="17"/>
      <c r="L596" s="17"/>
      <c r="M596" s="12"/>
    </row>
    <row r="597" ht="13.5" customHeight="1">
      <c r="A597" s="17"/>
      <c r="B597" s="12"/>
      <c r="C597" s="17"/>
      <c r="D597" s="17"/>
      <c r="E597" s="12"/>
      <c r="F597" s="12"/>
      <c r="G597" s="17"/>
      <c r="H597" s="17"/>
      <c r="I597" s="12"/>
      <c r="J597" s="12"/>
      <c r="K597" s="17"/>
      <c r="L597" s="17"/>
      <c r="M597" s="12"/>
    </row>
    <row r="598" ht="13.5" customHeight="1">
      <c r="A598" s="17"/>
      <c r="B598" s="12"/>
      <c r="C598" s="17"/>
      <c r="D598" s="17"/>
      <c r="E598" s="12"/>
      <c r="F598" s="12"/>
      <c r="G598" s="17"/>
      <c r="H598" s="17"/>
      <c r="I598" s="12"/>
      <c r="J598" s="12"/>
      <c r="K598" s="17"/>
      <c r="L598" s="17"/>
      <c r="M598" s="12"/>
    </row>
    <row r="599" ht="13.5" customHeight="1">
      <c r="A599" s="17"/>
      <c r="B599" s="12"/>
      <c r="C599" s="17"/>
      <c r="D599" s="17"/>
      <c r="E599" s="12"/>
      <c r="F599" s="12"/>
      <c r="G599" s="17"/>
      <c r="H599" s="17"/>
      <c r="I599" s="12"/>
      <c r="J599" s="12"/>
      <c r="K599" s="17"/>
      <c r="L599" s="17"/>
      <c r="M599" s="12"/>
    </row>
    <row r="600" ht="13.5" customHeight="1">
      <c r="A600" s="17"/>
      <c r="B600" s="12"/>
      <c r="C600" s="17"/>
      <c r="D600" s="17"/>
      <c r="E600" s="12"/>
      <c r="F600" s="12"/>
      <c r="G600" s="17"/>
      <c r="H600" s="17"/>
      <c r="I600" s="12"/>
      <c r="J600" s="12"/>
      <c r="K600" s="17"/>
      <c r="L600" s="17"/>
      <c r="M600" s="12"/>
    </row>
    <row r="601" ht="13.5" customHeight="1">
      <c r="A601" s="17"/>
      <c r="B601" s="12"/>
      <c r="C601" s="17"/>
      <c r="D601" s="17"/>
      <c r="E601" s="12"/>
      <c r="F601" s="12"/>
      <c r="G601" s="17"/>
      <c r="H601" s="17"/>
      <c r="I601" s="12"/>
      <c r="J601" s="12"/>
      <c r="K601" s="17"/>
      <c r="L601" s="17"/>
      <c r="M601" s="12"/>
    </row>
    <row r="602" ht="13.5" customHeight="1">
      <c r="A602" s="17"/>
      <c r="B602" s="12"/>
      <c r="C602" s="17"/>
      <c r="D602" s="17"/>
      <c r="E602" s="12"/>
      <c r="F602" s="12"/>
      <c r="G602" s="17"/>
      <c r="H602" s="17"/>
      <c r="I602" s="12"/>
      <c r="J602" s="12"/>
      <c r="K602" s="17"/>
      <c r="L602" s="17"/>
      <c r="M602" s="12"/>
    </row>
    <row r="603" ht="13.5" customHeight="1">
      <c r="A603" s="17"/>
      <c r="B603" s="12"/>
      <c r="C603" s="17"/>
      <c r="D603" s="17"/>
      <c r="E603" s="12"/>
      <c r="F603" s="12"/>
      <c r="G603" s="17"/>
      <c r="H603" s="17"/>
      <c r="I603" s="12"/>
      <c r="J603" s="12"/>
      <c r="K603" s="17"/>
      <c r="L603" s="17"/>
      <c r="M603" s="12"/>
    </row>
    <row r="604" ht="13.5" customHeight="1">
      <c r="A604" s="17"/>
      <c r="B604" s="12"/>
      <c r="C604" s="17"/>
      <c r="D604" s="17"/>
      <c r="E604" s="12"/>
      <c r="F604" s="12"/>
      <c r="G604" s="17"/>
      <c r="H604" s="17"/>
      <c r="I604" s="12"/>
      <c r="J604" s="12"/>
      <c r="K604" s="17"/>
      <c r="L604" s="17"/>
      <c r="M604" s="12"/>
    </row>
    <row r="605" ht="13.5" customHeight="1">
      <c r="A605" s="17"/>
      <c r="B605" s="12"/>
      <c r="C605" s="17"/>
      <c r="D605" s="17"/>
      <c r="E605" s="12"/>
      <c r="F605" s="12"/>
      <c r="G605" s="17"/>
      <c r="H605" s="17"/>
      <c r="I605" s="12"/>
      <c r="J605" s="12"/>
      <c r="K605" s="17"/>
      <c r="L605" s="17"/>
      <c r="M605" s="12"/>
    </row>
    <row r="606" ht="13.5" customHeight="1">
      <c r="A606" s="17"/>
      <c r="B606" s="12"/>
      <c r="C606" s="17"/>
      <c r="D606" s="17"/>
      <c r="E606" s="12"/>
      <c r="F606" s="12"/>
      <c r="G606" s="17"/>
      <c r="H606" s="17"/>
      <c r="I606" s="12"/>
      <c r="J606" s="12"/>
      <c r="K606" s="17"/>
      <c r="L606" s="17"/>
      <c r="M606" s="12"/>
    </row>
    <row r="607" ht="13.5" customHeight="1">
      <c r="A607" s="17"/>
      <c r="B607" s="12"/>
      <c r="C607" s="17"/>
      <c r="D607" s="17"/>
      <c r="E607" s="12"/>
      <c r="F607" s="12"/>
      <c r="G607" s="17"/>
      <c r="H607" s="17"/>
      <c r="I607" s="12"/>
      <c r="J607" s="12"/>
      <c r="K607" s="17"/>
      <c r="L607" s="17"/>
      <c r="M607" s="12"/>
    </row>
    <row r="608" ht="13.5" customHeight="1">
      <c r="A608" s="17"/>
      <c r="B608" s="12"/>
      <c r="C608" s="17"/>
      <c r="D608" s="17"/>
      <c r="E608" s="12"/>
      <c r="F608" s="12"/>
      <c r="G608" s="17"/>
      <c r="H608" s="17"/>
      <c r="I608" s="12"/>
      <c r="J608" s="12"/>
      <c r="K608" s="17"/>
      <c r="L608" s="17"/>
      <c r="M608" s="12"/>
    </row>
    <row r="609" ht="13.5" customHeight="1">
      <c r="A609" s="17"/>
      <c r="B609" s="12"/>
      <c r="C609" s="17"/>
      <c r="D609" s="17"/>
      <c r="E609" s="12"/>
      <c r="F609" s="12"/>
      <c r="G609" s="17"/>
      <c r="H609" s="17"/>
      <c r="I609" s="12"/>
      <c r="J609" s="12"/>
      <c r="K609" s="17"/>
      <c r="L609" s="17"/>
      <c r="M609" s="12"/>
    </row>
    <row r="610" ht="13.5" customHeight="1">
      <c r="A610" s="17"/>
      <c r="B610" s="12"/>
      <c r="C610" s="17"/>
      <c r="D610" s="17"/>
      <c r="E610" s="12"/>
      <c r="F610" s="12"/>
      <c r="G610" s="17"/>
      <c r="H610" s="17"/>
      <c r="I610" s="12"/>
      <c r="J610" s="12"/>
      <c r="K610" s="17"/>
      <c r="L610" s="17"/>
      <c r="M610" s="12"/>
    </row>
    <row r="611" ht="13.5" customHeight="1">
      <c r="A611" s="17"/>
      <c r="B611" s="12"/>
      <c r="C611" s="17"/>
      <c r="D611" s="17"/>
      <c r="E611" s="12"/>
      <c r="F611" s="12"/>
      <c r="G611" s="17"/>
      <c r="H611" s="17"/>
      <c r="I611" s="12"/>
      <c r="J611" s="12"/>
      <c r="K611" s="17"/>
      <c r="L611" s="17"/>
      <c r="M611" s="12"/>
    </row>
    <row r="612" ht="13.5" customHeight="1">
      <c r="A612" s="17"/>
      <c r="B612" s="12"/>
      <c r="C612" s="17"/>
      <c r="D612" s="17"/>
      <c r="E612" s="12"/>
      <c r="F612" s="12"/>
      <c r="G612" s="17"/>
      <c r="H612" s="17"/>
      <c r="I612" s="12"/>
      <c r="J612" s="12"/>
      <c r="K612" s="17"/>
      <c r="L612" s="17"/>
      <c r="M612" s="12"/>
    </row>
    <row r="613" ht="13.5" customHeight="1">
      <c r="A613" s="17"/>
      <c r="B613" s="12"/>
      <c r="C613" s="17"/>
      <c r="D613" s="17"/>
      <c r="E613" s="12"/>
      <c r="F613" s="12"/>
      <c r="G613" s="17"/>
      <c r="H613" s="17"/>
      <c r="I613" s="12"/>
      <c r="J613" s="12"/>
      <c r="K613" s="17"/>
      <c r="L613" s="17"/>
      <c r="M613" s="12"/>
    </row>
    <row r="614" ht="13.5" customHeight="1">
      <c r="A614" s="17"/>
      <c r="B614" s="12"/>
      <c r="C614" s="17"/>
      <c r="D614" s="17"/>
      <c r="E614" s="12"/>
      <c r="F614" s="12"/>
      <c r="G614" s="17"/>
      <c r="H614" s="17"/>
      <c r="I614" s="12"/>
      <c r="J614" s="12"/>
      <c r="K614" s="17"/>
      <c r="L614" s="17"/>
      <c r="M614" s="12"/>
    </row>
    <row r="615" ht="13.5" customHeight="1">
      <c r="A615" s="17"/>
      <c r="B615" s="12"/>
      <c r="C615" s="17"/>
      <c r="D615" s="17"/>
      <c r="E615" s="12"/>
      <c r="F615" s="12"/>
      <c r="G615" s="17"/>
      <c r="H615" s="17"/>
      <c r="I615" s="12"/>
      <c r="J615" s="12"/>
      <c r="K615" s="17"/>
      <c r="L615" s="17"/>
      <c r="M615" s="12"/>
    </row>
    <row r="616" ht="13.5" customHeight="1">
      <c r="A616" s="17"/>
      <c r="B616" s="12"/>
      <c r="C616" s="17"/>
      <c r="D616" s="17"/>
      <c r="E616" s="12"/>
      <c r="F616" s="12"/>
      <c r="G616" s="17"/>
      <c r="H616" s="17"/>
      <c r="I616" s="12"/>
      <c r="J616" s="12"/>
      <c r="K616" s="17"/>
      <c r="L616" s="17"/>
      <c r="M616" s="12"/>
    </row>
    <row r="617" ht="13.5" customHeight="1">
      <c r="A617" s="17"/>
      <c r="B617" s="12"/>
      <c r="C617" s="17"/>
      <c r="D617" s="17"/>
      <c r="E617" s="12"/>
      <c r="F617" s="12"/>
      <c r="G617" s="17"/>
      <c r="H617" s="17"/>
      <c r="I617" s="12"/>
      <c r="J617" s="12"/>
      <c r="K617" s="17"/>
      <c r="L617" s="17"/>
      <c r="M617" s="12"/>
    </row>
    <row r="618" ht="13.5" customHeight="1">
      <c r="A618" s="17"/>
      <c r="B618" s="12"/>
      <c r="C618" s="17"/>
      <c r="D618" s="17"/>
      <c r="E618" s="12"/>
      <c r="F618" s="12"/>
      <c r="G618" s="17"/>
      <c r="H618" s="17"/>
      <c r="I618" s="12"/>
      <c r="J618" s="12"/>
      <c r="K618" s="17"/>
      <c r="L618" s="17"/>
      <c r="M618" s="12"/>
    </row>
    <row r="619" ht="13.5" customHeight="1">
      <c r="A619" s="17"/>
      <c r="B619" s="12"/>
      <c r="C619" s="17"/>
      <c r="D619" s="17"/>
      <c r="E619" s="12"/>
      <c r="F619" s="12"/>
      <c r="G619" s="17"/>
      <c r="H619" s="17"/>
      <c r="I619" s="12"/>
      <c r="J619" s="12"/>
      <c r="K619" s="17"/>
      <c r="L619" s="17"/>
      <c r="M619" s="12"/>
    </row>
    <row r="620" ht="13.5" customHeight="1">
      <c r="A620" s="17"/>
      <c r="B620" s="12"/>
      <c r="C620" s="17"/>
      <c r="D620" s="17"/>
      <c r="E620" s="12"/>
      <c r="F620" s="12"/>
      <c r="G620" s="17"/>
      <c r="H620" s="17"/>
      <c r="I620" s="12"/>
      <c r="J620" s="12"/>
      <c r="K620" s="17"/>
      <c r="L620" s="17"/>
      <c r="M620" s="12"/>
    </row>
    <row r="621" ht="13.5" customHeight="1">
      <c r="A621" s="17"/>
      <c r="B621" s="12"/>
      <c r="C621" s="17"/>
      <c r="D621" s="17"/>
      <c r="E621" s="12"/>
      <c r="F621" s="12"/>
      <c r="G621" s="17"/>
      <c r="H621" s="17"/>
      <c r="I621" s="12"/>
      <c r="J621" s="12"/>
      <c r="K621" s="17"/>
      <c r="L621" s="17"/>
      <c r="M621" s="12"/>
    </row>
    <row r="622" ht="13.5" customHeight="1">
      <c r="A622" s="17"/>
      <c r="B622" s="12"/>
      <c r="C622" s="17"/>
      <c r="D622" s="17"/>
      <c r="E622" s="12"/>
      <c r="F622" s="12"/>
      <c r="G622" s="17"/>
      <c r="H622" s="17"/>
      <c r="I622" s="12"/>
      <c r="J622" s="12"/>
      <c r="K622" s="17"/>
      <c r="L622" s="17"/>
      <c r="M622" s="12"/>
    </row>
    <row r="623" ht="13.5" customHeight="1">
      <c r="A623" s="17"/>
      <c r="B623" s="12"/>
      <c r="C623" s="17"/>
      <c r="D623" s="17"/>
      <c r="E623" s="12"/>
      <c r="F623" s="12"/>
      <c r="G623" s="17"/>
      <c r="H623" s="17"/>
      <c r="I623" s="12"/>
      <c r="J623" s="12"/>
      <c r="K623" s="17"/>
      <c r="L623" s="17"/>
      <c r="M623" s="12"/>
    </row>
    <row r="624" ht="13.5" customHeight="1">
      <c r="A624" s="17"/>
      <c r="B624" s="12"/>
      <c r="C624" s="17"/>
      <c r="D624" s="17"/>
      <c r="E624" s="12"/>
      <c r="F624" s="12"/>
      <c r="G624" s="17"/>
      <c r="H624" s="17"/>
      <c r="I624" s="12"/>
      <c r="J624" s="12"/>
      <c r="K624" s="17"/>
      <c r="L624" s="17"/>
      <c r="M624" s="12"/>
    </row>
    <row r="625" ht="13.5" customHeight="1">
      <c r="A625" s="17"/>
      <c r="B625" s="12"/>
      <c r="C625" s="17"/>
      <c r="D625" s="17"/>
      <c r="E625" s="12"/>
      <c r="F625" s="12"/>
      <c r="G625" s="17"/>
      <c r="H625" s="17"/>
      <c r="I625" s="12"/>
      <c r="J625" s="12"/>
      <c r="K625" s="17"/>
      <c r="L625" s="17"/>
      <c r="M625" s="12"/>
    </row>
    <row r="626" ht="13.5" customHeight="1">
      <c r="A626" s="17"/>
      <c r="B626" s="12"/>
      <c r="C626" s="17"/>
      <c r="D626" s="17"/>
      <c r="E626" s="12"/>
      <c r="F626" s="12"/>
      <c r="G626" s="17"/>
      <c r="H626" s="17"/>
      <c r="I626" s="12"/>
      <c r="J626" s="12"/>
      <c r="K626" s="17"/>
      <c r="L626" s="17"/>
      <c r="M626" s="12"/>
    </row>
    <row r="627" ht="13.5" customHeight="1">
      <c r="A627" s="17"/>
      <c r="B627" s="12"/>
      <c r="C627" s="17"/>
      <c r="D627" s="17"/>
      <c r="E627" s="12"/>
      <c r="F627" s="12"/>
      <c r="G627" s="17"/>
      <c r="H627" s="17"/>
      <c r="I627" s="12"/>
      <c r="J627" s="12"/>
      <c r="K627" s="17"/>
      <c r="L627" s="17"/>
      <c r="M627" s="12"/>
    </row>
    <row r="628" ht="13.5" customHeight="1">
      <c r="A628" s="17"/>
      <c r="B628" s="12"/>
      <c r="C628" s="17"/>
      <c r="D628" s="17"/>
      <c r="E628" s="12"/>
      <c r="F628" s="12"/>
      <c r="G628" s="17"/>
      <c r="H628" s="17"/>
      <c r="I628" s="12"/>
      <c r="J628" s="12"/>
      <c r="K628" s="17"/>
      <c r="L628" s="17"/>
      <c r="M628" s="12"/>
    </row>
    <row r="629" ht="13.5" customHeight="1">
      <c r="A629" s="17"/>
      <c r="B629" s="12"/>
      <c r="C629" s="17"/>
      <c r="D629" s="17"/>
      <c r="E629" s="12"/>
      <c r="F629" s="12"/>
      <c r="G629" s="17"/>
      <c r="H629" s="17"/>
      <c r="I629" s="12"/>
      <c r="J629" s="12"/>
      <c r="K629" s="17"/>
      <c r="L629" s="17"/>
      <c r="M629" s="12"/>
    </row>
    <row r="630" ht="13.5" customHeight="1">
      <c r="A630" s="17"/>
      <c r="B630" s="12"/>
      <c r="C630" s="17"/>
      <c r="D630" s="17"/>
      <c r="E630" s="12"/>
      <c r="F630" s="12"/>
      <c r="G630" s="17"/>
      <c r="H630" s="17"/>
      <c r="I630" s="12"/>
      <c r="J630" s="12"/>
      <c r="K630" s="17"/>
      <c r="L630" s="17"/>
      <c r="M630" s="12"/>
    </row>
    <row r="631" ht="13.5" customHeight="1">
      <c r="A631" s="17"/>
      <c r="B631" s="12"/>
      <c r="C631" s="17"/>
      <c r="D631" s="17"/>
      <c r="E631" s="12"/>
      <c r="F631" s="12"/>
      <c r="G631" s="17"/>
      <c r="H631" s="17"/>
      <c r="I631" s="12"/>
      <c r="J631" s="12"/>
      <c r="K631" s="17"/>
      <c r="L631" s="17"/>
      <c r="M631" s="12"/>
    </row>
    <row r="632" ht="13.5" customHeight="1">
      <c r="A632" s="17"/>
      <c r="B632" s="12"/>
      <c r="C632" s="17"/>
      <c r="D632" s="17"/>
      <c r="E632" s="12"/>
      <c r="F632" s="12"/>
      <c r="G632" s="17"/>
      <c r="H632" s="17"/>
      <c r="I632" s="12"/>
      <c r="J632" s="12"/>
      <c r="K632" s="17"/>
      <c r="L632" s="17"/>
      <c r="M632" s="12"/>
    </row>
    <row r="633" ht="13.5" customHeight="1">
      <c r="A633" s="17"/>
      <c r="B633" s="12"/>
      <c r="C633" s="17"/>
      <c r="D633" s="17"/>
      <c r="E633" s="12"/>
      <c r="F633" s="12"/>
      <c r="G633" s="17"/>
      <c r="H633" s="17"/>
      <c r="I633" s="12"/>
      <c r="J633" s="12"/>
      <c r="K633" s="17"/>
      <c r="L633" s="17"/>
      <c r="M633" s="12"/>
    </row>
    <row r="634" ht="13.5" customHeight="1">
      <c r="A634" s="17"/>
      <c r="B634" s="12"/>
      <c r="C634" s="17"/>
      <c r="D634" s="17"/>
      <c r="E634" s="12"/>
      <c r="F634" s="12"/>
      <c r="G634" s="17"/>
      <c r="H634" s="17"/>
      <c r="I634" s="12"/>
      <c r="J634" s="12"/>
      <c r="K634" s="17"/>
      <c r="L634" s="17"/>
      <c r="M634" s="12"/>
    </row>
    <row r="635" ht="13.5" customHeight="1">
      <c r="A635" s="17"/>
      <c r="B635" s="12"/>
      <c r="C635" s="17"/>
      <c r="D635" s="17"/>
      <c r="E635" s="12"/>
      <c r="F635" s="12"/>
      <c r="G635" s="17"/>
      <c r="H635" s="17"/>
      <c r="I635" s="12"/>
      <c r="J635" s="12"/>
      <c r="K635" s="17"/>
      <c r="L635" s="17"/>
      <c r="M635" s="12"/>
    </row>
    <row r="636" ht="13.5" customHeight="1">
      <c r="A636" s="17"/>
      <c r="B636" s="12"/>
      <c r="C636" s="17"/>
      <c r="D636" s="17"/>
      <c r="E636" s="12"/>
      <c r="F636" s="12"/>
      <c r="G636" s="17"/>
      <c r="H636" s="17"/>
      <c r="I636" s="12"/>
      <c r="J636" s="12"/>
      <c r="K636" s="17"/>
      <c r="L636" s="17"/>
      <c r="M636" s="12"/>
    </row>
    <row r="637" ht="13.5" customHeight="1">
      <c r="A637" s="17"/>
      <c r="B637" s="12"/>
      <c r="C637" s="17"/>
      <c r="D637" s="17"/>
      <c r="E637" s="12"/>
      <c r="F637" s="12"/>
      <c r="G637" s="17"/>
      <c r="H637" s="17"/>
      <c r="I637" s="12"/>
      <c r="J637" s="12"/>
      <c r="K637" s="17"/>
      <c r="L637" s="17"/>
      <c r="M637" s="12"/>
    </row>
    <row r="638" ht="13.5" customHeight="1">
      <c r="A638" s="17"/>
      <c r="B638" s="12"/>
      <c r="C638" s="17"/>
      <c r="D638" s="17"/>
      <c r="E638" s="12"/>
      <c r="F638" s="12"/>
      <c r="G638" s="17"/>
      <c r="H638" s="17"/>
      <c r="I638" s="12"/>
      <c r="J638" s="12"/>
      <c r="K638" s="17"/>
      <c r="L638" s="17"/>
      <c r="M638" s="12"/>
    </row>
    <row r="639" ht="13.5" customHeight="1">
      <c r="A639" s="17"/>
      <c r="B639" s="12"/>
      <c r="C639" s="17"/>
      <c r="D639" s="17"/>
      <c r="E639" s="12"/>
      <c r="F639" s="12"/>
      <c r="G639" s="17"/>
      <c r="H639" s="17"/>
      <c r="I639" s="12"/>
      <c r="J639" s="12"/>
      <c r="K639" s="17"/>
      <c r="L639" s="17"/>
      <c r="M639" s="12"/>
    </row>
    <row r="640" ht="13.5" customHeight="1">
      <c r="A640" s="17"/>
      <c r="B640" s="12"/>
      <c r="C640" s="17"/>
      <c r="D640" s="17"/>
      <c r="E640" s="12"/>
      <c r="F640" s="12"/>
      <c r="G640" s="17"/>
      <c r="H640" s="17"/>
      <c r="I640" s="12"/>
      <c r="J640" s="12"/>
      <c r="K640" s="17"/>
      <c r="L640" s="17"/>
      <c r="M640" s="12"/>
    </row>
    <row r="641" ht="13.5" customHeight="1">
      <c r="A641" s="17"/>
      <c r="B641" s="12"/>
      <c r="C641" s="17"/>
      <c r="D641" s="17"/>
      <c r="E641" s="12"/>
      <c r="F641" s="12"/>
      <c r="G641" s="17"/>
      <c r="H641" s="17"/>
      <c r="I641" s="12"/>
      <c r="J641" s="12"/>
      <c r="K641" s="17"/>
      <c r="L641" s="17"/>
      <c r="M641" s="12"/>
    </row>
    <row r="642" ht="13.5" customHeight="1">
      <c r="A642" s="17"/>
      <c r="B642" s="12"/>
      <c r="C642" s="17"/>
      <c r="D642" s="17"/>
      <c r="E642" s="12"/>
      <c r="F642" s="12"/>
      <c r="G642" s="17"/>
      <c r="H642" s="17"/>
      <c r="I642" s="12"/>
      <c r="J642" s="12"/>
      <c r="K642" s="17"/>
      <c r="L642" s="17"/>
      <c r="M642" s="12"/>
    </row>
    <row r="643" ht="13.5" customHeight="1">
      <c r="A643" s="17"/>
      <c r="B643" s="12"/>
      <c r="C643" s="17"/>
      <c r="D643" s="17"/>
      <c r="E643" s="12"/>
      <c r="F643" s="12"/>
      <c r="G643" s="17"/>
      <c r="H643" s="17"/>
      <c r="I643" s="12"/>
      <c r="J643" s="12"/>
      <c r="K643" s="17"/>
      <c r="L643" s="17"/>
      <c r="M643" s="12"/>
    </row>
    <row r="644" ht="13.5" customHeight="1">
      <c r="A644" s="17"/>
      <c r="B644" s="12"/>
      <c r="C644" s="17"/>
      <c r="D644" s="17"/>
      <c r="E644" s="12"/>
      <c r="F644" s="12"/>
      <c r="G644" s="17"/>
      <c r="H644" s="17"/>
      <c r="I644" s="12"/>
      <c r="J644" s="12"/>
      <c r="K644" s="17"/>
      <c r="L644" s="17"/>
      <c r="M644" s="12"/>
    </row>
    <row r="645" ht="13.5" customHeight="1">
      <c r="A645" s="17"/>
      <c r="B645" s="12"/>
      <c r="C645" s="17"/>
      <c r="D645" s="17"/>
      <c r="E645" s="12"/>
      <c r="F645" s="12"/>
      <c r="G645" s="17"/>
      <c r="H645" s="17"/>
      <c r="I645" s="12"/>
      <c r="J645" s="12"/>
      <c r="K645" s="17"/>
      <c r="L645" s="17"/>
      <c r="M645" s="12"/>
    </row>
    <row r="646" ht="13.5" customHeight="1">
      <c r="A646" s="17"/>
      <c r="B646" s="12"/>
      <c r="C646" s="17"/>
      <c r="D646" s="17"/>
      <c r="E646" s="12"/>
      <c r="F646" s="12"/>
      <c r="G646" s="17"/>
      <c r="H646" s="17"/>
      <c r="I646" s="12"/>
      <c r="J646" s="12"/>
      <c r="K646" s="17"/>
      <c r="L646" s="17"/>
      <c r="M646" s="12"/>
    </row>
    <row r="647" ht="13.5" customHeight="1">
      <c r="A647" s="17"/>
      <c r="B647" s="12"/>
      <c r="C647" s="17"/>
      <c r="D647" s="17"/>
      <c r="E647" s="12"/>
      <c r="F647" s="12"/>
      <c r="G647" s="17"/>
      <c r="H647" s="17"/>
      <c r="I647" s="12"/>
      <c r="J647" s="12"/>
      <c r="K647" s="17"/>
      <c r="L647" s="17"/>
      <c r="M647" s="12"/>
    </row>
    <row r="648" ht="13.5" customHeight="1">
      <c r="A648" s="17"/>
      <c r="B648" s="12"/>
      <c r="C648" s="17"/>
      <c r="D648" s="17"/>
      <c r="E648" s="12"/>
      <c r="F648" s="12"/>
      <c r="G648" s="17"/>
      <c r="H648" s="17"/>
      <c r="I648" s="12"/>
      <c r="J648" s="12"/>
      <c r="K648" s="17"/>
      <c r="L648" s="17"/>
      <c r="M648" s="12"/>
    </row>
    <row r="649" ht="13.5" customHeight="1">
      <c r="A649" s="17"/>
      <c r="B649" s="12"/>
      <c r="C649" s="17"/>
      <c r="D649" s="17"/>
      <c r="E649" s="12"/>
      <c r="F649" s="12"/>
      <c r="G649" s="17"/>
      <c r="H649" s="17"/>
      <c r="I649" s="12"/>
      <c r="J649" s="12"/>
      <c r="K649" s="17"/>
      <c r="L649" s="17"/>
      <c r="M649" s="12"/>
    </row>
    <row r="650" ht="13.5" customHeight="1">
      <c r="A650" s="17"/>
      <c r="B650" s="12"/>
      <c r="C650" s="17"/>
      <c r="D650" s="17"/>
      <c r="E650" s="12"/>
      <c r="F650" s="12"/>
      <c r="G650" s="17"/>
      <c r="H650" s="17"/>
      <c r="I650" s="12"/>
      <c r="J650" s="12"/>
      <c r="K650" s="17"/>
      <c r="L650" s="17"/>
      <c r="M650" s="12"/>
    </row>
    <row r="651" ht="13.5" customHeight="1">
      <c r="A651" s="17"/>
      <c r="B651" s="12"/>
      <c r="C651" s="17"/>
      <c r="D651" s="17"/>
      <c r="E651" s="12"/>
      <c r="F651" s="12"/>
      <c r="G651" s="17"/>
      <c r="H651" s="17"/>
      <c r="I651" s="12"/>
      <c r="J651" s="12"/>
      <c r="K651" s="17"/>
      <c r="L651" s="17"/>
      <c r="M651" s="12"/>
    </row>
    <row r="652" ht="13.5" customHeight="1">
      <c r="A652" s="17"/>
      <c r="B652" s="12"/>
      <c r="C652" s="17"/>
      <c r="D652" s="17"/>
      <c r="E652" s="12"/>
      <c r="F652" s="12"/>
      <c r="G652" s="17"/>
      <c r="H652" s="17"/>
      <c r="I652" s="12"/>
      <c r="J652" s="12"/>
      <c r="K652" s="17"/>
      <c r="L652" s="17"/>
      <c r="M652" s="12"/>
    </row>
    <row r="653" ht="13.5" customHeight="1">
      <c r="A653" s="17"/>
      <c r="B653" s="12"/>
      <c r="C653" s="17"/>
      <c r="D653" s="17"/>
      <c r="E653" s="12"/>
      <c r="F653" s="12"/>
      <c r="G653" s="17"/>
      <c r="H653" s="17"/>
      <c r="I653" s="12"/>
      <c r="J653" s="12"/>
      <c r="K653" s="17"/>
      <c r="L653" s="17"/>
      <c r="M653" s="12"/>
    </row>
    <row r="654" ht="13.5" customHeight="1">
      <c r="A654" s="17"/>
      <c r="B654" s="12"/>
      <c r="C654" s="17"/>
      <c r="D654" s="17"/>
      <c r="E654" s="12"/>
      <c r="F654" s="12"/>
      <c r="G654" s="17"/>
      <c r="H654" s="17"/>
      <c r="I654" s="12"/>
      <c r="J654" s="12"/>
      <c r="K654" s="17"/>
      <c r="L654" s="17"/>
      <c r="M654" s="12"/>
    </row>
    <row r="655" ht="13.5" customHeight="1">
      <c r="A655" s="17"/>
      <c r="B655" s="12"/>
      <c r="C655" s="17"/>
      <c r="D655" s="17"/>
      <c r="E655" s="12"/>
      <c r="F655" s="12"/>
      <c r="G655" s="17"/>
      <c r="H655" s="17"/>
      <c r="I655" s="12"/>
      <c r="J655" s="12"/>
      <c r="K655" s="17"/>
      <c r="L655" s="17"/>
      <c r="M655" s="12"/>
    </row>
    <row r="656" ht="13.5" customHeight="1">
      <c r="A656" s="17"/>
      <c r="B656" s="12"/>
      <c r="C656" s="17"/>
      <c r="D656" s="17"/>
      <c r="E656" s="12"/>
      <c r="F656" s="12"/>
      <c r="G656" s="17"/>
      <c r="H656" s="17"/>
      <c r="I656" s="12"/>
      <c r="J656" s="12"/>
      <c r="K656" s="17"/>
      <c r="L656" s="17"/>
      <c r="M656" s="12"/>
    </row>
    <row r="657" ht="13.5" customHeight="1">
      <c r="A657" s="17"/>
      <c r="B657" s="12"/>
      <c r="C657" s="17"/>
      <c r="D657" s="17"/>
      <c r="E657" s="12"/>
      <c r="F657" s="12"/>
      <c r="G657" s="17"/>
      <c r="H657" s="17"/>
      <c r="I657" s="12"/>
      <c r="J657" s="12"/>
      <c r="K657" s="17"/>
      <c r="L657" s="17"/>
      <c r="M657" s="12"/>
    </row>
    <row r="658" ht="13.5" customHeight="1">
      <c r="A658" s="17"/>
      <c r="B658" s="12"/>
      <c r="C658" s="17"/>
      <c r="D658" s="17"/>
      <c r="E658" s="12"/>
      <c r="F658" s="12"/>
      <c r="G658" s="17"/>
      <c r="H658" s="17"/>
      <c r="I658" s="12"/>
      <c r="J658" s="12"/>
      <c r="K658" s="17"/>
      <c r="L658" s="17"/>
      <c r="M658" s="12"/>
    </row>
    <row r="659" ht="13.5" customHeight="1">
      <c r="A659" s="17"/>
      <c r="B659" s="12"/>
      <c r="C659" s="17"/>
      <c r="D659" s="17"/>
      <c r="E659" s="12"/>
      <c r="F659" s="12"/>
      <c r="G659" s="17"/>
      <c r="H659" s="17"/>
      <c r="I659" s="12"/>
      <c r="J659" s="12"/>
      <c r="K659" s="17"/>
      <c r="L659" s="17"/>
      <c r="M659" s="12"/>
    </row>
    <row r="660" ht="13.5" customHeight="1">
      <c r="A660" s="17"/>
      <c r="B660" s="12"/>
      <c r="C660" s="17"/>
      <c r="D660" s="17"/>
      <c r="E660" s="12"/>
      <c r="F660" s="12"/>
      <c r="G660" s="17"/>
      <c r="H660" s="17"/>
      <c r="I660" s="12"/>
      <c r="J660" s="12"/>
      <c r="K660" s="17"/>
      <c r="L660" s="17"/>
      <c r="M660" s="12"/>
    </row>
    <row r="661" ht="13.5" customHeight="1">
      <c r="A661" s="17"/>
      <c r="B661" s="12"/>
      <c r="C661" s="17"/>
      <c r="D661" s="17"/>
      <c r="E661" s="12"/>
      <c r="F661" s="12"/>
      <c r="G661" s="17"/>
      <c r="H661" s="17"/>
      <c r="I661" s="12"/>
      <c r="J661" s="12"/>
      <c r="K661" s="17"/>
      <c r="L661" s="17"/>
      <c r="M661" s="12"/>
    </row>
    <row r="662" ht="13.5" customHeight="1">
      <c r="A662" s="17"/>
      <c r="B662" s="12"/>
      <c r="C662" s="17"/>
      <c r="D662" s="17"/>
      <c r="E662" s="12"/>
      <c r="F662" s="12"/>
      <c r="G662" s="17"/>
      <c r="H662" s="17"/>
      <c r="I662" s="12"/>
      <c r="J662" s="12"/>
      <c r="K662" s="17"/>
      <c r="L662" s="17"/>
      <c r="M662" s="12"/>
    </row>
    <row r="663" ht="13.5" customHeight="1">
      <c r="A663" s="17"/>
      <c r="B663" s="12"/>
      <c r="C663" s="17"/>
      <c r="D663" s="17"/>
      <c r="E663" s="12"/>
      <c r="F663" s="12"/>
      <c r="G663" s="17"/>
      <c r="H663" s="17"/>
      <c r="I663" s="12"/>
      <c r="J663" s="12"/>
      <c r="K663" s="17"/>
      <c r="L663" s="17"/>
      <c r="M663" s="12"/>
    </row>
    <row r="664" ht="13.5" customHeight="1">
      <c r="A664" s="17"/>
      <c r="B664" s="12"/>
      <c r="C664" s="17"/>
      <c r="D664" s="17"/>
      <c r="E664" s="12"/>
      <c r="F664" s="12"/>
      <c r="G664" s="17"/>
      <c r="H664" s="17"/>
      <c r="I664" s="12"/>
      <c r="J664" s="12"/>
      <c r="K664" s="17"/>
      <c r="L664" s="17"/>
      <c r="M664" s="12"/>
    </row>
    <row r="665" ht="13.5" customHeight="1">
      <c r="A665" s="17"/>
      <c r="B665" s="12"/>
      <c r="C665" s="17"/>
      <c r="D665" s="17"/>
      <c r="E665" s="12"/>
      <c r="F665" s="12"/>
      <c r="G665" s="17"/>
      <c r="H665" s="17"/>
      <c r="I665" s="12"/>
      <c r="J665" s="12"/>
      <c r="K665" s="17"/>
      <c r="L665" s="17"/>
      <c r="M665" s="12"/>
    </row>
    <row r="666" ht="13.5" customHeight="1">
      <c r="A666" s="17"/>
      <c r="B666" s="12"/>
      <c r="C666" s="17"/>
      <c r="D666" s="17"/>
      <c r="E666" s="12"/>
      <c r="F666" s="12"/>
      <c r="G666" s="17"/>
      <c r="H666" s="17"/>
      <c r="I666" s="12"/>
      <c r="J666" s="12"/>
      <c r="K666" s="17"/>
      <c r="L666" s="17"/>
      <c r="M666" s="12"/>
    </row>
    <row r="667" ht="13.5" customHeight="1">
      <c r="A667" s="17"/>
      <c r="B667" s="12"/>
      <c r="C667" s="17"/>
      <c r="D667" s="17"/>
      <c r="E667" s="12"/>
      <c r="F667" s="12"/>
      <c r="G667" s="17"/>
      <c r="H667" s="17"/>
      <c r="I667" s="12"/>
      <c r="J667" s="12"/>
      <c r="K667" s="17"/>
      <c r="L667" s="17"/>
      <c r="M667" s="12"/>
    </row>
    <row r="668" ht="13.5" customHeight="1">
      <c r="A668" s="17"/>
      <c r="B668" s="12"/>
      <c r="C668" s="17"/>
      <c r="D668" s="17"/>
      <c r="E668" s="12"/>
      <c r="F668" s="12"/>
      <c r="G668" s="17"/>
      <c r="H668" s="17"/>
      <c r="I668" s="12"/>
      <c r="J668" s="12"/>
      <c r="K668" s="17"/>
      <c r="L668" s="17"/>
      <c r="M668" s="12"/>
    </row>
    <row r="669" ht="13.5" customHeight="1">
      <c r="A669" s="17"/>
      <c r="B669" s="12"/>
      <c r="C669" s="17"/>
      <c r="D669" s="17"/>
      <c r="E669" s="12"/>
      <c r="F669" s="12"/>
      <c r="G669" s="17"/>
      <c r="H669" s="17"/>
      <c r="I669" s="12"/>
      <c r="J669" s="12"/>
      <c r="K669" s="17"/>
      <c r="L669" s="17"/>
      <c r="M669" s="12"/>
    </row>
    <row r="670" ht="13.5" customHeight="1">
      <c r="A670" s="17"/>
      <c r="B670" s="12"/>
      <c r="C670" s="17"/>
      <c r="D670" s="17"/>
      <c r="E670" s="12"/>
      <c r="F670" s="12"/>
      <c r="G670" s="17"/>
      <c r="H670" s="17"/>
      <c r="I670" s="12"/>
      <c r="J670" s="12"/>
      <c r="K670" s="17"/>
      <c r="L670" s="17"/>
      <c r="M670" s="12"/>
    </row>
    <row r="671" ht="13.5" customHeight="1">
      <c r="A671" s="17"/>
      <c r="B671" s="12"/>
      <c r="C671" s="17"/>
      <c r="D671" s="17"/>
      <c r="E671" s="12"/>
      <c r="F671" s="12"/>
      <c r="G671" s="17"/>
      <c r="H671" s="17"/>
      <c r="I671" s="12"/>
      <c r="J671" s="12"/>
      <c r="K671" s="17"/>
      <c r="L671" s="17"/>
      <c r="M671" s="12"/>
    </row>
    <row r="672" ht="13.5" customHeight="1">
      <c r="A672" s="17"/>
      <c r="B672" s="12"/>
      <c r="C672" s="17"/>
      <c r="D672" s="17"/>
      <c r="E672" s="12"/>
      <c r="F672" s="12"/>
      <c r="G672" s="17"/>
      <c r="H672" s="17"/>
      <c r="I672" s="12"/>
      <c r="J672" s="12"/>
      <c r="K672" s="17"/>
      <c r="L672" s="17"/>
      <c r="M672" s="12"/>
    </row>
    <row r="673" ht="13.5" customHeight="1">
      <c r="A673" s="17"/>
      <c r="B673" s="12"/>
      <c r="C673" s="17"/>
      <c r="D673" s="17"/>
      <c r="E673" s="12"/>
      <c r="F673" s="12"/>
      <c r="G673" s="17"/>
      <c r="H673" s="17"/>
      <c r="I673" s="12"/>
      <c r="J673" s="12"/>
      <c r="K673" s="17"/>
      <c r="L673" s="17"/>
      <c r="M673" s="12"/>
    </row>
    <row r="674" ht="13.5" customHeight="1">
      <c r="A674" s="17"/>
      <c r="B674" s="12"/>
      <c r="C674" s="17"/>
      <c r="D674" s="17"/>
      <c r="E674" s="12"/>
      <c r="F674" s="12"/>
      <c r="G674" s="17"/>
      <c r="H674" s="17"/>
      <c r="I674" s="12"/>
      <c r="J674" s="12"/>
      <c r="K674" s="17"/>
      <c r="L674" s="17"/>
      <c r="M674" s="12"/>
    </row>
    <row r="675" ht="13.5" customHeight="1">
      <c r="A675" s="17"/>
      <c r="B675" s="12"/>
      <c r="C675" s="17"/>
      <c r="D675" s="17"/>
      <c r="E675" s="12"/>
      <c r="F675" s="12"/>
      <c r="G675" s="17"/>
      <c r="H675" s="17"/>
      <c r="I675" s="12"/>
      <c r="J675" s="12"/>
      <c r="K675" s="17"/>
      <c r="L675" s="17"/>
      <c r="M675" s="12"/>
    </row>
    <row r="676" ht="13.5" customHeight="1">
      <c r="A676" s="17"/>
      <c r="B676" s="12"/>
      <c r="C676" s="17"/>
      <c r="D676" s="17"/>
      <c r="E676" s="12"/>
      <c r="F676" s="12"/>
      <c r="G676" s="17"/>
      <c r="H676" s="17"/>
      <c r="I676" s="12"/>
      <c r="J676" s="12"/>
      <c r="K676" s="17"/>
      <c r="L676" s="17"/>
      <c r="M676" s="12"/>
    </row>
    <row r="677" ht="13.5" customHeight="1">
      <c r="A677" s="17"/>
      <c r="B677" s="12"/>
      <c r="C677" s="17"/>
      <c r="D677" s="17"/>
      <c r="E677" s="12"/>
      <c r="F677" s="12"/>
      <c r="G677" s="17"/>
      <c r="H677" s="17"/>
      <c r="I677" s="12"/>
      <c r="J677" s="12"/>
      <c r="K677" s="17"/>
      <c r="L677" s="17"/>
      <c r="M677" s="12"/>
    </row>
    <row r="678" ht="13.5" customHeight="1">
      <c r="A678" s="17"/>
      <c r="B678" s="12"/>
      <c r="C678" s="17"/>
      <c r="D678" s="17"/>
      <c r="E678" s="12"/>
      <c r="F678" s="12"/>
      <c r="G678" s="17"/>
      <c r="H678" s="17"/>
      <c r="I678" s="12"/>
      <c r="J678" s="12"/>
      <c r="K678" s="17"/>
      <c r="L678" s="17"/>
      <c r="M678" s="12"/>
    </row>
    <row r="679" ht="13.5" customHeight="1">
      <c r="A679" s="17"/>
      <c r="B679" s="12"/>
      <c r="C679" s="17"/>
      <c r="D679" s="17"/>
      <c r="E679" s="12"/>
      <c r="F679" s="12"/>
      <c r="G679" s="17"/>
      <c r="H679" s="17"/>
      <c r="I679" s="12"/>
      <c r="J679" s="12"/>
      <c r="K679" s="17"/>
      <c r="L679" s="17"/>
      <c r="M679" s="12"/>
    </row>
    <row r="680" ht="13.5" customHeight="1">
      <c r="A680" s="17"/>
      <c r="B680" s="12"/>
      <c r="C680" s="17"/>
      <c r="D680" s="17"/>
      <c r="E680" s="12"/>
      <c r="F680" s="12"/>
      <c r="G680" s="17"/>
      <c r="H680" s="17"/>
      <c r="I680" s="12"/>
      <c r="J680" s="12"/>
      <c r="K680" s="17"/>
      <c r="L680" s="17"/>
      <c r="M680" s="12"/>
    </row>
    <row r="681" ht="13.5" customHeight="1">
      <c r="A681" s="17"/>
      <c r="B681" s="12"/>
      <c r="C681" s="17"/>
      <c r="D681" s="17"/>
      <c r="E681" s="12"/>
      <c r="F681" s="12"/>
      <c r="G681" s="17"/>
      <c r="H681" s="17"/>
      <c r="I681" s="12"/>
      <c r="J681" s="12"/>
      <c r="K681" s="17"/>
      <c r="L681" s="17"/>
      <c r="M681" s="12"/>
    </row>
    <row r="682" ht="13.5" customHeight="1">
      <c r="A682" s="17"/>
      <c r="B682" s="12"/>
      <c r="C682" s="17"/>
      <c r="D682" s="17"/>
      <c r="E682" s="12"/>
      <c r="F682" s="12"/>
      <c r="G682" s="17"/>
      <c r="H682" s="17"/>
      <c r="I682" s="12"/>
      <c r="J682" s="12"/>
      <c r="K682" s="17"/>
      <c r="L682" s="17"/>
      <c r="M682" s="12"/>
    </row>
    <row r="683" ht="13.5" customHeight="1">
      <c r="A683" s="17"/>
      <c r="B683" s="12"/>
      <c r="C683" s="17"/>
      <c r="D683" s="17"/>
      <c r="E683" s="12"/>
      <c r="F683" s="12"/>
      <c r="G683" s="17"/>
      <c r="H683" s="17"/>
      <c r="I683" s="12"/>
      <c r="J683" s="12"/>
      <c r="K683" s="17"/>
      <c r="L683" s="17"/>
      <c r="M683" s="12"/>
    </row>
    <row r="684" ht="13.5" customHeight="1">
      <c r="A684" s="17"/>
      <c r="B684" s="12"/>
      <c r="C684" s="17"/>
      <c r="D684" s="17"/>
      <c r="E684" s="12"/>
      <c r="F684" s="12"/>
      <c r="G684" s="17"/>
      <c r="H684" s="17"/>
      <c r="I684" s="12"/>
      <c r="J684" s="12"/>
      <c r="K684" s="17"/>
      <c r="L684" s="17"/>
      <c r="M684" s="12"/>
    </row>
    <row r="685" ht="13.5" customHeight="1">
      <c r="A685" s="17"/>
      <c r="B685" s="12"/>
      <c r="C685" s="17"/>
      <c r="D685" s="17"/>
      <c r="E685" s="12"/>
      <c r="F685" s="12"/>
      <c r="G685" s="17"/>
      <c r="H685" s="17"/>
      <c r="I685" s="12"/>
      <c r="J685" s="12"/>
      <c r="K685" s="17"/>
      <c r="L685" s="17"/>
      <c r="M685" s="12"/>
    </row>
    <row r="686" ht="13.5" customHeight="1">
      <c r="A686" s="17"/>
      <c r="B686" s="12"/>
      <c r="C686" s="17"/>
      <c r="D686" s="17"/>
      <c r="E686" s="12"/>
      <c r="F686" s="12"/>
      <c r="G686" s="17"/>
      <c r="H686" s="17"/>
      <c r="I686" s="12"/>
      <c r="J686" s="12"/>
      <c r="K686" s="17"/>
      <c r="L686" s="17"/>
      <c r="M686" s="12"/>
    </row>
    <row r="687" ht="13.5" customHeight="1">
      <c r="A687" s="17"/>
      <c r="B687" s="12"/>
      <c r="C687" s="17"/>
      <c r="D687" s="17"/>
      <c r="E687" s="12"/>
      <c r="F687" s="12"/>
      <c r="G687" s="17"/>
      <c r="H687" s="17"/>
      <c r="I687" s="12"/>
      <c r="J687" s="12"/>
      <c r="K687" s="17"/>
      <c r="L687" s="17"/>
      <c r="M687" s="12"/>
    </row>
    <row r="688" ht="13.5" customHeight="1">
      <c r="A688" s="17"/>
      <c r="B688" s="12"/>
      <c r="C688" s="17"/>
      <c r="D688" s="17"/>
      <c r="E688" s="12"/>
      <c r="F688" s="12"/>
      <c r="G688" s="17"/>
      <c r="H688" s="17"/>
      <c r="I688" s="12"/>
      <c r="J688" s="12"/>
      <c r="K688" s="17"/>
      <c r="L688" s="17"/>
      <c r="M688" s="12"/>
    </row>
    <row r="689" ht="13.5" customHeight="1">
      <c r="A689" s="17"/>
      <c r="B689" s="12"/>
      <c r="C689" s="17"/>
      <c r="D689" s="17"/>
      <c r="E689" s="12"/>
      <c r="F689" s="12"/>
      <c r="G689" s="17"/>
      <c r="H689" s="17"/>
      <c r="I689" s="12"/>
      <c r="J689" s="12"/>
      <c r="K689" s="17"/>
      <c r="L689" s="17"/>
      <c r="M689" s="12"/>
    </row>
    <row r="690" ht="13.5" customHeight="1">
      <c r="A690" s="17"/>
      <c r="B690" s="12"/>
      <c r="C690" s="17"/>
      <c r="D690" s="17"/>
      <c r="E690" s="12"/>
      <c r="F690" s="12"/>
      <c r="G690" s="17"/>
      <c r="H690" s="17"/>
      <c r="I690" s="12"/>
      <c r="J690" s="12"/>
      <c r="K690" s="17"/>
      <c r="L690" s="17"/>
      <c r="M690" s="12"/>
    </row>
    <row r="691" ht="13.5" customHeight="1">
      <c r="A691" s="17"/>
      <c r="B691" s="12"/>
      <c r="C691" s="17"/>
      <c r="D691" s="17"/>
      <c r="E691" s="12"/>
      <c r="F691" s="12"/>
      <c r="G691" s="17"/>
      <c r="H691" s="17"/>
      <c r="I691" s="12"/>
      <c r="J691" s="12"/>
      <c r="K691" s="17"/>
      <c r="L691" s="17"/>
      <c r="M691" s="12"/>
    </row>
    <row r="692" ht="13.5" customHeight="1">
      <c r="A692" s="17"/>
      <c r="B692" s="12"/>
      <c r="C692" s="17"/>
      <c r="D692" s="17"/>
      <c r="E692" s="12"/>
      <c r="F692" s="12"/>
      <c r="G692" s="17"/>
      <c r="H692" s="17"/>
      <c r="I692" s="12"/>
      <c r="J692" s="12"/>
      <c r="K692" s="17"/>
      <c r="L692" s="17"/>
      <c r="M692" s="12"/>
    </row>
    <row r="693" ht="13.5" customHeight="1">
      <c r="A693" s="17"/>
      <c r="B693" s="12"/>
      <c r="C693" s="17"/>
      <c r="D693" s="17"/>
      <c r="E693" s="12"/>
      <c r="F693" s="12"/>
      <c r="G693" s="17"/>
      <c r="H693" s="17"/>
      <c r="I693" s="12"/>
      <c r="J693" s="12"/>
      <c r="K693" s="17"/>
      <c r="L693" s="17"/>
      <c r="M693" s="12"/>
    </row>
    <row r="694" ht="13.5" customHeight="1">
      <c r="A694" s="17"/>
      <c r="B694" s="12"/>
      <c r="C694" s="17"/>
      <c r="D694" s="17"/>
      <c r="E694" s="12"/>
      <c r="F694" s="12"/>
      <c r="G694" s="17"/>
      <c r="H694" s="17"/>
      <c r="I694" s="12"/>
      <c r="J694" s="12"/>
      <c r="K694" s="17"/>
      <c r="L694" s="17"/>
      <c r="M694" s="12"/>
    </row>
    <row r="695" ht="13.5" customHeight="1">
      <c r="A695" s="17"/>
      <c r="B695" s="12"/>
      <c r="C695" s="17"/>
      <c r="D695" s="17"/>
      <c r="E695" s="12"/>
      <c r="F695" s="12"/>
      <c r="G695" s="17"/>
      <c r="H695" s="17"/>
      <c r="I695" s="12"/>
      <c r="J695" s="12"/>
      <c r="K695" s="17"/>
      <c r="L695" s="17"/>
      <c r="M695" s="12"/>
    </row>
    <row r="696" ht="13.5" customHeight="1">
      <c r="A696" s="17"/>
      <c r="B696" s="12"/>
      <c r="C696" s="17"/>
      <c r="D696" s="17"/>
      <c r="E696" s="12"/>
      <c r="F696" s="12"/>
      <c r="G696" s="17"/>
      <c r="H696" s="17"/>
      <c r="I696" s="12"/>
      <c r="J696" s="12"/>
      <c r="K696" s="17"/>
      <c r="L696" s="17"/>
      <c r="M696" s="12"/>
    </row>
    <row r="697" ht="13.5" customHeight="1">
      <c r="A697" s="17"/>
      <c r="B697" s="12"/>
      <c r="C697" s="17"/>
      <c r="D697" s="17"/>
      <c r="E697" s="12"/>
      <c r="F697" s="12"/>
      <c r="G697" s="17"/>
      <c r="H697" s="17"/>
      <c r="I697" s="12"/>
      <c r="J697" s="12"/>
      <c r="K697" s="17"/>
      <c r="L697" s="17"/>
      <c r="M697" s="12"/>
    </row>
    <row r="698" ht="13.5" customHeight="1">
      <c r="A698" s="17"/>
      <c r="B698" s="12"/>
      <c r="C698" s="17"/>
      <c r="D698" s="17"/>
      <c r="E698" s="12"/>
      <c r="F698" s="12"/>
      <c r="G698" s="17"/>
      <c r="H698" s="17"/>
      <c r="I698" s="12"/>
      <c r="J698" s="12"/>
      <c r="K698" s="17"/>
      <c r="L698" s="17"/>
      <c r="M698" s="12"/>
    </row>
    <row r="699" ht="13.5" customHeight="1">
      <c r="A699" s="17"/>
      <c r="B699" s="12"/>
      <c r="C699" s="17"/>
      <c r="D699" s="17"/>
      <c r="E699" s="12"/>
      <c r="F699" s="12"/>
      <c r="G699" s="17"/>
      <c r="H699" s="17"/>
      <c r="I699" s="12"/>
      <c r="J699" s="12"/>
      <c r="K699" s="17"/>
      <c r="L699" s="17"/>
      <c r="M699" s="12"/>
    </row>
    <row r="700" ht="13.5" customHeight="1">
      <c r="A700" s="17"/>
      <c r="B700" s="12"/>
      <c r="C700" s="17"/>
      <c r="D700" s="17"/>
      <c r="E700" s="12"/>
      <c r="F700" s="12"/>
      <c r="G700" s="17"/>
      <c r="H700" s="17"/>
      <c r="I700" s="12"/>
      <c r="J700" s="12"/>
      <c r="K700" s="17"/>
      <c r="L700" s="17"/>
      <c r="M700" s="12"/>
    </row>
    <row r="701" ht="13.5" customHeight="1">
      <c r="A701" s="17"/>
      <c r="B701" s="12"/>
      <c r="C701" s="17"/>
      <c r="D701" s="17"/>
      <c r="E701" s="12"/>
      <c r="F701" s="12"/>
      <c r="G701" s="17"/>
      <c r="H701" s="17"/>
      <c r="I701" s="12"/>
      <c r="J701" s="12"/>
      <c r="K701" s="17"/>
      <c r="L701" s="17"/>
      <c r="M701" s="12"/>
    </row>
    <row r="702" ht="13.5" customHeight="1">
      <c r="A702" s="17"/>
      <c r="B702" s="12"/>
      <c r="C702" s="17"/>
      <c r="D702" s="17"/>
      <c r="E702" s="12"/>
      <c r="F702" s="12"/>
      <c r="G702" s="17"/>
      <c r="H702" s="17"/>
      <c r="I702" s="12"/>
      <c r="J702" s="12"/>
      <c r="K702" s="17"/>
      <c r="L702" s="17"/>
      <c r="M702" s="12"/>
    </row>
    <row r="703" ht="13.5" customHeight="1">
      <c r="A703" s="17"/>
      <c r="B703" s="12"/>
      <c r="C703" s="17"/>
      <c r="D703" s="17"/>
      <c r="E703" s="12"/>
      <c r="F703" s="12"/>
      <c r="G703" s="17"/>
      <c r="H703" s="17"/>
      <c r="I703" s="12"/>
      <c r="J703" s="12"/>
      <c r="K703" s="17"/>
      <c r="L703" s="17"/>
      <c r="M703" s="12"/>
    </row>
    <row r="704" ht="13.5" customHeight="1">
      <c r="A704" s="17"/>
      <c r="B704" s="12"/>
      <c r="C704" s="17"/>
      <c r="D704" s="17"/>
      <c r="E704" s="12"/>
      <c r="F704" s="12"/>
      <c r="G704" s="17"/>
      <c r="H704" s="17"/>
      <c r="I704" s="12"/>
      <c r="J704" s="12"/>
      <c r="K704" s="17"/>
      <c r="L704" s="17"/>
      <c r="M704" s="12"/>
    </row>
    <row r="705" ht="13.5" customHeight="1">
      <c r="A705" s="17"/>
      <c r="B705" s="12"/>
      <c r="C705" s="17"/>
      <c r="D705" s="17"/>
      <c r="E705" s="12"/>
      <c r="F705" s="12"/>
      <c r="G705" s="17"/>
      <c r="H705" s="17"/>
      <c r="I705" s="12"/>
      <c r="J705" s="12"/>
      <c r="K705" s="17"/>
      <c r="L705" s="17"/>
      <c r="M705" s="12"/>
    </row>
    <row r="706" ht="13.5" customHeight="1">
      <c r="A706" s="17"/>
      <c r="B706" s="12"/>
      <c r="C706" s="17"/>
      <c r="D706" s="17"/>
      <c r="E706" s="12"/>
      <c r="F706" s="12"/>
      <c r="G706" s="17"/>
      <c r="H706" s="17"/>
      <c r="I706" s="12"/>
      <c r="J706" s="12"/>
      <c r="K706" s="17"/>
      <c r="L706" s="17"/>
      <c r="M706" s="12"/>
    </row>
    <row r="707" ht="13.5" customHeight="1">
      <c r="A707" s="17"/>
      <c r="B707" s="12"/>
      <c r="C707" s="17"/>
      <c r="D707" s="17"/>
      <c r="E707" s="12"/>
      <c r="F707" s="12"/>
      <c r="G707" s="17"/>
      <c r="H707" s="17"/>
      <c r="I707" s="12"/>
      <c r="J707" s="12"/>
      <c r="K707" s="17"/>
      <c r="L707" s="17"/>
      <c r="M707" s="12"/>
    </row>
    <row r="708" ht="13.5" customHeight="1">
      <c r="A708" s="17"/>
      <c r="B708" s="12"/>
      <c r="C708" s="17"/>
      <c r="D708" s="17"/>
      <c r="E708" s="12"/>
      <c r="F708" s="12"/>
      <c r="G708" s="17"/>
      <c r="H708" s="17"/>
      <c r="I708" s="12"/>
      <c r="J708" s="12"/>
      <c r="K708" s="17"/>
      <c r="L708" s="17"/>
      <c r="M708" s="12"/>
    </row>
    <row r="709" ht="13.5" customHeight="1">
      <c r="A709" s="17"/>
      <c r="B709" s="12"/>
      <c r="C709" s="17"/>
      <c r="D709" s="17"/>
      <c r="E709" s="12"/>
      <c r="F709" s="12"/>
      <c r="G709" s="17"/>
      <c r="H709" s="17"/>
      <c r="I709" s="12"/>
      <c r="J709" s="12"/>
      <c r="K709" s="17"/>
      <c r="L709" s="17"/>
      <c r="M709" s="12"/>
    </row>
    <row r="710" ht="13.5" customHeight="1">
      <c r="A710" s="17"/>
      <c r="B710" s="12"/>
      <c r="C710" s="17"/>
      <c r="D710" s="17"/>
      <c r="E710" s="12"/>
      <c r="F710" s="12"/>
      <c r="G710" s="17"/>
      <c r="H710" s="17"/>
      <c r="I710" s="12"/>
      <c r="J710" s="12"/>
      <c r="K710" s="17"/>
      <c r="L710" s="17"/>
      <c r="M710" s="12"/>
    </row>
    <row r="711" ht="13.5" customHeight="1">
      <c r="A711" s="17"/>
      <c r="B711" s="12"/>
      <c r="C711" s="17"/>
      <c r="D711" s="17"/>
      <c r="E711" s="12"/>
      <c r="F711" s="12"/>
      <c r="G711" s="17"/>
      <c r="H711" s="17"/>
      <c r="I711" s="12"/>
      <c r="J711" s="12"/>
      <c r="K711" s="17"/>
      <c r="L711" s="17"/>
      <c r="M711" s="12"/>
    </row>
    <row r="712" ht="13.5" customHeight="1">
      <c r="A712" s="17"/>
      <c r="B712" s="12"/>
      <c r="C712" s="17"/>
      <c r="D712" s="17"/>
      <c r="E712" s="12"/>
      <c r="F712" s="12"/>
      <c r="G712" s="17"/>
      <c r="H712" s="17"/>
      <c r="I712" s="12"/>
      <c r="J712" s="12"/>
      <c r="K712" s="17"/>
      <c r="L712" s="17"/>
      <c r="M712" s="12"/>
    </row>
    <row r="713" ht="13.5" customHeight="1">
      <c r="A713" s="17"/>
      <c r="B713" s="12"/>
      <c r="C713" s="17"/>
      <c r="D713" s="17"/>
      <c r="E713" s="12"/>
      <c r="F713" s="12"/>
      <c r="G713" s="17"/>
      <c r="H713" s="17"/>
      <c r="I713" s="12"/>
      <c r="J713" s="12"/>
      <c r="K713" s="17"/>
      <c r="L713" s="17"/>
      <c r="M713" s="12"/>
    </row>
    <row r="714" ht="13.5" customHeight="1">
      <c r="A714" s="17"/>
      <c r="B714" s="12"/>
      <c r="C714" s="17"/>
      <c r="D714" s="17"/>
      <c r="E714" s="12"/>
      <c r="F714" s="12"/>
      <c r="G714" s="17"/>
      <c r="H714" s="17"/>
      <c r="I714" s="12"/>
      <c r="J714" s="12"/>
      <c r="K714" s="17"/>
      <c r="L714" s="17"/>
      <c r="M714" s="12"/>
    </row>
    <row r="715" ht="13.5" customHeight="1">
      <c r="A715" s="17"/>
      <c r="B715" s="12"/>
      <c r="C715" s="17"/>
      <c r="D715" s="17"/>
      <c r="E715" s="12"/>
      <c r="F715" s="12"/>
      <c r="G715" s="17"/>
      <c r="H715" s="17"/>
      <c r="I715" s="12"/>
      <c r="J715" s="12"/>
      <c r="K715" s="17"/>
      <c r="L715" s="17"/>
      <c r="M715" s="12"/>
    </row>
    <row r="716" ht="13.5" customHeight="1">
      <c r="A716" s="17"/>
      <c r="B716" s="12"/>
      <c r="C716" s="17"/>
      <c r="D716" s="17"/>
      <c r="E716" s="12"/>
      <c r="F716" s="12"/>
      <c r="G716" s="17"/>
      <c r="H716" s="17"/>
      <c r="I716" s="12"/>
      <c r="J716" s="12"/>
      <c r="K716" s="17"/>
      <c r="L716" s="17"/>
      <c r="M716" s="12"/>
    </row>
    <row r="717" ht="13.5" customHeight="1">
      <c r="A717" s="17"/>
      <c r="B717" s="12"/>
      <c r="C717" s="17"/>
      <c r="D717" s="17"/>
      <c r="E717" s="12"/>
      <c r="F717" s="12"/>
      <c r="G717" s="17"/>
      <c r="H717" s="17"/>
      <c r="I717" s="12"/>
      <c r="J717" s="12"/>
      <c r="K717" s="17"/>
      <c r="L717" s="17"/>
      <c r="M717" s="12"/>
    </row>
    <row r="718" ht="13.5" customHeight="1">
      <c r="A718" s="17"/>
      <c r="B718" s="12"/>
      <c r="C718" s="17"/>
      <c r="D718" s="17"/>
      <c r="E718" s="12"/>
      <c r="F718" s="12"/>
      <c r="G718" s="17"/>
      <c r="H718" s="17"/>
      <c r="I718" s="12"/>
      <c r="J718" s="12"/>
      <c r="K718" s="17"/>
      <c r="L718" s="17"/>
      <c r="M718" s="12"/>
    </row>
    <row r="719" ht="13.5" customHeight="1">
      <c r="A719" s="17"/>
      <c r="B719" s="12"/>
      <c r="C719" s="17"/>
      <c r="D719" s="17"/>
      <c r="E719" s="12"/>
      <c r="F719" s="12"/>
      <c r="G719" s="17"/>
      <c r="H719" s="17"/>
      <c r="I719" s="12"/>
      <c r="J719" s="12"/>
      <c r="K719" s="17"/>
      <c r="L719" s="17"/>
      <c r="M719" s="12"/>
    </row>
    <row r="720" ht="13.5" customHeight="1">
      <c r="A720" s="17"/>
      <c r="B720" s="12"/>
      <c r="C720" s="17"/>
      <c r="D720" s="17"/>
      <c r="E720" s="12"/>
      <c r="F720" s="12"/>
      <c r="G720" s="17"/>
      <c r="H720" s="17"/>
      <c r="I720" s="12"/>
      <c r="J720" s="12"/>
      <c r="K720" s="17"/>
      <c r="L720" s="17"/>
      <c r="M720" s="12"/>
    </row>
    <row r="721" ht="13.5" customHeight="1">
      <c r="A721" s="17"/>
      <c r="B721" s="12"/>
      <c r="C721" s="17"/>
      <c r="D721" s="17"/>
      <c r="E721" s="12"/>
      <c r="F721" s="12"/>
      <c r="G721" s="17"/>
      <c r="H721" s="17"/>
      <c r="I721" s="12"/>
      <c r="J721" s="12"/>
      <c r="K721" s="17"/>
      <c r="L721" s="17"/>
      <c r="M721" s="12"/>
    </row>
    <row r="722" ht="13.5" customHeight="1">
      <c r="A722" s="17"/>
      <c r="B722" s="12"/>
      <c r="C722" s="17"/>
      <c r="D722" s="17"/>
      <c r="E722" s="12"/>
      <c r="F722" s="12"/>
      <c r="G722" s="17"/>
      <c r="H722" s="17"/>
      <c r="I722" s="12"/>
      <c r="J722" s="12"/>
      <c r="K722" s="17"/>
      <c r="L722" s="17"/>
      <c r="M722" s="12"/>
    </row>
    <row r="723" ht="13.5" customHeight="1">
      <c r="A723" s="17"/>
      <c r="B723" s="12"/>
      <c r="C723" s="17"/>
      <c r="D723" s="17"/>
      <c r="E723" s="12"/>
      <c r="F723" s="12"/>
      <c r="G723" s="17"/>
      <c r="H723" s="17"/>
      <c r="I723" s="12"/>
      <c r="J723" s="12"/>
      <c r="K723" s="17"/>
      <c r="L723" s="17"/>
      <c r="M723" s="12"/>
    </row>
    <row r="724" ht="13.5" customHeight="1">
      <c r="A724" s="17"/>
      <c r="B724" s="12"/>
      <c r="C724" s="17"/>
      <c r="D724" s="17"/>
      <c r="E724" s="12"/>
      <c r="F724" s="12"/>
      <c r="G724" s="17"/>
      <c r="H724" s="17"/>
      <c r="I724" s="12"/>
      <c r="J724" s="12"/>
      <c r="K724" s="17"/>
      <c r="L724" s="17"/>
      <c r="M724" s="12"/>
    </row>
    <row r="725" ht="13.5" customHeight="1">
      <c r="A725" s="17"/>
      <c r="B725" s="12"/>
      <c r="C725" s="17"/>
      <c r="D725" s="17"/>
      <c r="E725" s="12"/>
      <c r="F725" s="12"/>
      <c r="G725" s="17"/>
      <c r="H725" s="17"/>
      <c r="I725" s="12"/>
      <c r="J725" s="12"/>
      <c r="K725" s="17"/>
      <c r="L725" s="17"/>
      <c r="M725" s="12"/>
    </row>
    <row r="726" ht="13.5" customHeight="1">
      <c r="A726" s="17"/>
      <c r="B726" s="12"/>
      <c r="C726" s="17"/>
      <c r="D726" s="17"/>
      <c r="E726" s="12"/>
      <c r="F726" s="12"/>
      <c r="G726" s="17"/>
      <c r="H726" s="17"/>
      <c r="I726" s="12"/>
      <c r="J726" s="12"/>
      <c r="K726" s="17"/>
      <c r="L726" s="17"/>
      <c r="M726" s="12"/>
    </row>
    <row r="727" ht="13.5" customHeight="1">
      <c r="A727" s="17"/>
      <c r="B727" s="12"/>
      <c r="C727" s="17"/>
      <c r="D727" s="17"/>
      <c r="E727" s="12"/>
      <c r="F727" s="12"/>
      <c r="G727" s="17"/>
      <c r="H727" s="17"/>
      <c r="I727" s="12"/>
      <c r="J727" s="12"/>
      <c r="K727" s="17"/>
      <c r="L727" s="17"/>
      <c r="M727" s="12"/>
    </row>
    <row r="728" ht="13.5" customHeight="1">
      <c r="A728" s="17"/>
      <c r="B728" s="12"/>
      <c r="C728" s="17"/>
      <c r="D728" s="17"/>
      <c r="E728" s="12"/>
      <c r="F728" s="12"/>
      <c r="G728" s="17"/>
      <c r="H728" s="17"/>
      <c r="I728" s="12"/>
      <c r="J728" s="12"/>
      <c r="K728" s="17"/>
      <c r="L728" s="17"/>
      <c r="M728" s="12"/>
    </row>
    <row r="729" ht="13.5" customHeight="1">
      <c r="A729" s="17"/>
      <c r="B729" s="12"/>
      <c r="C729" s="17"/>
      <c r="D729" s="17"/>
      <c r="E729" s="12"/>
      <c r="F729" s="12"/>
      <c r="G729" s="17"/>
      <c r="H729" s="17"/>
      <c r="I729" s="12"/>
      <c r="J729" s="12"/>
      <c r="K729" s="17"/>
      <c r="L729" s="17"/>
      <c r="M729" s="12"/>
    </row>
    <row r="730" ht="13.5" customHeight="1">
      <c r="A730" s="17"/>
      <c r="B730" s="12"/>
      <c r="C730" s="17"/>
      <c r="D730" s="17"/>
      <c r="E730" s="12"/>
      <c r="F730" s="12"/>
      <c r="G730" s="17"/>
      <c r="H730" s="17"/>
      <c r="I730" s="12"/>
      <c r="J730" s="12"/>
      <c r="K730" s="17"/>
      <c r="L730" s="17"/>
      <c r="M730" s="12"/>
    </row>
    <row r="731" ht="13.5" customHeight="1">
      <c r="A731" s="17"/>
      <c r="B731" s="12"/>
      <c r="C731" s="17"/>
      <c r="D731" s="17"/>
      <c r="E731" s="12"/>
      <c r="F731" s="12"/>
      <c r="G731" s="17"/>
      <c r="H731" s="17"/>
      <c r="I731" s="12"/>
      <c r="J731" s="12"/>
      <c r="K731" s="17"/>
      <c r="L731" s="17"/>
      <c r="M731" s="12"/>
    </row>
    <row r="732" ht="13.5" customHeight="1">
      <c r="A732" s="17"/>
      <c r="B732" s="12"/>
      <c r="C732" s="17"/>
      <c r="D732" s="17"/>
      <c r="E732" s="12"/>
      <c r="F732" s="12"/>
      <c r="G732" s="17"/>
      <c r="H732" s="17"/>
      <c r="I732" s="12"/>
      <c r="J732" s="12"/>
      <c r="K732" s="17"/>
      <c r="L732" s="17"/>
      <c r="M732" s="12"/>
    </row>
    <row r="733" ht="13.5" customHeight="1">
      <c r="A733" s="17"/>
      <c r="B733" s="12"/>
      <c r="C733" s="17"/>
      <c r="D733" s="17"/>
      <c r="E733" s="12"/>
      <c r="F733" s="12"/>
      <c r="G733" s="17"/>
      <c r="H733" s="17"/>
      <c r="I733" s="12"/>
      <c r="J733" s="12"/>
      <c r="K733" s="17"/>
      <c r="L733" s="17"/>
      <c r="M733" s="12"/>
    </row>
    <row r="734" ht="13.5" customHeight="1">
      <c r="A734" s="17"/>
      <c r="B734" s="12"/>
      <c r="C734" s="17"/>
      <c r="D734" s="17"/>
      <c r="E734" s="12"/>
      <c r="F734" s="12"/>
      <c r="G734" s="17"/>
      <c r="H734" s="17"/>
      <c r="I734" s="12"/>
      <c r="J734" s="12"/>
      <c r="K734" s="17"/>
      <c r="L734" s="17"/>
      <c r="M734" s="12"/>
    </row>
    <row r="735" ht="13.5" customHeight="1">
      <c r="A735" s="17"/>
      <c r="B735" s="12"/>
      <c r="C735" s="17"/>
      <c r="D735" s="17"/>
      <c r="E735" s="12"/>
      <c r="F735" s="12"/>
      <c r="G735" s="17"/>
      <c r="H735" s="17"/>
      <c r="I735" s="12"/>
      <c r="J735" s="12"/>
      <c r="K735" s="17"/>
      <c r="L735" s="17"/>
      <c r="M735" s="12"/>
    </row>
    <row r="736" ht="13.5" customHeight="1">
      <c r="A736" s="17"/>
      <c r="B736" s="12"/>
      <c r="C736" s="17"/>
      <c r="D736" s="17"/>
      <c r="E736" s="12"/>
      <c r="F736" s="12"/>
      <c r="G736" s="17"/>
      <c r="H736" s="17"/>
      <c r="I736" s="12"/>
      <c r="J736" s="12"/>
      <c r="K736" s="17"/>
      <c r="L736" s="17"/>
      <c r="M736" s="12"/>
    </row>
    <row r="737" ht="13.5" customHeight="1">
      <c r="A737" s="17"/>
      <c r="B737" s="12"/>
      <c r="C737" s="17"/>
      <c r="D737" s="17"/>
      <c r="E737" s="12"/>
      <c r="F737" s="12"/>
      <c r="G737" s="17"/>
      <c r="H737" s="17"/>
      <c r="I737" s="12"/>
      <c r="J737" s="12"/>
      <c r="K737" s="17"/>
      <c r="L737" s="17"/>
      <c r="M737" s="12"/>
    </row>
    <row r="738" ht="13.5" customHeight="1">
      <c r="A738" s="17"/>
      <c r="B738" s="12"/>
      <c r="C738" s="17"/>
      <c r="D738" s="17"/>
      <c r="E738" s="12"/>
      <c r="F738" s="12"/>
      <c r="G738" s="17"/>
      <c r="H738" s="17"/>
      <c r="I738" s="12"/>
      <c r="J738" s="12"/>
      <c r="K738" s="17"/>
      <c r="L738" s="17"/>
      <c r="M738" s="12"/>
    </row>
    <row r="739" ht="13.5" customHeight="1">
      <c r="A739" s="17"/>
      <c r="B739" s="12"/>
      <c r="C739" s="17"/>
      <c r="D739" s="17"/>
      <c r="E739" s="12"/>
      <c r="F739" s="12"/>
      <c r="G739" s="17"/>
      <c r="H739" s="17"/>
      <c r="I739" s="12"/>
      <c r="J739" s="12"/>
      <c r="K739" s="17"/>
      <c r="L739" s="17"/>
      <c r="M739" s="12"/>
    </row>
    <row r="740" ht="13.5" customHeight="1">
      <c r="A740" s="17"/>
      <c r="B740" s="12"/>
      <c r="C740" s="17"/>
      <c r="D740" s="17"/>
      <c r="E740" s="12"/>
      <c r="F740" s="12"/>
      <c r="G740" s="17"/>
      <c r="H740" s="17"/>
      <c r="I740" s="12"/>
      <c r="J740" s="12"/>
      <c r="K740" s="17"/>
      <c r="L740" s="17"/>
      <c r="M740" s="12"/>
    </row>
    <row r="741" ht="13.5" customHeight="1">
      <c r="A741" s="17"/>
      <c r="B741" s="12"/>
      <c r="C741" s="17"/>
      <c r="D741" s="17"/>
      <c r="E741" s="12"/>
      <c r="F741" s="12"/>
      <c r="G741" s="17"/>
      <c r="H741" s="17"/>
      <c r="I741" s="12"/>
      <c r="J741" s="12"/>
      <c r="K741" s="17"/>
      <c r="L741" s="17"/>
      <c r="M741" s="12"/>
    </row>
    <row r="742" ht="13.5" customHeight="1">
      <c r="A742" s="17"/>
      <c r="B742" s="12"/>
      <c r="C742" s="17"/>
      <c r="D742" s="17"/>
      <c r="E742" s="12"/>
      <c r="F742" s="12"/>
      <c r="G742" s="17"/>
      <c r="H742" s="17"/>
      <c r="I742" s="12"/>
      <c r="J742" s="12"/>
      <c r="K742" s="17"/>
      <c r="L742" s="17"/>
      <c r="M742" s="12"/>
    </row>
    <row r="743" ht="13.5" customHeight="1">
      <c r="A743" s="17"/>
      <c r="B743" s="12"/>
      <c r="C743" s="17"/>
      <c r="D743" s="17"/>
      <c r="E743" s="12"/>
      <c r="F743" s="12"/>
      <c r="G743" s="17"/>
      <c r="H743" s="17"/>
      <c r="I743" s="12"/>
      <c r="J743" s="12"/>
      <c r="K743" s="17"/>
      <c r="L743" s="17"/>
      <c r="M743" s="12"/>
    </row>
    <row r="744" ht="13.5" customHeight="1">
      <c r="A744" s="17"/>
      <c r="B744" s="12"/>
      <c r="C744" s="17"/>
      <c r="D744" s="17"/>
      <c r="E744" s="12"/>
      <c r="F744" s="12"/>
      <c r="G744" s="17"/>
      <c r="H744" s="17"/>
      <c r="I744" s="12"/>
      <c r="J744" s="12"/>
      <c r="K744" s="17"/>
      <c r="L744" s="17"/>
      <c r="M744" s="12"/>
    </row>
    <row r="745" ht="13.5" customHeight="1">
      <c r="A745" s="17"/>
      <c r="B745" s="12"/>
      <c r="C745" s="17"/>
      <c r="D745" s="17"/>
      <c r="E745" s="12"/>
      <c r="F745" s="12"/>
      <c r="G745" s="17"/>
      <c r="H745" s="17"/>
      <c r="I745" s="12"/>
      <c r="J745" s="12"/>
      <c r="K745" s="17"/>
      <c r="L745" s="17"/>
      <c r="M745" s="12"/>
    </row>
    <row r="746" ht="13.5" customHeight="1">
      <c r="A746" s="17"/>
      <c r="B746" s="12"/>
      <c r="C746" s="17"/>
      <c r="D746" s="17"/>
      <c r="E746" s="12"/>
      <c r="F746" s="12"/>
      <c r="G746" s="17"/>
      <c r="H746" s="17"/>
      <c r="I746" s="12"/>
      <c r="J746" s="12"/>
      <c r="K746" s="17"/>
      <c r="L746" s="17"/>
      <c r="M746" s="12"/>
    </row>
    <row r="747" ht="13.5" customHeight="1">
      <c r="A747" s="17"/>
      <c r="B747" s="12"/>
      <c r="C747" s="17"/>
      <c r="D747" s="17"/>
      <c r="E747" s="12"/>
      <c r="F747" s="12"/>
      <c r="G747" s="17"/>
      <c r="H747" s="17"/>
      <c r="I747" s="12"/>
      <c r="J747" s="12"/>
      <c r="K747" s="17"/>
      <c r="L747" s="17"/>
      <c r="M747" s="12"/>
    </row>
    <row r="748" ht="13.5" customHeight="1">
      <c r="A748" s="17"/>
      <c r="B748" s="12"/>
      <c r="C748" s="17"/>
      <c r="D748" s="17"/>
      <c r="E748" s="12"/>
      <c r="F748" s="12"/>
      <c r="G748" s="17"/>
      <c r="H748" s="17"/>
      <c r="I748" s="12"/>
      <c r="J748" s="12"/>
      <c r="K748" s="17"/>
      <c r="L748" s="17"/>
      <c r="M748" s="12"/>
    </row>
    <row r="749" ht="13.5" customHeight="1">
      <c r="A749" s="17"/>
      <c r="B749" s="12"/>
      <c r="C749" s="17"/>
      <c r="D749" s="17"/>
      <c r="E749" s="12"/>
      <c r="F749" s="12"/>
      <c r="G749" s="17"/>
      <c r="H749" s="17"/>
      <c r="I749" s="12"/>
      <c r="J749" s="12"/>
      <c r="K749" s="17"/>
      <c r="L749" s="17"/>
      <c r="M749" s="12"/>
    </row>
    <row r="750" ht="13.5" customHeight="1">
      <c r="A750" s="17"/>
      <c r="B750" s="12"/>
      <c r="C750" s="17"/>
      <c r="D750" s="17"/>
      <c r="E750" s="12"/>
      <c r="F750" s="12"/>
      <c r="G750" s="17"/>
      <c r="H750" s="17"/>
      <c r="I750" s="12"/>
      <c r="J750" s="12"/>
      <c r="K750" s="17"/>
      <c r="L750" s="17"/>
      <c r="M750" s="12"/>
    </row>
    <row r="751" ht="13.5" customHeight="1">
      <c r="A751" s="17"/>
      <c r="B751" s="12"/>
      <c r="C751" s="17"/>
      <c r="D751" s="17"/>
      <c r="E751" s="12"/>
      <c r="F751" s="12"/>
      <c r="G751" s="17"/>
      <c r="H751" s="17"/>
      <c r="I751" s="12"/>
      <c r="J751" s="12"/>
      <c r="K751" s="17"/>
      <c r="L751" s="17"/>
      <c r="M751" s="12"/>
    </row>
    <row r="752" ht="13.5" customHeight="1">
      <c r="A752" s="17"/>
      <c r="B752" s="12"/>
      <c r="C752" s="17"/>
      <c r="D752" s="17"/>
      <c r="E752" s="12"/>
      <c r="F752" s="12"/>
      <c r="G752" s="17"/>
      <c r="H752" s="17"/>
      <c r="I752" s="12"/>
      <c r="J752" s="12"/>
      <c r="K752" s="17"/>
      <c r="L752" s="17"/>
      <c r="M752" s="12"/>
    </row>
    <row r="753" ht="13.5" customHeight="1">
      <c r="A753" s="17"/>
      <c r="B753" s="12"/>
      <c r="C753" s="17"/>
      <c r="D753" s="17"/>
      <c r="E753" s="12"/>
      <c r="F753" s="12"/>
      <c r="G753" s="17"/>
      <c r="H753" s="17"/>
      <c r="I753" s="12"/>
      <c r="J753" s="12"/>
      <c r="K753" s="17"/>
      <c r="L753" s="17"/>
      <c r="M753" s="12"/>
    </row>
    <row r="754" ht="13.5" customHeight="1">
      <c r="A754" s="17"/>
      <c r="B754" s="12"/>
      <c r="C754" s="17"/>
      <c r="D754" s="17"/>
      <c r="E754" s="12"/>
      <c r="F754" s="12"/>
      <c r="G754" s="17"/>
      <c r="H754" s="17"/>
      <c r="I754" s="12"/>
      <c r="J754" s="12"/>
      <c r="K754" s="17"/>
      <c r="L754" s="17"/>
      <c r="M754" s="12"/>
    </row>
    <row r="755" ht="13.5" customHeight="1">
      <c r="A755" s="17"/>
      <c r="B755" s="12"/>
      <c r="C755" s="17"/>
      <c r="D755" s="17"/>
      <c r="E755" s="12"/>
      <c r="F755" s="12"/>
      <c r="G755" s="17"/>
      <c r="H755" s="17"/>
      <c r="I755" s="12"/>
      <c r="J755" s="12"/>
      <c r="K755" s="17"/>
      <c r="L755" s="17"/>
      <c r="M755" s="12"/>
    </row>
    <row r="756" ht="13.5" customHeight="1">
      <c r="A756" s="17"/>
      <c r="B756" s="12"/>
      <c r="C756" s="17"/>
      <c r="D756" s="17"/>
      <c r="E756" s="12"/>
      <c r="F756" s="12"/>
      <c r="G756" s="17"/>
      <c r="H756" s="17"/>
      <c r="I756" s="12"/>
      <c r="J756" s="12"/>
      <c r="K756" s="17"/>
      <c r="L756" s="17"/>
      <c r="M756" s="12"/>
    </row>
    <row r="757" ht="13.5" customHeight="1">
      <c r="A757" s="17"/>
      <c r="B757" s="12"/>
      <c r="C757" s="17"/>
      <c r="D757" s="17"/>
      <c r="E757" s="12"/>
      <c r="F757" s="12"/>
      <c r="G757" s="17"/>
      <c r="H757" s="17"/>
      <c r="I757" s="12"/>
      <c r="J757" s="12"/>
      <c r="K757" s="17"/>
      <c r="L757" s="17"/>
      <c r="M757" s="12"/>
    </row>
    <row r="758" ht="13.5" customHeight="1">
      <c r="A758" s="17"/>
      <c r="B758" s="12"/>
      <c r="C758" s="17"/>
      <c r="D758" s="17"/>
      <c r="E758" s="12"/>
      <c r="F758" s="12"/>
      <c r="G758" s="17"/>
      <c r="H758" s="17"/>
      <c r="I758" s="12"/>
      <c r="J758" s="12"/>
      <c r="K758" s="17"/>
      <c r="L758" s="17"/>
      <c r="M758" s="12"/>
    </row>
    <row r="759" ht="13.5" customHeight="1">
      <c r="A759" s="17"/>
      <c r="B759" s="12"/>
      <c r="C759" s="17"/>
      <c r="D759" s="17"/>
      <c r="E759" s="12"/>
      <c r="F759" s="12"/>
      <c r="G759" s="17"/>
      <c r="H759" s="17"/>
      <c r="I759" s="12"/>
      <c r="J759" s="12"/>
      <c r="K759" s="17"/>
      <c r="L759" s="17"/>
      <c r="M759" s="12"/>
    </row>
    <row r="760" ht="13.5" customHeight="1">
      <c r="A760" s="17"/>
      <c r="B760" s="12"/>
      <c r="C760" s="17"/>
      <c r="D760" s="17"/>
      <c r="E760" s="12"/>
      <c r="F760" s="12"/>
      <c r="G760" s="17"/>
      <c r="H760" s="17"/>
      <c r="I760" s="12"/>
      <c r="J760" s="12"/>
      <c r="K760" s="17"/>
      <c r="L760" s="17"/>
      <c r="M760" s="12"/>
    </row>
    <row r="761" ht="13.5" customHeight="1">
      <c r="A761" s="17"/>
      <c r="B761" s="12"/>
      <c r="C761" s="17"/>
      <c r="D761" s="17"/>
      <c r="E761" s="12"/>
      <c r="F761" s="12"/>
      <c r="G761" s="17"/>
      <c r="H761" s="17"/>
      <c r="I761" s="12"/>
      <c r="J761" s="12"/>
      <c r="K761" s="17"/>
      <c r="L761" s="17"/>
      <c r="M761" s="12"/>
    </row>
    <row r="762" ht="13.5" customHeight="1">
      <c r="A762" s="17"/>
      <c r="B762" s="12"/>
      <c r="C762" s="17"/>
      <c r="D762" s="17"/>
      <c r="E762" s="12"/>
      <c r="F762" s="12"/>
      <c r="G762" s="17"/>
      <c r="H762" s="17"/>
      <c r="I762" s="12"/>
      <c r="J762" s="12"/>
      <c r="K762" s="17"/>
      <c r="L762" s="17"/>
      <c r="M762" s="12"/>
    </row>
    <row r="763" ht="13.5" customHeight="1">
      <c r="A763" s="17"/>
      <c r="B763" s="12"/>
      <c r="C763" s="17"/>
      <c r="D763" s="17"/>
      <c r="E763" s="12"/>
      <c r="F763" s="12"/>
      <c r="G763" s="17"/>
      <c r="H763" s="17"/>
      <c r="I763" s="12"/>
      <c r="J763" s="12"/>
      <c r="K763" s="17"/>
      <c r="L763" s="17"/>
      <c r="M763" s="12"/>
    </row>
    <row r="764" ht="13.5" customHeight="1">
      <c r="A764" s="17"/>
      <c r="B764" s="12"/>
      <c r="C764" s="17"/>
      <c r="D764" s="17"/>
      <c r="E764" s="12"/>
      <c r="F764" s="12"/>
      <c r="G764" s="17"/>
      <c r="H764" s="17"/>
      <c r="I764" s="12"/>
      <c r="J764" s="12"/>
      <c r="K764" s="17"/>
      <c r="L764" s="17"/>
      <c r="M764" s="12"/>
    </row>
    <row r="765" ht="13.5" customHeight="1">
      <c r="A765" s="17"/>
      <c r="B765" s="12"/>
      <c r="C765" s="17"/>
      <c r="D765" s="17"/>
      <c r="E765" s="12"/>
      <c r="F765" s="12"/>
      <c r="G765" s="17"/>
      <c r="H765" s="17"/>
      <c r="I765" s="12"/>
      <c r="J765" s="12"/>
      <c r="K765" s="17"/>
      <c r="L765" s="17"/>
      <c r="M765" s="12"/>
    </row>
    <row r="766" ht="13.5" customHeight="1">
      <c r="A766" s="17"/>
      <c r="B766" s="12"/>
      <c r="C766" s="17"/>
      <c r="D766" s="17"/>
      <c r="E766" s="12"/>
      <c r="F766" s="12"/>
      <c r="G766" s="17"/>
      <c r="H766" s="17"/>
      <c r="I766" s="12"/>
      <c r="J766" s="12"/>
      <c r="K766" s="17"/>
      <c r="L766" s="17"/>
      <c r="M766" s="12"/>
    </row>
    <row r="767" ht="13.5" customHeight="1">
      <c r="A767" s="17"/>
      <c r="B767" s="12"/>
      <c r="C767" s="17"/>
      <c r="D767" s="17"/>
      <c r="E767" s="12"/>
      <c r="F767" s="12"/>
      <c r="G767" s="17"/>
      <c r="H767" s="17"/>
      <c r="I767" s="12"/>
      <c r="J767" s="12"/>
      <c r="K767" s="17"/>
      <c r="L767" s="17"/>
      <c r="M767" s="12"/>
    </row>
    <row r="768" ht="13.5" customHeight="1">
      <c r="A768" s="17"/>
      <c r="B768" s="12"/>
      <c r="C768" s="17"/>
      <c r="D768" s="17"/>
      <c r="E768" s="12"/>
      <c r="F768" s="12"/>
      <c r="G768" s="17"/>
      <c r="H768" s="17"/>
      <c r="I768" s="12"/>
      <c r="J768" s="12"/>
      <c r="K768" s="17"/>
      <c r="L768" s="17"/>
      <c r="M768" s="12"/>
    </row>
    <row r="769" ht="13.5" customHeight="1">
      <c r="A769" s="17"/>
      <c r="B769" s="12"/>
      <c r="C769" s="17"/>
      <c r="D769" s="17"/>
      <c r="E769" s="12"/>
      <c r="F769" s="12"/>
      <c r="G769" s="17"/>
      <c r="H769" s="17"/>
      <c r="I769" s="12"/>
      <c r="J769" s="12"/>
      <c r="K769" s="17"/>
      <c r="L769" s="17"/>
      <c r="M769" s="12"/>
    </row>
    <row r="770" ht="13.5" customHeight="1">
      <c r="A770" s="17"/>
      <c r="B770" s="12"/>
      <c r="C770" s="17"/>
      <c r="D770" s="17"/>
      <c r="E770" s="12"/>
      <c r="F770" s="12"/>
      <c r="G770" s="17"/>
      <c r="H770" s="17"/>
      <c r="I770" s="12"/>
      <c r="J770" s="12"/>
      <c r="K770" s="17"/>
      <c r="L770" s="17"/>
      <c r="M770" s="12"/>
    </row>
    <row r="771" ht="13.5" customHeight="1">
      <c r="A771" s="17"/>
      <c r="B771" s="12"/>
      <c r="C771" s="17"/>
      <c r="D771" s="17"/>
      <c r="E771" s="12"/>
      <c r="F771" s="12"/>
      <c r="G771" s="17"/>
      <c r="H771" s="17"/>
      <c r="I771" s="12"/>
      <c r="J771" s="12"/>
      <c r="K771" s="17"/>
      <c r="L771" s="17"/>
      <c r="M771" s="12"/>
    </row>
    <row r="772" ht="13.5" customHeight="1">
      <c r="A772" s="17"/>
      <c r="B772" s="12"/>
      <c r="C772" s="17"/>
      <c r="D772" s="17"/>
      <c r="E772" s="12"/>
      <c r="F772" s="12"/>
      <c r="G772" s="17"/>
      <c r="H772" s="17"/>
      <c r="I772" s="12"/>
      <c r="J772" s="12"/>
      <c r="K772" s="17"/>
      <c r="L772" s="17"/>
      <c r="M772" s="12"/>
    </row>
    <row r="773" ht="13.5" customHeight="1">
      <c r="A773" s="17"/>
      <c r="B773" s="12"/>
      <c r="C773" s="17"/>
      <c r="D773" s="17"/>
      <c r="E773" s="12"/>
      <c r="F773" s="12"/>
      <c r="G773" s="17"/>
      <c r="H773" s="17"/>
      <c r="I773" s="12"/>
      <c r="J773" s="12"/>
      <c r="K773" s="17"/>
      <c r="L773" s="17"/>
      <c r="M773" s="12"/>
    </row>
    <row r="774" ht="13.5" customHeight="1">
      <c r="A774" s="17"/>
      <c r="B774" s="12"/>
      <c r="C774" s="17"/>
      <c r="D774" s="17"/>
      <c r="E774" s="12"/>
      <c r="F774" s="12"/>
      <c r="G774" s="17"/>
      <c r="H774" s="17"/>
      <c r="I774" s="12"/>
      <c r="J774" s="12"/>
      <c r="K774" s="17"/>
      <c r="L774" s="17"/>
      <c r="M774" s="12"/>
    </row>
    <row r="775" ht="13.5" customHeight="1">
      <c r="A775" s="17"/>
      <c r="B775" s="12"/>
      <c r="C775" s="17"/>
      <c r="D775" s="17"/>
      <c r="E775" s="12"/>
      <c r="F775" s="12"/>
      <c r="G775" s="17"/>
      <c r="H775" s="17"/>
      <c r="I775" s="12"/>
      <c r="J775" s="12"/>
      <c r="K775" s="17"/>
      <c r="L775" s="17"/>
      <c r="M775" s="12"/>
    </row>
    <row r="776" ht="13.5" customHeight="1">
      <c r="A776" s="17"/>
      <c r="B776" s="12"/>
      <c r="C776" s="17"/>
      <c r="D776" s="17"/>
      <c r="E776" s="12"/>
      <c r="F776" s="12"/>
      <c r="G776" s="17"/>
      <c r="H776" s="17"/>
      <c r="I776" s="12"/>
      <c r="J776" s="12"/>
      <c r="K776" s="17"/>
      <c r="L776" s="17"/>
      <c r="M776" s="12"/>
    </row>
    <row r="777" ht="13.5" customHeight="1">
      <c r="A777" s="17"/>
      <c r="B777" s="12"/>
      <c r="C777" s="17"/>
      <c r="D777" s="17"/>
      <c r="E777" s="12"/>
      <c r="F777" s="12"/>
      <c r="G777" s="17"/>
      <c r="H777" s="17"/>
      <c r="I777" s="12"/>
      <c r="J777" s="12"/>
      <c r="K777" s="17"/>
      <c r="L777" s="17"/>
      <c r="M777" s="12"/>
    </row>
    <row r="778" ht="13.5" customHeight="1">
      <c r="A778" s="17"/>
      <c r="B778" s="12"/>
      <c r="C778" s="17"/>
      <c r="D778" s="17"/>
      <c r="E778" s="12"/>
      <c r="F778" s="12"/>
      <c r="G778" s="17"/>
      <c r="H778" s="17"/>
      <c r="I778" s="12"/>
      <c r="J778" s="12"/>
      <c r="K778" s="17"/>
      <c r="L778" s="17"/>
      <c r="M778" s="12"/>
    </row>
    <row r="779" ht="13.5" customHeight="1">
      <c r="A779" s="17"/>
      <c r="B779" s="12"/>
      <c r="C779" s="17"/>
      <c r="D779" s="17"/>
      <c r="E779" s="12"/>
      <c r="F779" s="12"/>
      <c r="G779" s="17"/>
      <c r="H779" s="17"/>
      <c r="I779" s="12"/>
      <c r="J779" s="12"/>
      <c r="K779" s="17"/>
      <c r="L779" s="17"/>
      <c r="M779" s="12"/>
    </row>
    <row r="780" ht="13.5" customHeight="1">
      <c r="A780" s="17"/>
      <c r="B780" s="12"/>
      <c r="C780" s="17"/>
      <c r="D780" s="17"/>
      <c r="E780" s="12"/>
      <c r="F780" s="12"/>
      <c r="G780" s="17"/>
      <c r="H780" s="17"/>
      <c r="I780" s="12"/>
      <c r="J780" s="12"/>
      <c r="K780" s="17"/>
      <c r="L780" s="17"/>
      <c r="M780" s="12"/>
    </row>
    <row r="781" ht="13.5" customHeight="1">
      <c r="A781" s="17"/>
      <c r="B781" s="12"/>
      <c r="C781" s="17"/>
      <c r="D781" s="17"/>
      <c r="E781" s="12"/>
      <c r="F781" s="12"/>
      <c r="G781" s="17"/>
      <c r="H781" s="17"/>
      <c r="I781" s="12"/>
      <c r="J781" s="12"/>
      <c r="K781" s="17"/>
      <c r="L781" s="17"/>
      <c r="M781" s="12"/>
    </row>
    <row r="782" ht="13.5" customHeight="1">
      <c r="A782" s="17"/>
      <c r="B782" s="12"/>
      <c r="C782" s="17"/>
      <c r="D782" s="17"/>
      <c r="E782" s="12"/>
      <c r="F782" s="12"/>
      <c r="G782" s="17"/>
      <c r="H782" s="17"/>
      <c r="I782" s="12"/>
      <c r="J782" s="12"/>
      <c r="K782" s="17"/>
      <c r="L782" s="17"/>
      <c r="M782" s="12"/>
    </row>
    <row r="783" ht="13.5" customHeight="1">
      <c r="A783" s="17"/>
      <c r="B783" s="12"/>
      <c r="C783" s="17"/>
      <c r="D783" s="17"/>
      <c r="E783" s="12"/>
      <c r="F783" s="12"/>
      <c r="G783" s="17"/>
      <c r="H783" s="17"/>
      <c r="I783" s="12"/>
      <c r="J783" s="12"/>
      <c r="K783" s="17"/>
      <c r="L783" s="17"/>
      <c r="M783" s="12"/>
    </row>
    <row r="784" ht="13.5" customHeight="1">
      <c r="A784" s="17"/>
      <c r="B784" s="12"/>
      <c r="C784" s="17"/>
      <c r="D784" s="17"/>
      <c r="E784" s="12"/>
      <c r="F784" s="12"/>
      <c r="G784" s="17"/>
      <c r="H784" s="17"/>
      <c r="I784" s="12"/>
      <c r="J784" s="12"/>
      <c r="K784" s="17"/>
      <c r="L784" s="17"/>
      <c r="M784" s="12"/>
    </row>
    <row r="785" ht="13.5" customHeight="1">
      <c r="A785" s="17"/>
      <c r="B785" s="12"/>
      <c r="C785" s="17"/>
      <c r="D785" s="17"/>
      <c r="E785" s="12"/>
      <c r="F785" s="12"/>
      <c r="G785" s="17"/>
      <c r="H785" s="17"/>
      <c r="I785" s="12"/>
      <c r="J785" s="12"/>
      <c r="K785" s="17"/>
      <c r="L785" s="17"/>
      <c r="M785" s="12"/>
    </row>
    <row r="786" ht="13.5" customHeight="1">
      <c r="A786" s="17"/>
      <c r="B786" s="12"/>
      <c r="C786" s="17"/>
      <c r="D786" s="17"/>
      <c r="E786" s="12"/>
      <c r="F786" s="12"/>
      <c r="G786" s="17"/>
      <c r="H786" s="17"/>
      <c r="I786" s="12"/>
      <c r="J786" s="12"/>
      <c r="K786" s="17"/>
      <c r="L786" s="17"/>
      <c r="M786" s="12"/>
    </row>
    <row r="787" ht="13.5" customHeight="1">
      <c r="A787" s="17"/>
      <c r="B787" s="12"/>
      <c r="C787" s="17"/>
      <c r="D787" s="17"/>
      <c r="E787" s="12"/>
      <c r="F787" s="12"/>
      <c r="G787" s="17"/>
      <c r="H787" s="17"/>
      <c r="I787" s="12"/>
      <c r="J787" s="12"/>
      <c r="K787" s="17"/>
      <c r="L787" s="17"/>
      <c r="M787" s="12"/>
    </row>
    <row r="788" ht="13.5" customHeight="1">
      <c r="A788" s="17"/>
      <c r="B788" s="12"/>
      <c r="C788" s="17"/>
      <c r="D788" s="17"/>
      <c r="E788" s="12"/>
      <c r="F788" s="12"/>
      <c r="G788" s="17"/>
      <c r="H788" s="17"/>
      <c r="I788" s="12"/>
      <c r="J788" s="12"/>
      <c r="K788" s="17"/>
      <c r="L788" s="17"/>
      <c r="M788" s="12"/>
    </row>
    <row r="789" ht="13.5" customHeight="1">
      <c r="A789" s="17"/>
      <c r="B789" s="12"/>
      <c r="C789" s="17"/>
      <c r="D789" s="17"/>
      <c r="E789" s="12"/>
      <c r="F789" s="12"/>
      <c r="G789" s="17"/>
      <c r="H789" s="17"/>
      <c r="I789" s="12"/>
      <c r="J789" s="12"/>
      <c r="K789" s="17"/>
      <c r="L789" s="17"/>
      <c r="M789" s="12"/>
    </row>
    <row r="790" ht="13.5" customHeight="1">
      <c r="A790" s="17"/>
      <c r="B790" s="12"/>
      <c r="C790" s="17"/>
      <c r="D790" s="17"/>
      <c r="E790" s="12"/>
      <c r="F790" s="12"/>
      <c r="G790" s="17"/>
      <c r="H790" s="17"/>
      <c r="I790" s="12"/>
      <c r="J790" s="12"/>
      <c r="K790" s="17"/>
      <c r="L790" s="17"/>
      <c r="M790" s="12"/>
    </row>
    <row r="791" ht="13.5" customHeight="1">
      <c r="A791" s="17"/>
      <c r="B791" s="12"/>
      <c r="C791" s="17"/>
      <c r="D791" s="17"/>
      <c r="E791" s="12"/>
      <c r="F791" s="12"/>
      <c r="G791" s="17"/>
      <c r="H791" s="17"/>
      <c r="I791" s="12"/>
      <c r="J791" s="12"/>
      <c r="K791" s="17"/>
      <c r="L791" s="17"/>
      <c r="M791" s="12"/>
    </row>
    <row r="792" ht="13.5" customHeight="1">
      <c r="A792" s="17"/>
      <c r="B792" s="12"/>
      <c r="C792" s="17"/>
      <c r="D792" s="17"/>
      <c r="E792" s="12"/>
      <c r="F792" s="12"/>
      <c r="G792" s="17"/>
      <c r="H792" s="17"/>
      <c r="I792" s="12"/>
      <c r="J792" s="12"/>
      <c r="K792" s="17"/>
      <c r="L792" s="17"/>
      <c r="M792" s="12"/>
    </row>
    <row r="793" ht="13.5" customHeight="1">
      <c r="A793" s="17"/>
      <c r="B793" s="12"/>
      <c r="C793" s="17"/>
      <c r="D793" s="17"/>
      <c r="E793" s="12"/>
      <c r="F793" s="12"/>
      <c r="G793" s="17"/>
      <c r="H793" s="17"/>
      <c r="I793" s="12"/>
      <c r="J793" s="12"/>
      <c r="K793" s="17"/>
      <c r="L793" s="17"/>
      <c r="M793" s="12"/>
    </row>
    <row r="794" ht="13.5" customHeight="1">
      <c r="A794" s="17"/>
      <c r="B794" s="12"/>
      <c r="C794" s="17"/>
      <c r="D794" s="17"/>
      <c r="E794" s="12"/>
      <c r="F794" s="12"/>
      <c r="G794" s="17"/>
      <c r="H794" s="17"/>
      <c r="I794" s="12"/>
      <c r="J794" s="12"/>
      <c r="K794" s="17"/>
      <c r="L794" s="17"/>
      <c r="M794" s="12"/>
    </row>
    <row r="795" ht="13.5" customHeight="1">
      <c r="A795" s="17"/>
      <c r="B795" s="12"/>
      <c r="C795" s="17"/>
      <c r="D795" s="17"/>
      <c r="E795" s="12"/>
      <c r="F795" s="12"/>
      <c r="G795" s="17"/>
      <c r="H795" s="17"/>
      <c r="I795" s="12"/>
      <c r="J795" s="12"/>
      <c r="K795" s="17"/>
      <c r="L795" s="17"/>
      <c r="M795" s="12"/>
    </row>
    <row r="796" ht="13.5" customHeight="1">
      <c r="A796" s="17"/>
      <c r="B796" s="12"/>
      <c r="C796" s="17"/>
      <c r="D796" s="17"/>
      <c r="E796" s="12"/>
      <c r="F796" s="12"/>
      <c r="G796" s="17"/>
      <c r="H796" s="17"/>
      <c r="I796" s="12"/>
      <c r="J796" s="12"/>
      <c r="K796" s="17"/>
      <c r="L796" s="17"/>
      <c r="M796" s="12"/>
    </row>
    <row r="797" ht="13.5" customHeight="1">
      <c r="A797" s="17"/>
      <c r="B797" s="12"/>
      <c r="C797" s="17"/>
      <c r="D797" s="17"/>
      <c r="E797" s="12"/>
      <c r="F797" s="12"/>
      <c r="G797" s="17"/>
      <c r="H797" s="17"/>
      <c r="I797" s="12"/>
      <c r="J797" s="12"/>
      <c r="K797" s="17"/>
      <c r="L797" s="17"/>
      <c r="M797" s="12"/>
    </row>
    <row r="798" ht="13.5" customHeight="1">
      <c r="A798" s="17"/>
      <c r="B798" s="12"/>
      <c r="C798" s="17"/>
      <c r="D798" s="17"/>
      <c r="E798" s="12"/>
      <c r="F798" s="12"/>
      <c r="G798" s="17"/>
      <c r="H798" s="17"/>
      <c r="I798" s="12"/>
      <c r="J798" s="12"/>
      <c r="K798" s="17"/>
      <c r="L798" s="17"/>
      <c r="M798" s="12"/>
    </row>
    <row r="799" ht="13.5" customHeight="1">
      <c r="A799" s="17"/>
      <c r="B799" s="12"/>
      <c r="C799" s="17"/>
      <c r="D799" s="17"/>
      <c r="E799" s="12"/>
      <c r="F799" s="12"/>
      <c r="G799" s="17"/>
      <c r="H799" s="17"/>
      <c r="I799" s="12"/>
      <c r="J799" s="12"/>
      <c r="K799" s="17"/>
      <c r="L799" s="17"/>
      <c r="M799" s="12"/>
    </row>
    <row r="800" ht="13.5" customHeight="1">
      <c r="A800" s="17"/>
      <c r="B800" s="12"/>
      <c r="C800" s="17"/>
      <c r="D800" s="17"/>
      <c r="E800" s="12"/>
      <c r="F800" s="12"/>
      <c r="G800" s="17"/>
      <c r="H800" s="17"/>
      <c r="I800" s="12"/>
      <c r="J800" s="12"/>
      <c r="K800" s="17"/>
      <c r="L800" s="17"/>
      <c r="M800" s="12"/>
    </row>
    <row r="801" ht="13.5" customHeight="1">
      <c r="A801" s="17"/>
      <c r="B801" s="12"/>
      <c r="C801" s="17"/>
      <c r="D801" s="17"/>
      <c r="E801" s="12"/>
      <c r="F801" s="12"/>
      <c r="G801" s="17"/>
      <c r="H801" s="17"/>
      <c r="I801" s="12"/>
      <c r="J801" s="12"/>
      <c r="K801" s="17"/>
      <c r="L801" s="17"/>
      <c r="M801" s="12"/>
    </row>
    <row r="802" ht="13.5" customHeight="1">
      <c r="A802" s="17"/>
      <c r="B802" s="12"/>
      <c r="C802" s="17"/>
      <c r="D802" s="17"/>
      <c r="E802" s="12"/>
      <c r="F802" s="12"/>
      <c r="G802" s="17"/>
      <c r="H802" s="17"/>
      <c r="I802" s="12"/>
      <c r="J802" s="12"/>
      <c r="K802" s="17"/>
      <c r="L802" s="17"/>
      <c r="M802" s="12"/>
    </row>
    <row r="803" ht="13.5" customHeight="1">
      <c r="A803" s="17"/>
      <c r="B803" s="12"/>
      <c r="C803" s="17"/>
      <c r="D803" s="17"/>
      <c r="E803" s="12"/>
      <c r="F803" s="12"/>
      <c r="G803" s="17"/>
      <c r="H803" s="17"/>
      <c r="I803" s="12"/>
      <c r="J803" s="12"/>
      <c r="K803" s="17"/>
      <c r="L803" s="17"/>
      <c r="M803" s="12"/>
    </row>
    <row r="804" ht="13.5" customHeight="1">
      <c r="A804" s="17"/>
      <c r="B804" s="12"/>
      <c r="C804" s="17"/>
      <c r="D804" s="17"/>
      <c r="E804" s="12"/>
      <c r="F804" s="12"/>
      <c r="G804" s="17"/>
      <c r="H804" s="17"/>
      <c r="I804" s="12"/>
      <c r="J804" s="12"/>
      <c r="K804" s="17"/>
      <c r="L804" s="17"/>
      <c r="M804" s="12"/>
    </row>
    <row r="805" ht="13.5" customHeight="1">
      <c r="A805" s="17"/>
      <c r="B805" s="12"/>
      <c r="C805" s="17"/>
      <c r="D805" s="17"/>
      <c r="E805" s="12"/>
      <c r="F805" s="12"/>
      <c r="G805" s="17"/>
      <c r="H805" s="17"/>
      <c r="I805" s="12"/>
      <c r="J805" s="12"/>
      <c r="K805" s="17"/>
      <c r="L805" s="17"/>
      <c r="M805" s="12"/>
    </row>
    <row r="806" ht="13.5" customHeight="1">
      <c r="A806" s="17"/>
      <c r="B806" s="12"/>
      <c r="C806" s="17"/>
      <c r="D806" s="17"/>
      <c r="E806" s="12"/>
      <c r="F806" s="12"/>
      <c r="G806" s="17"/>
      <c r="H806" s="17"/>
      <c r="I806" s="12"/>
      <c r="J806" s="12"/>
      <c r="K806" s="17"/>
      <c r="L806" s="17"/>
      <c r="M806" s="12"/>
    </row>
    <row r="807" ht="13.5" customHeight="1">
      <c r="A807" s="17"/>
      <c r="B807" s="12"/>
      <c r="C807" s="17"/>
      <c r="D807" s="17"/>
      <c r="E807" s="12"/>
      <c r="F807" s="12"/>
      <c r="G807" s="17"/>
      <c r="H807" s="17"/>
      <c r="I807" s="12"/>
      <c r="J807" s="12"/>
      <c r="K807" s="17"/>
      <c r="L807" s="17"/>
      <c r="M807" s="12"/>
    </row>
    <row r="808" ht="13.5" customHeight="1">
      <c r="A808" s="17"/>
      <c r="B808" s="12"/>
      <c r="C808" s="17"/>
      <c r="D808" s="17"/>
      <c r="E808" s="12"/>
      <c r="F808" s="12"/>
      <c r="G808" s="17"/>
      <c r="H808" s="17"/>
      <c r="I808" s="12"/>
      <c r="J808" s="12"/>
      <c r="K808" s="17"/>
      <c r="L808" s="17"/>
      <c r="M808" s="12"/>
    </row>
    <row r="809" ht="13.5" customHeight="1">
      <c r="A809" s="17"/>
      <c r="B809" s="12"/>
      <c r="C809" s="17"/>
      <c r="D809" s="17"/>
      <c r="E809" s="12"/>
      <c r="F809" s="12"/>
      <c r="G809" s="17"/>
      <c r="H809" s="17"/>
      <c r="I809" s="12"/>
      <c r="J809" s="12"/>
      <c r="K809" s="17"/>
      <c r="L809" s="17"/>
      <c r="M809" s="12"/>
    </row>
    <row r="810" ht="13.5" customHeight="1">
      <c r="A810" s="17"/>
      <c r="B810" s="12"/>
      <c r="C810" s="17"/>
      <c r="D810" s="17"/>
      <c r="E810" s="12"/>
      <c r="F810" s="12"/>
      <c r="G810" s="17"/>
      <c r="H810" s="17"/>
      <c r="I810" s="12"/>
      <c r="J810" s="12"/>
      <c r="K810" s="17"/>
      <c r="L810" s="17"/>
      <c r="M810" s="12"/>
    </row>
    <row r="811" ht="13.5" customHeight="1">
      <c r="A811" s="17"/>
      <c r="B811" s="12"/>
      <c r="C811" s="17"/>
      <c r="D811" s="17"/>
      <c r="E811" s="12"/>
      <c r="F811" s="12"/>
      <c r="G811" s="17"/>
      <c r="H811" s="17"/>
      <c r="I811" s="12"/>
      <c r="J811" s="12"/>
      <c r="K811" s="17"/>
      <c r="L811" s="17"/>
      <c r="M811" s="12"/>
    </row>
    <row r="812" ht="13.5" customHeight="1">
      <c r="A812" s="17"/>
      <c r="B812" s="12"/>
      <c r="C812" s="17"/>
      <c r="D812" s="17"/>
      <c r="E812" s="12"/>
      <c r="F812" s="12"/>
      <c r="G812" s="17"/>
      <c r="H812" s="17"/>
      <c r="I812" s="12"/>
      <c r="J812" s="12"/>
      <c r="K812" s="17"/>
      <c r="L812" s="17"/>
      <c r="M812" s="12"/>
    </row>
    <row r="813" ht="13.5" customHeight="1">
      <c r="A813" s="17"/>
      <c r="B813" s="12"/>
      <c r="C813" s="17"/>
      <c r="D813" s="17"/>
      <c r="E813" s="12"/>
      <c r="F813" s="12"/>
      <c r="G813" s="17"/>
      <c r="H813" s="17"/>
      <c r="I813" s="12"/>
      <c r="J813" s="12"/>
      <c r="K813" s="17"/>
      <c r="L813" s="17"/>
      <c r="M813" s="12"/>
    </row>
    <row r="814" ht="13.5" customHeight="1">
      <c r="A814" s="17"/>
      <c r="B814" s="12"/>
      <c r="C814" s="17"/>
      <c r="D814" s="17"/>
      <c r="E814" s="12"/>
      <c r="F814" s="12"/>
      <c r="G814" s="17"/>
      <c r="H814" s="17"/>
      <c r="I814" s="12"/>
      <c r="J814" s="12"/>
      <c r="K814" s="17"/>
      <c r="L814" s="17"/>
      <c r="M814" s="12"/>
    </row>
    <row r="815" ht="13.5" customHeight="1">
      <c r="A815" s="17"/>
      <c r="B815" s="12"/>
      <c r="C815" s="17"/>
      <c r="D815" s="17"/>
      <c r="E815" s="12"/>
      <c r="F815" s="12"/>
      <c r="G815" s="17"/>
      <c r="H815" s="17"/>
      <c r="I815" s="12"/>
      <c r="J815" s="12"/>
      <c r="K815" s="17"/>
      <c r="L815" s="17"/>
      <c r="M815" s="12"/>
    </row>
    <row r="816" ht="13.5" customHeight="1">
      <c r="A816" s="17"/>
      <c r="B816" s="12"/>
      <c r="C816" s="17"/>
      <c r="D816" s="17"/>
      <c r="E816" s="12"/>
      <c r="F816" s="12"/>
      <c r="G816" s="17"/>
      <c r="H816" s="17"/>
      <c r="I816" s="12"/>
      <c r="J816" s="12"/>
      <c r="K816" s="17"/>
      <c r="L816" s="17"/>
      <c r="M816" s="12"/>
    </row>
    <row r="817" ht="13.5" customHeight="1">
      <c r="A817" s="17"/>
      <c r="B817" s="12"/>
      <c r="C817" s="17"/>
      <c r="D817" s="17"/>
      <c r="E817" s="12"/>
      <c r="F817" s="12"/>
      <c r="G817" s="17"/>
      <c r="H817" s="17"/>
      <c r="I817" s="12"/>
      <c r="J817" s="12"/>
      <c r="K817" s="17"/>
      <c r="L817" s="17"/>
      <c r="M817" s="12"/>
    </row>
    <row r="818" ht="13.5" customHeight="1">
      <c r="A818" s="17"/>
      <c r="B818" s="12"/>
      <c r="C818" s="17"/>
      <c r="D818" s="17"/>
      <c r="E818" s="12"/>
      <c r="F818" s="12"/>
      <c r="G818" s="17"/>
      <c r="H818" s="17"/>
      <c r="I818" s="12"/>
      <c r="J818" s="12"/>
      <c r="K818" s="17"/>
      <c r="L818" s="17"/>
      <c r="M818" s="12"/>
    </row>
    <row r="819" ht="13.5" customHeight="1">
      <c r="A819" s="17"/>
      <c r="B819" s="12"/>
      <c r="C819" s="17"/>
      <c r="D819" s="17"/>
      <c r="E819" s="12"/>
      <c r="F819" s="12"/>
      <c r="G819" s="17"/>
      <c r="H819" s="17"/>
      <c r="I819" s="12"/>
      <c r="J819" s="12"/>
      <c r="K819" s="17"/>
      <c r="L819" s="17"/>
      <c r="M819" s="12"/>
    </row>
    <row r="820" ht="13.5" customHeight="1">
      <c r="A820" s="17"/>
      <c r="B820" s="12"/>
      <c r="C820" s="17"/>
      <c r="D820" s="17"/>
      <c r="E820" s="12"/>
      <c r="F820" s="12"/>
      <c r="G820" s="17"/>
      <c r="H820" s="17"/>
      <c r="I820" s="12"/>
      <c r="J820" s="12"/>
      <c r="K820" s="17"/>
      <c r="L820" s="17"/>
      <c r="M820" s="12"/>
    </row>
    <row r="821" ht="13.5" customHeight="1">
      <c r="A821" s="17"/>
      <c r="B821" s="12"/>
      <c r="C821" s="17"/>
      <c r="D821" s="17"/>
      <c r="E821" s="12"/>
      <c r="F821" s="12"/>
      <c r="G821" s="17"/>
      <c r="H821" s="17"/>
      <c r="I821" s="12"/>
      <c r="J821" s="12"/>
      <c r="K821" s="17"/>
      <c r="L821" s="17"/>
      <c r="M821" s="12"/>
    </row>
    <row r="822" ht="13.5" customHeight="1">
      <c r="A822" s="17"/>
      <c r="B822" s="12"/>
      <c r="C822" s="17"/>
      <c r="D822" s="17"/>
      <c r="E822" s="12"/>
      <c r="F822" s="12"/>
      <c r="G822" s="17"/>
      <c r="H822" s="17"/>
      <c r="I822" s="12"/>
      <c r="J822" s="12"/>
      <c r="K822" s="17"/>
      <c r="L822" s="17"/>
      <c r="M822" s="12"/>
    </row>
    <row r="823" ht="13.5" customHeight="1">
      <c r="A823" s="17"/>
      <c r="B823" s="12"/>
      <c r="C823" s="17"/>
      <c r="D823" s="17"/>
      <c r="E823" s="12"/>
      <c r="F823" s="12"/>
      <c r="G823" s="17"/>
      <c r="H823" s="17"/>
      <c r="I823" s="12"/>
      <c r="J823" s="12"/>
      <c r="K823" s="17"/>
      <c r="L823" s="17"/>
      <c r="M823" s="12"/>
    </row>
    <row r="824" ht="13.5" customHeight="1">
      <c r="A824" s="17"/>
      <c r="B824" s="12"/>
      <c r="C824" s="17"/>
      <c r="D824" s="17"/>
      <c r="E824" s="12"/>
      <c r="F824" s="12"/>
      <c r="G824" s="17"/>
      <c r="H824" s="17"/>
      <c r="I824" s="12"/>
      <c r="J824" s="12"/>
      <c r="K824" s="17"/>
      <c r="L824" s="17"/>
      <c r="M824" s="12"/>
    </row>
    <row r="825" ht="13.5" customHeight="1">
      <c r="A825" s="17"/>
      <c r="B825" s="12"/>
      <c r="C825" s="17"/>
      <c r="D825" s="17"/>
      <c r="E825" s="12"/>
      <c r="F825" s="12"/>
      <c r="G825" s="17"/>
      <c r="H825" s="17"/>
      <c r="I825" s="12"/>
      <c r="J825" s="12"/>
      <c r="K825" s="17"/>
      <c r="L825" s="17"/>
      <c r="M825" s="12"/>
    </row>
    <row r="826" ht="13.5" customHeight="1">
      <c r="A826" s="17"/>
      <c r="B826" s="12"/>
      <c r="C826" s="17"/>
      <c r="D826" s="17"/>
      <c r="E826" s="12"/>
      <c r="F826" s="12"/>
      <c r="G826" s="17"/>
      <c r="H826" s="17"/>
      <c r="I826" s="12"/>
      <c r="J826" s="12"/>
      <c r="K826" s="17"/>
      <c r="L826" s="17"/>
      <c r="M826" s="12"/>
    </row>
    <row r="827" ht="13.5" customHeight="1">
      <c r="A827" s="17"/>
      <c r="B827" s="12"/>
      <c r="C827" s="17"/>
      <c r="D827" s="17"/>
      <c r="E827" s="12"/>
      <c r="F827" s="12"/>
      <c r="G827" s="17"/>
      <c r="H827" s="17"/>
      <c r="I827" s="12"/>
      <c r="J827" s="12"/>
      <c r="K827" s="17"/>
      <c r="L827" s="17"/>
      <c r="M827" s="12"/>
    </row>
    <row r="828" ht="13.5" customHeight="1">
      <c r="A828" s="17"/>
      <c r="B828" s="12"/>
      <c r="C828" s="17"/>
      <c r="D828" s="17"/>
      <c r="E828" s="12"/>
      <c r="F828" s="12"/>
      <c r="G828" s="17"/>
      <c r="H828" s="17"/>
      <c r="I828" s="12"/>
      <c r="J828" s="12"/>
      <c r="K828" s="17"/>
      <c r="L828" s="17"/>
      <c r="M828" s="12"/>
    </row>
    <row r="829" ht="13.5" customHeight="1">
      <c r="A829" s="17"/>
      <c r="B829" s="12"/>
      <c r="C829" s="17"/>
      <c r="D829" s="17"/>
      <c r="E829" s="12"/>
      <c r="F829" s="12"/>
      <c r="G829" s="17"/>
      <c r="H829" s="17"/>
      <c r="I829" s="12"/>
      <c r="J829" s="12"/>
      <c r="K829" s="17"/>
      <c r="L829" s="17"/>
      <c r="M829" s="12"/>
    </row>
    <row r="830" ht="13.5" customHeight="1">
      <c r="A830" s="17"/>
      <c r="B830" s="12"/>
      <c r="C830" s="17"/>
      <c r="D830" s="17"/>
      <c r="E830" s="12"/>
      <c r="F830" s="12"/>
      <c r="G830" s="17"/>
      <c r="H830" s="17"/>
      <c r="I830" s="12"/>
      <c r="J830" s="12"/>
      <c r="K830" s="17"/>
      <c r="L830" s="17"/>
      <c r="M830" s="12"/>
    </row>
    <row r="831" ht="13.5" customHeight="1">
      <c r="A831" s="17"/>
      <c r="B831" s="12"/>
      <c r="C831" s="17"/>
      <c r="D831" s="17"/>
      <c r="E831" s="12"/>
      <c r="F831" s="12"/>
      <c r="G831" s="17"/>
      <c r="H831" s="17"/>
      <c r="I831" s="12"/>
      <c r="J831" s="12"/>
      <c r="K831" s="17"/>
      <c r="L831" s="17"/>
      <c r="M831" s="12"/>
    </row>
    <row r="832" ht="13.5" customHeight="1">
      <c r="A832" s="17"/>
      <c r="B832" s="12"/>
      <c r="C832" s="17"/>
      <c r="D832" s="17"/>
      <c r="E832" s="12"/>
      <c r="F832" s="12"/>
      <c r="G832" s="17"/>
      <c r="H832" s="17"/>
      <c r="I832" s="12"/>
      <c r="J832" s="12"/>
      <c r="K832" s="17"/>
      <c r="L832" s="17"/>
      <c r="M832" s="12"/>
    </row>
    <row r="833" ht="13.5" customHeight="1">
      <c r="A833" s="17"/>
      <c r="B833" s="12"/>
      <c r="C833" s="17"/>
      <c r="D833" s="17"/>
      <c r="E833" s="12"/>
      <c r="F833" s="12"/>
      <c r="G833" s="17"/>
      <c r="H833" s="17"/>
      <c r="I833" s="12"/>
      <c r="J833" s="12"/>
      <c r="K833" s="17"/>
      <c r="L833" s="17"/>
      <c r="M833" s="12"/>
    </row>
    <row r="834" ht="13.5" customHeight="1">
      <c r="A834" s="17"/>
      <c r="B834" s="12"/>
      <c r="C834" s="17"/>
      <c r="D834" s="17"/>
      <c r="E834" s="12"/>
      <c r="F834" s="12"/>
      <c r="G834" s="17"/>
      <c r="H834" s="17"/>
      <c r="I834" s="12"/>
      <c r="J834" s="12"/>
      <c r="K834" s="17"/>
      <c r="L834" s="17"/>
      <c r="M834" s="12"/>
    </row>
    <row r="835" ht="13.5" customHeight="1">
      <c r="A835" s="17"/>
      <c r="B835" s="12"/>
      <c r="C835" s="17"/>
      <c r="D835" s="17"/>
      <c r="E835" s="12"/>
      <c r="F835" s="12"/>
      <c r="G835" s="17"/>
      <c r="H835" s="17"/>
      <c r="I835" s="12"/>
      <c r="J835" s="12"/>
      <c r="K835" s="17"/>
      <c r="L835" s="17"/>
      <c r="M835" s="12"/>
    </row>
    <row r="836" ht="13.5" customHeight="1">
      <c r="A836" s="17"/>
      <c r="B836" s="12"/>
      <c r="C836" s="17"/>
      <c r="D836" s="17"/>
      <c r="E836" s="12"/>
      <c r="F836" s="12"/>
      <c r="G836" s="17"/>
      <c r="H836" s="17"/>
      <c r="I836" s="12"/>
      <c r="J836" s="12"/>
      <c r="K836" s="17"/>
      <c r="L836" s="17"/>
      <c r="M836" s="12"/>
    </row>
    <row r="837" ht="13.5" customHeight="1">
      <c r="A837" s="17"/>
      <c r="B837" s="12"/>
      <c r="C837" s="17"/>
      <c r="D837" s="17"/>
      <c r="E837" s="12"/>
      <c r="F837" s="12"/>
      <c r="G837" s="17"/>
      <c r="H837" s="17"/>
      <c r="I837" s="12"/>
      <c r="J837" s="12"/>
      <c r="K837" s="17"/>
      <c r="L837" s="17"/>
      <c r="M837" s="12"/>
    </row>
    <row r="838" ht="13.5" customHeight="1">
      <c r="A838" s="17"/>
      <c r="B838" s="12"/>
      <c r="C838" s="17"/>
      <c r="D838" s="17"/>
      <c r="E838" s="12"/>
      <c r="F838" s="12"/>
      <c r="G838" s="17"/>
      <c r="H838" s="17"/>
      <c r="I838" s="12"/>
      <c r="J838" s="12"/>
      <c r="K838" s="17"/>
      <c r="L838" s="17"/>
      <c r="M838" s="12"/>
    </row>
    <row r="839" ht="13.5" customHeight="1">
      <c r="A839" s="17"/>
      <c r="B839" s="12"/>
      <c r="C839" s="17"/>
      <c r="D839" s="17"/>
      <c r="E839" s="12"/>
      <c r="F839" s="12"/>
      <c r="G839" s="17"/>
      <c r="H839" s="17"/>
      <c r="I839" s="12"/>
      <c r="J839" s="12"/>
      <c r="K839" s="17"/>
      <c r="L839" s="17"/>
      <c r="M839" s="12"/>
    </row>
    <row r="840" ht="13.5" customHeight="1">
      <c r="A840" s="17"/>
      <c r="B840" s="12"/>
      <c r="C840" s="17"/>
      <c r="D840" s="17"/>
      <c r="E840" s="12"/>
      <c r="F840" s="12"/>
      <c r="G840" s="17"/>
      <c r="H840" s="17"/>
      <c r="I840" s="12"/>
      <c r="J840" s="12"/>
      <c r="K840" s="17"/>
      <c r="L840" s="17"/>
      <c r="M840" s="12"/>
    </row>
    <row r="841" ht="13.5" customHeight="1">
      <c r="A841" s="17"/>
      <c r="B841" s="12"/>
      <c r="C841" s="17"/>
      <c r="D841" s="17"/>
      <c r="E841" s="12"/>
      <c r="F841" s="12"/>
      <c r="G841" s="17"/>
      <c r="H841" s="17"/>
      <c r="I841" s="12"/>
      <c r="J841" s="12"/>
      <c r="K841" s="17"/>
      <c r="L841" s="17"/>
      <c r="M841" s="12"/>
    </row>
    <row r="842" ht="13.5" customHeight="1">
      <c r="A842" s="17"/>
      <c r="B842" s="12"/>
      <c r="C842" s="17"/>
      <c r="D842" s="17"/>
      <c r="E842" s="12"/>
      <c r="F842" s="12"/>
      <c r="G842" s="17"/>
      <c r="H842" s="17"/>
      <c r="I842" s="12"/>
      <c r="J842" s="12"/>
      <c r="K842" s="17"/>
      <c r="L842" s="17"/>
      <c r="M842" s="12"/>
    </row>
    <row r="843" ht="13.5" customHeight="1">
      <c r="A843" s="17"/>
      <c r="B843" s="12"/>
      <c r="C843" s="17"/>
      <c r="D843" s="17"/>
      <c r="E843" s="12"/>
      <c r="F843" s="12"/>
      <c r="G843" s="17"/>
      <c r="H843" s="17"/>
      <c r="I843" s="12"/>
      <c r="J843" s="12"/>
      <c r="K843" s="17"/>
      <c r="L843" s="17"/>
      <c r="M843" s="12"/>
    </row>
    <row r="844" ht="13.5" customHeight="1">
      <c r="A844" s="17"/>
      <c r="B844" s="12"/>
      <c r="C844" s="17"/>
      <c r="D844" s="17"/>
      <c r="E844" s="12"/>
      <c r="F844" s="12"/>
      <c r="G844" s="17"/>
      <c r="H844" s="17"/>
      <c r="I844" s="12"/>
      <c r="J844" s="12"/>
      <c r="K844" s="17"/>
      <c r="L844" s="17"/>
      <c r="M844" s="12"/>
    </row>
    <row r="845" ht="13.5" customHeight="1">
      <c r="A845" s="17"/>
      <c r="B845" s="12"/>
      <c r="C845" s="17"/>
      <c r="D845" s="17"/>
      <c r="E845" s="12"/>
      <c r="F845" s="12"/>
      <c r="G845" s="17"/>
      <c r="H845" s="17"/>
      <c r="I845" s="12"/>
      <c r="J845" s="12"/>
      <c r="K845" s="17"/>
      <c r="L845" s="17"/>
      <c r="M845" s="12"/>
    </row>
    <row r="846" ht="13.5" customHeight="1">
      <c r="A846" s="17"/>
      <c r="B846" s="12"/>
      <c r="C846" s="17"/>
      <c r="D846" s="17"/>
      <c r="E846" s="12"/>
      <c r="F846" s="12"/>
      <c r="G846" s="17"/>
      <c r="H846" s="17"/>
      <c r="I846" s="12"/>
      <c r="J846" s="12"/>
      <c r="K846" s="17"/>
      <c r="L846" s="17"/>
      <c r="M846" s="12"/>
    </row>
    <row r="847" ht="13.5" customHeight="1">
      <c r="A847" s="17"/>
      <c r="B847" s="12"/>
      <c r="C847" s="17"/>
      <c r="D847" s="17"/>
      <c r="E847" s="12"/>
      <c r="F847" s="12"/>
      <c r="G847" s="17"/>
      <c r="H847" s="17"/>
      <c r="I847" s="12"/>
      <c r="J847" s="12"/>
      <c r="K847" s="17"/>
      <c r="L847" s="17"/>
      <c r="M847" s="12"/>
    </row>
    <row r="848" ht="13.5" customHeight="1">
      <c r="A848" s="17"/>
      <c r="B848" s="12"/>
      <c r="C848" s="17"/>
      <c r="D848" s="17"/>
      <c r="E848" s="12"/>
      <c r="F848" s="12"/>
      <c r="G848" s="17"/>
      <c r="H848" s="17"/>
      <c r="I848" s="12"/>
      <c r="J848" s="12"/>
      <c r="K848" s="17"/>
      <c r="L848" s="17"/>
      <c r="M848" s="12"/>
    </row>
    <row r="849" ht="13.5" customHeight="1">
      <c r="A849" s="17"/>
      <c r="B849" s="12"/>
      <c r="C849" s="17"/>
      <c r="D849" s="17"/>
      <c r="E849" s="12"/>
      <c r="F849" s="12"/>
      <c r="G849" s="17"/>
      <c r="H849" s="17"/>
      <c r="I849" s="12"/>
      <c r="J849" s="12"/>
      <c r="K849" s="17"/>
      <c r="L849" s="17"/>
      <c r="M849" s="12"/>
    </row>
    <row r="850" ht="13.5" customHeight="1">
      <c r="A850" s="17"/>
      <c r="B850" s="12"/>
      <c r="C850" s="17"/>
      <c r="D850" s="17"/>
      <c r="E850" s="12"/>
      <c r="F850" s="12"/>
      <c r="G850" s="17"/>
      <c r="H850" s="17"/>
      <c r="I850" s="12"/>
      <c r="J850" s="12"/>
      <c r="K850" s="17"/>
      <c r="L850" s="17"/>
      <c r="M850" s="12"/>
    </row>
    <row r="851" ht="13.5" customHeight="1">
      <c r="A851" s="17"/>
      <c r="B851" s="12"/>
      <c r="C851" s="17"/>
      <c r="D851" s="17"/>
      <c r="E851" s="12"/>
      <c r="F851" s="12"/>
      <c r="G851" s="17"/>
      <c r="H851" s="17"/>
      <c r="I851" s="12"/>
      <c r="J851" s="12"/>
      <c r="K851" s="17"/>
      <c r="L851" s="17"/>
      <c r="M851" s="12"/>
    </row>
    <row r="852" ht="13.5" customHeight="1">
      <c r="A852" s="17"/>
      <c r="B852" s="12"/>
      <c r="C852" s="17"/>
      <c r="D852" s="17"/>
      <c r="E852" s="12"/>
      <c r="F852" s="12"/>
      <c r="G852" s="17"/>
      <c r="H852" s="17"/>
      <c r="I852" s="12"/>
      <c r="J852" s="12"/>
      <c r="K852" s="17"/>
      <c r="L852" s="17"/>
      <c r="M852" s="12"/>
    </row>
    <row r="853" ht="13.5" customHeight="1">
      <c r="A853" s="17"/>
      <c r="B853" s="12"/>
      <c r="C853" s="17"/>
      <c r="D853" s="17"/>
      <c r="E853" s="12"/>
      <c r="F853" s="12"/>
      <c r="G853" s="17"/>
      <c r="H853" s="17"/>
      <c r="I853" s="12"/>
      <c r="J853" s="12"/>
      <c r="K853" s="17"/>
      <c r="L853" s="17"/>
      <c r="M853" s="12"/>
    </row>
    <row r="854" ht="13.5" customHeight="1">
      <c r="A854" s="17"/>
      <c r="B854" s="12"/>
      <c r="C854" s="17"/>
      <c r="D854" s="17"/>
      <c r="E854" s="12"/>
      <c r="F854" s="12"/>
      <c r="G854" s="17"/>
      <c r="H854" s="17"/>
      <c r="I854" s="12"/>
      <c r="J854" s="12"/>
      <c r="K854" s="17"/>
      <c r="L854" s="17"/>
      <c r="M854" s="12"/>
    </row>
    <row r="855" ht="13.5" customHeight="1">
      <c r="A855" s="17"/>
      <c r="B855" s="12"/>
      <c r="C855" s="17"/>
      <c r="D855" s="17"/>
      <c r="E855" s="12"/>
      <c r="F855" s="12"/>
      <c r="G855" s="17"/>
      <c r="H855" s="17"/>
      <c r="I855" s="12"/>
      <c r="J855" s="12"/>
      <c r="K855" s="17"/>
      <c r="L855" s="17"/>
      <c r="M855" s="12"/>
    </row>
    <row r="856" ht="13.5" customHeight="1">
      <c r="A856" s="17"/>
      <c r="B856" s="12"/>
      <c r="C856" s="17"/>
      <c r="D856" s="17"/>
      <c r="E856" s="12"/>
      <c r="F856" s="12"/>
      <c r="G856" s="17"/>
      <c r="H856" s="17"/>
      <c r="I856" s="12"/>
      <c r="J856" s="12"/>
      <c r="K856" s="17"/>
      <c r="L856" s="17"/>
      <c r="M856" s="12"/>
    </row>
    <row r="857" ht="13.5" customHeight="1">
      <c r="A857" s="17"/>
      <c r="B857" s="12"/>
      <c r="C857" s="17"/>
      <c r="D857" s="17"/>
      <c r="E857" s="12"/>
      <c r="F857" s="12"/>
      <c r="G857" s="17"/>
      <c r="H857" s="17"/>
      <c r="I857" s="12"/>
      <c r="J857" s="12"/>
      <c r="K857" s="17"/>
      <c r="L857" s="17"/>
      <c r="M857" s="12"/>
    </row>
    <row r="858" ht="13.5" customHeight="1">
      <c r="A858" s="17"/>
      <c r="B858" s="12"/>
      <c r="C858" s="17"/>
      <c r="D858" s="17"/>
      <c r="E858" s="12"/>
      <c r="F858" s="12"/>
      <c r="G858" s="17"/>
      <c r="H858" s="17"/>
      <c r="I858" s="12"/>
      <c r="J858" s="12"/>
      <c r="K858" s="17"/>
      <c r="L858" s="17"/>
      <c r="M858" s="12"/>
    </row>
    <row r="859" ht="13.5" customHeight="1">
      <c r="A859" s="17"/>
      <c r="B859" s="12"/>
      <c r="C859" s="17"/>
      <c r="D859" s="17"/>
      <c r="E859" s="12"/>
      <c r="F859" s="12"/>
      <c r="G859" s="17"/>
      <c r="H859" s="17"/>
      <c r="I859" s="12"/>
      <c r="J859" s="12"/>
      <c r="K859" s="17"/>
      <c r="L859" s="17"/>
      <c r="M859" s="12"/>
    </row>
    <row r="860" ht="13.5" customHeight="1">
      <c r="A860" s="17"/>
      <c r="B860" s="12"/>
      <c r="C860" s="17"/>
      <c r="D860" s="17"/>
      <c r="E860" s="12"/>
      <c r="F860" s="12"/>
      <c r="G860" s="17"/>
      <c r="H860" s="17"/>
      <c r="I860" s="12"/>
      <c r="J860" s="12"/>
      <c r="K860" s="17"/>
      <c r="L860" s="17"/>
      <c r="M860" s="12"/>
    </row>
    <row r="861" ht="13.5" customHeight="1">
      <c r="A861" s="17"/>
      <c r="B861" s="12"/>
      <c r="C861" s="17"/>
      <c r="D861" s="17"/>
      <c r="E861" s="12"/>
      <c r="F861" s="12"/>
      <c r="G861" s="17"/>
      <c r="H861" s="17"/>
      <c r="I861" s="12"/>
      <c r="J861" s="12"/>
      <c r="K861" s="17"/>
      <c r="L861" s="17"/>
      <c r="M861" s="12"/>
    </row>
    <row r="862" ht="13.5" customHeight="1">
      <c r="A862" s="17"/>
      <c r="B862" s="12"/>
      <c r="C862" s="17"/>
      <c r="D862" s="17"/>
      <c r="E862" s="12"/>
      <c r="F862" s="12"/>
      <c r="G862" s="17"/>
      <c r="H862" s="17"/>
      <c r="I862" s="12"/>
      <c r="J862" s="12"/>
      <c r="K862" s="17"/>
      <c r="L862" s="17"/>
      <c r="M862" s="12"/>
    </row>
    <row r="863" ht="13.5" customHeight="1">
      <c r="A863" s="17"/>
      <c r="B863" s="12"/>
      <c r="C863" s="17"/>
      <c r="D863" s="17"/>
      <c r="E863" s="12"/>
      <c r="F863" s="12"/>
      <c r="G863" s="17"/>
      <c r="H863" s="17"/>
      <c r="I863" s="12"/>
      <c r="J863" s="12"/>
      <c r="K863" s="17"/>
      <c r="L863" s="17"/>
      <c r="M863" s="12"/>
    </row>
    <row r="864" ht="13.5" customHeight="1">
      <c r="A864" s="17"/>
      <c r="B864" s="12"/>
      <c r="C864" s="17"/>
      <c r="D864" s="17"/>
      <c r="E864" s="12"/>
      <c r="F864" s="12"/>
      <c r="G864" s="17"/>
      <c r="H864" s="17"/>
      <c r="I864" s="12"/>
      <c r="J864" s="12"/>
      <c r="K864" s="17"/>
      <c r="L864" s="17"/>
      <c r="M864" s="12"/>
    </row>
    <row r="865" ht="13.5" customHeight="1">
      <c r="A865" s="17"/>
      <c r="B865" s="12"/>
      <c r="C865" s="17"/>
      <c r="D865" s="17"/>
      <c r="E865" s="12"/>
      <c r="F865" s="12"/>
      <c r="G865" s="17"/>
      <c r="H865" s="17"/>
      <c r="I865" s="12"/>
      <c r="J865" s="12"/>
      <c r="K865" s="17"/>
      <c r="L865" s="17"/>
      <c r="M865" s="12"/>
    </row>
    <row r="866" ht="13.5" customHeight="1">
      <c r="A866" s="17"/>
      <c r="B866" s="12"/>
      <c r="C866" s="17"/>
      <c r="D866" s="17"/>
      <c r="E866" s="12"/>
      <c r="F866" s="12"/>
      <c r="G866" s="17"/>
      <c r="H866" s="17"/>
      <c r="I866" s="12"/>
      <c r="J866" s="12"/>
      <c r="K866" s="17"/>
      <c r="L866" s="17"/>
      <c r="M866" s="12"/>
    </row>
    <row r="867" ht="13.5" customHeight="1">
      <c r="A867" s="17"/>
      <c r="B867" s="12"/>
      <c r="C867" s="17"/>
      <c r="D867" s="17"/>
      <c r="E867" s="12"/>
      <c r="F867" s="12"/>
      <c r="G867" s="17"/>
      <c r="H867" s="17"/>
      <c r="I867" s="12"/>
      <c r="J867" s="12"/>
      <c r="K867" s="17"/>
      <c r="L867" s="17"/>
      <c r="M867" s="12"/>
    </row>
    <row r="868" ht="13.5" customHeight="1">
      <c r="A868" s="17"/>
      <c r="B868" s="12"/>
      <c r="C868" s="17"/>
      <c r="D868" s="17"/>
      <c r="E868" s="12"/>
      <c r="F868" s="12"/>
      <c r="G868" s="17"/>
      <c r="H868" s="17"/>
      <c r="I868" s="12"/>
      <c r="J868" s="12"/>
      <c r="K868" s="17"/>
      <c r="L868" s="17"/>
      <c r="M868" s="12"/>
    </row>
    <row r="869" ht="13.5" customHeight="1">
      <c r="A869" s="17"/>
      <c r="B869" s="12"/>
      <c r="C869" s="17"/>
      <c r="D869" s="17"/>
      <c r="E869" s="12"/>
      <c r="F869" s="12"/>
      <c r="G869" s="17"/>
      <c r="H869" s="17"/>
      <c r="I869" s="12"/>
      <c r="J869" s="12"/>
      <c r="K869" s="17"/>
      <c r="L869" s="17"/>
      <c r="M869" s="12"/>
    </row>
    <row r="870" ht="13.5" customHeight="1">
      <c r="A870" s="17"/>
      <c r="B870" s="12"/>
      <c r="C870" s="17"/>
      <c r="D870" s="17"/>
      <c r="E870" s="12"/>
      <c r="F870" s="12"/>
      <c r="G870" s="17"/>
      <c r="H870" s="17"/>
      <c r="I870" s="12"/>
      <c r="J870" s="12"/>
      <c r="K870" s="17"/>
      <c r="L870" s="17"/>
      <c r="M870" s="12"/>
    </row>
    <row r="871" ht="13.5" customHeight="1">
      <c r="A871" s="17"/>
      <c r="B871" s="12"/>
      <c r="C871" s="17"/>
      <c r="D871" s="17"/>
      <c r="E871" s="12"/>
      <c r="F871" s="12"/>
      <c r="G871" s="17"/>
      <c r="H871" s="17"/>
      <c r="I871" s="12"/>
      <c r="J871" s="12"/>
      <c r="K871" s="17"/>
      <c r="L871" s="17"/>
      <c r="M871" s="12"/>
    </row>
    <row r="872" ht="13.5" customHeight="1">
      <c r="A872" s="17"/>
      <c r="B872" s="12"/>
      <c r="C872" s="17"/>
      <c r="D872" s="17"/>
      <c r="E872" s="12"/>
      <c r="F872" s="12"/>
      <c r="G872" s="17"/>
      <c r="H872" s="17"/>
      <c r="I872" s="12"/>
      <c r="J872" s="12"/>
      <c r="K872" s="17"/>
      <c r="L872" s="17"/>
      <c r="M872" s="12"/>
    </row>
    <row r="873" ht="13.5" customHeight="1">
      <c r="A873" s="17"/>
      <c r="B873" s="12"/>
      <c r="C873" s="17"/>
      <c r="D873" s="17"/>
      <c r="E873" s="12"/>
      <c r="F873" s="12"/>
      <c r="G873" s="17"/>
      <c r="H873" s="17"/>
      <c r="I873" s="12"/>
      <c r="J873" s="12"/>
      <c r="K873" s="17"/>
      <c r="L873" s="17"/>
      <c r="M873" s="12"/>
    </row>
    <row r="874" ht="13.5" customHeight="1">
      <c r="A874" s="17"/>
      <c r="B874" s="12"/>
      <c r="C874" s="17"/>
      <c r="D874" s="17"/>
      <c r="E874" s="12"/>
      <c r="F874" s="12"/>
      <c r="G874" s="17"/>
      <c r="H874" s="17"/>
      <c r="I874" s="12"/>
      <c r="J874" s="12"/>
      <c r="K874" s="17"/>
      <c r="L874" s="17"/>
      <c r="M874" s="12"/>
    </row>
    <row r="875" ht="13.5" customHeight="1">
      <c r="A875" s="17"/>
      <c r="B875" s="12"/>
      <c r="C875" s="17"/>
      <c r="D875" s="17"/>
      <c r="E875" s="12"/>
      <c r="F875" s="12"/>
      <c r="G875" s="17"/>
      <c r="H875" s="17"/>
      <c r="I875" s="12"/>
      <c r="J875" s="12"/>
      <c r="K875" s="17"/>
      <c r="L875" s="17"/>
      <c r="M875" s="12"/>
    </row>
    <row r="876" ht="13.5" customHeight="1">
      <c r="A876" s="17"/>
      <c r="B876" s="12"/>
      <c r="C876" s="17"/>
      <c r="D876" s="17"/>
      <c r="E876" s="12"/>
      <c r="F876" s="12"/>
      <c r="G876" s="17"/>
      <c r="H876" s="17"/>
      <c r="I876" s="12"/>
      <c r="J876" s="12"/>
      <c r="K876" s="17"/>
      <c r="L876" s="17"/>
      <c r="M876" s="12"/>
    </row>
    <row r="877" ht="13.5" customHeight="1">
      <c r="A877" s="17"/>
      <c r="B877" s="12"/>
      <c r="C877" s="17"/>
      <c r="D877" s="17"/>
      <c r="E877" s="12"/>
      <c r="F877" s="12"/>
      <c r="G877" s="17"/>
      <c r="H877" s="17"/>
      <c r="I877" s="12"/>
      <c r="J877" s="12"/>
      <c r="K877" s="17"/>
      <c r="L877" s="17"/>
      <c r="M877" s="12"/>
    </row>
    <row r="878" ht="13.5" customHeight="1">
      <c r="A878" s="17"/>
      <c r="B878" s="12"/>
      <c r="C878" s="17"/>
      <c r="D878" s="17"/>
      <c r="E878" s="12"/>
      <c r="F878" s="12"/>
      <c r="G878" s="17"/>
      <c r="H878" s="17"/>
      <c r="I878" s="12"/>
      <c r="J878" s="12"/>
      <c r="K878" s="17"/>
      <c r="L878" s="17"/>
      <c r="M878" s="12"/>
    </row>
    <row r="879" ht="13.5" customHeight="1">
      <c r="A879" s="17"/>
      <c r="B879" s="12"/>
      <c r="C879" s="17"/>
      <c r="D879" s="17"/>
      <c r="E879" s="12"/>
      <c r="F879" s="12"/>
      <c r="G879" s="17"/>
      <c r="H879" s="17"/>
      <c r="I879" s="12"/>
      <c r="J879" s="12"/>
      <c r="K879" s="17"/>
      <c r="L879" s="17"/>
      <c r="M879" s="12"/>
    </row>
    <row r="880" ht="13.5" customHeight="1">
      <c r="A880" s="17"/>
      <c r="B880" s="12"/>
      <c r="C880" s="17"/>
      <c r="D880" s="17"/>
      <c r="E880" s="12"/>
      <c r="F880" s="12"/>
      <c r="G880" s="17"/>
      <c r="H880" s="17"/>
      <c r="I880" s="12"/>
      <c r="J880" s="12"/>
      <c r="K880" s="17"/>
      <c r="L880" s="17"/>
      <c r="M880" s="12"/>
    </row>
    <row r="881" ht="13.5" customHeight="1">
      <c r="A881" s="17"/>
      <c r="B881" s="12"/>
      <c r="C881" s="17"/>
      <c r="D881" s="17"/>
      <c r="E881" s="12"/>
      <c r="F881" s="12"/>
      <c r="G881" s="17"/>
      <c r="H881" s="17"/>
      <c r="I881" s="12"/>
      <c r="J881" s="12"/>
      <c r="K881" s="17"/>
      <c r="L881" s="17"/>
      <c r="M881" s="12"/>
    </row>
    <row r="882" ht="13.5" customHeight="1">
      <c r="A882" s="17"/>
      <c r="B882" s="12"/>
      <c r="C882" s="17"/>
      <c r="D882" s="17"/>
      <c r="E882" s="12"/>
      <c r="F882" s="12"/>
      <c r="G882" s="17"/>
      <c r="H882" s="17"/>
      <c r="I882" s="12"/>
      <c r="J882" s="12"/>
      <c r="K882" s="17"/>
      <c r="L882" s="17"/>
      <c r="M882" s="12"/>
    </row>
    <row r="883" ht="13.5" customHeight="1">
      <c r="A883" s="17"/>
      <c r="B883" s="12"/>
      <c r="C883" s="17"/>
      <c r="D883" s="17"/>
      <c r="E883" s="12"/>
      <c r="F883" s="12"/>
      <c r="G883" s="17"/>
      <c r="H883" s="17"/>
      <c r="I883" s="12"/>
      <c r="J883" s="12"/>
      <c r="K883" s="17"/>
      <c r="L883" s="17"/>
      <c r="M883" s="12"/>
    </row>
    <row r="884" ht="13.5" customHeight="1">
      <c r="A884" s="17"/>
      <c r="B884" s="12"/>
      <c r="C884" s="17"/>
      <c r="D884" s="17"/>
      <c r="E884" s="12"/>
      <c r="F884" s="12"/>
      <c r="G884" s="17"/>
      <c r="H884" s="17"/>
      <c r="I884" s="12"/>
      <c r="J884" s="12"/>
      <c r="K884" s="17"/>
      <c r="L884" s="17"/>
      <c r="M884" s="12"/>
    </row>
    <row r="885" ht="13.5" customHeight="1">
      <c r="A885" s="17"/>
      <c r="B885" s="12"/>
      <c r="C885" s="17"/>
      <c r="D885" s="17"/>
      <c r="E885" s="12"/>
      <c r="F885" s="12"/>
      <c r="G885" s="17"/>
      <c r="H885" s="17"/>
      <c r="I885" s="12"/>
      <c r="J885" s="12"/>
      <c r="K885" s="17"/>
      <c r="L885" s="17"/>
      <c r="M885" s="12"/>
    </row>
    <row r="886" ht="13.5" customHeight="1">
      <c r="A886" s="17"/>
      <c r="B886" s="12"/>
      <c r="C886" s="17"/>
      <c r="D886" s="17"/>
      <c r="E886" s="12"/>
      <c r="F886" s="12"/>
      <c r="G886" s="17"/>
      <c r="H886" s="17"/>
      <c r="I886" s="12"/>
      <c r="J886" s="12"/>
      <c r="K886" s="17"/>
      <c r="L886" s="17"/>
      <c r="M886" s="12"/>
    </row>
    <row r="887" ht="13.5" customHeight="1">
      <c r="A887" s="17"/>
      <c r="B887" s="12"/>
      <c r="C887" s="17"/>
      <c r="D887" s="17"/>
      <c r="E887" s="12"/>
      <c r="F887" s="12"/>
      <c r="G887" s="17"/>
      <c r="H887" s="17"/>
      <c r="I887" s="12"/>
      <c r="J887" s="12"/>
      <c r="K887" s="17"/>
      <c r="L887" s="17"/>
      <c r="M887" s="12"/>
    </row>
    <row r="888" ht="13.5" customHeight="1">
      <c r="A888" s="17"/>
      <c r="B888" s="12"/>
      <c r="C888" s="17"/>
      <c r="D888" s="17"/>
      <c r="E888" s="12"/>
      <c r="F888" s="12"/>
      <c r="G888" s="17"/>
      <c r="H888" s="17"/>
      <c r="I888" s="12"/>
      <c r="J888" s="12"/>
      <c r="K888" s="17"/>
      <c r="L888" s="17"/>
      <c r="M888" s="12"/>
    </row>
    <row r="889" ht="13.5" customHeight="1">
      <c r="A889" s="17"/>
      <c r="B889" s="12"/>
      <c r="C889" s="17"/>
      <c r="D889" s="17"/>
      <c r="E889" s="12"/>
      <c r="F889" s="12"/>
      <c r="G889" s="17"/>
      <c r="H889" s="17"/>
      <c r="I889" s="12"/>
      <c r="J889" s="12"/>
      <c r="K889" s="17"/>
      <c r="L889" s="17"/>
      <c r="M889" s="12"/>
    </row>
    <row r="890" ht="13.5" customHeight="1">
      <c r="A890" s="17"/>
      <c r="B890" s="12"/>
      <c r="C890" s="17"/>
      <c r="D890" s="17"/>
      <c r="E890" s="12"/>
      <c r="F890" s="12"/>
      <c r="G890" s="17"/>
      <c r="H890" s="17"/>
      <c r="I890" s="12"/>
      <c r="J890" s="12"/>
      <c r="K890" s="17"/>
      <c r="L890" s="17"/>
      <c r="M890" s="12"/>
    </row>
    <row r="891" ht="13.5" customHeight="1">
      <c r="A891" s="17"/>
      <c r="B891" s="12"/>
      <c r="C891" s="17"/>
      <c r="D891" s="17"/>
      <c r="E891" s="12"/>
      <c r="F891" s="12"/>
      <c r="G891" s="17"/>
      <c r="H891" s="17"/>
      <c r="I891" s="12"/>
      <c r="J891" s="12"/>
      <c r="K891" s="17"/>
      <c r="L891" s="17"/>
      <c r="M891" s="12"/>
    </row>
    <row r="892" ht="13.5" customHeight="1">
      <c r="A892" s="17"/>
      <c r="B892" s="12"/>
      <c r="C892" s="17"/>
      <c r="D892" s="17"/>
      <c r="E892" s="12"/>
      <c r="F892" s="12"/>
      <c r="G892" s="17"/>
      <c r="H892" s="17"/>
      <c r="I892" s="12"/>
      <c r="J892" s="12"/>
      <c r="K892" s="17"/>
      <c r="L892" s="17"/>
      <c r="M892" s="12"/>
    </row>
    <row r="893" ht="13.5" customHeight="1">
      <c r="A893" s="17"/>
      <c r="B893" s="12"/>
      <c r="C893" s="17"/>
      <c r="D893" s="17"/>
      <c r="E893" s="12"/>
      <c r="F893" s="12"/>
      <c r="G893" s="17"/>
      <c r="H893" s="17"/>
      <c r="I893" s="12"/>
      <c r="J893" s="12"/>
      <c r="K893" s="17"/>
      <c r="L893" s="17"/>
      <c r="M893" s="12"/>
    </row>
    <row r="894" ht="13.5" customHeight="1">
      <c r="A894" s="17"/>
      <c r="B894" s="12"/>
      <c r="C894" s="17"/>
      <c r="D894" s="17"/>
      <c r="E894" s="12"/>
      <c r="F894" s="12"/>
      <c r="G894" s="17"/>
      <c r="H894" s="17"/>
      <c r="I894" s="12"/>
      <c r="J894" s="12"/>
      <c r="K894" s="17"/>
      <c r="L894" s="17"/>
      <c r="M894" s="12"/>
    </row>
    <row r="895" ht="13.5" customHeight="1">
      <c r="A895" s="17"/>
      <c r="B895" s="12"/>
      <c r="C895" s="17"/>
      <c r="D895" s="17"/>
      <c r="E895" s="12"/>
      <c r="F895" s="12"/>
      <c r="G895" s="17"/>
      <c r="H895" s="17"/>
      <c r="I895" s="12"/>
      <c r="J895" s="12"/>
      <c r="K895" s="17"/>
      <c r="L895" s="17"/>
      <c r="M895" s="12"/>
    </row>
    <row r="896" ht="13.5" customHeight="1">
      <c r="A896" s="17"/>
      <c r="B896" s="12"/>
      <c r="C896" s="17"/>
      <c r="D896" s="17"/>
      <c r="E896" s="12"/>
      <c r="F896" s="12"/>
      <c r="G896" s="17"/>
      <c r="H896" s="17"/>
      <c r="I896" s="12"/>
      <c r="J896" s="12"/>
      <c r="K896" s="17"/>
      <c r="L896" s="17"/>
      <c r="M896" s="12"/>
    </row>
    <row r="897" ht="13.5" customHeight="1">
      <c r="A897" s="17"/>
      <c r="B897" s="12"/>
      <c r="C897" s="17"/>
      <c r="D897" s="17"/>
      <c r="E897" s="12"/>
      <c r="F897" s="12"/>
      <c r="G897" s="17"/>
      <c r="H897" s="17"/>
      <c r="I897" s="12"/>
      <c r="J897" s="12"/>
      <c r="K897" s="17"/>
      <c r="L897" s="17"/>
      <c r="M897" s="12"/>
    </row>
    <row r="898" ht="13.5" customHeight="1">
      <c r="A898" s="17"/>
      <c r="B898" s="12"/>
      <c r="C898" s="17"/>
      <c r="D898" s="17"/>
      <c r="E898" s="12"/>
      <c r="F898" s="12"/>
      <c r="G898" s="17"/>
      <c r="H898" s="17"/>
      <c r="I898" s="12"/>
      <c r="J898" s="12"/>
      <c r="K898" s="17"/>
      <c r="L898" s="17"/>
      <c r="M898" s="12"/>
    </row>
    <row r="899" ht="13.5" customHeight="1">
      <c r="A899" s="17"/>
      <c r="B899" s="12"/>
      <c r="C899" s="17"/>
      <c r="D899" s="17"/>
      <c r="E899" s="12"/>
      <c r="F899" s="12"/>
      <c r="G899" s="17"/>
      <c r="H899" s="17"/>
      <c r="I899" s="12"/>
      <c r="J899" s="12"/>
      <c r="K899" s="17"/>
      <c r="L899" s="17"/>
      <c r="M899" s="12"/>
    </row>
    <row r="900" ht="13.5" customHeight="1">
      <c r="A900" s="17"/>
      <c r="B900" s="12"/>
      <c r="C900" s="17"/>
      <c r="D900" s="17"/>
      <c r="E900" s="12"/>
      <c r="F900" s="12"/>
      <c r="G900" s="17"/>
      <c r="H900" s="17"/>
      <c r="I900" s="12"/>
      <c r="J900" s="12"/>
      <c r="K900" s="17"/>
      <c r="L900" s="17"/>
      <c r="M900" s="12"/>
    </row>
    <row r="901" ht="13.5" customHeight="1">
      <c r="A901" s="17"/>
      <c r="B901" s="12"/>
      <c r="C901" s="17"/>
      <c r="D901" s="17"/>
      <c r="E901" s="12"/>
      <c r="F901" s="12"/>
      <c r="G901" s="17"/>
      <c r="H901" s="17"/>
      <c r="I901" s="12"/>
      <c r="J901" s="12"/>
      <c r="K901" s="17"/>
      <c r="L901" s="17"/>
      <c r="M901" s="12"/>
    </row>
    <row r="902" ht="13.5" customHeight="1">
      <c r="A902" s="17"/>
      <c r="B902" s="12"/>
      <c r="C902" s="17"/>
      <c r="D902" s="17"/>
      <c r="E902" s="12"/>
      <c r="F902" s="12"/>
      <c r="G902" s="17"/>
      <c r="H902" s="17"/>
      <c r="I902" s="12"/>
      <c r="J902" s="12"/>
      <c r="K902" s="17"/>
      <c r="L902" s="17"/>
      <c r="M902" s="12"/>
    </row>
    <row r="903" ht="13.5" customHeight="1">
      <c r="A903" s="17"/>
      <c r="B903" s="12"/>
      <c r="C903" s="17"/>
      <c r="D903" s="17"/>
      <c r="E903" s="12"/>
      <c r="F903" s="12"/>
      <c r="G903" s="17"/>
      <c r="H903" s="17"/>
      <c r="I903" s="12"/>
      <c r="J903" s="12"/>
      <c r="K903" s="17"/>
      <c r="L903" s="17"/>
      <c r="M903" s="12"/>
    </row>
    <row r="904" ht="13.5" customHeight="1">
      <c r="A904" s="17"/>
      <c r="B904" s="12"/>
      <c r="C904" s="17"/>
      <c r="D904" s="17"/>
      <c r="E904" s="12"/>
      <c r="F904" s="12"/>
      <c r="G904" s="17"/>
      <c r="H904" s="17"/>
      <c r="I904" s="12"/>
      <c r="J904" s="12"/>
      <c r="K904" s="17"/>
      <c r="L904" s="17"/>
      <c r="M904" s="12"/>
    </row>
    <row r="905" ht="13.5" customHeight="1">
      <c r="A905" s="17"/>
      <c r="B905" s="12"/>
      <c r="C905" s="17"/>
      <c r="D905" s="17"/>
      <c r="E905" s="12"/>
      <c r="F905" s="12"/>
      <c r="G905" s="17"/>
      <c r="H905" s="17"/>
      <c r="I905" s="12"/>
      <c r="J905" s="12"/>
      <c r="K905" s="17"/>
      <c r="L905" s="17"/>
      <c r="M905" s="12"/>
    </row>
    <row r="906" ht="13.5" customHeight="1">
      <c r="A906" s="17"/>
      <c r="B906" s="12"/>
      <c r="C906" s="17"/>
      <c r="D906" s="17"/>
      <c r="E906" s="12"/>
      <c r="F906" s="12"/>
      <c r="G906" s="17"/>
      <c r="H906" s="17"/>
      <c r="I906" s="12"/>
      <c r="J906" s="12"/>
      <c r="K906" s="17"/>
      <c r="L906" s="17"/>
      <c r="M906" s="12"/>
    </row>
    <row r="907" ht="13.5" customHeight="1">
      <c r="A907" s="17"/>
      <c r="B907" s="12"/>
      <c r="C907" s="17"/>
      <c r="D907" s="17"/>
      <c r="E907" s="12"/>
      <c r="F907" s="12"/>
      <c r="G907" s="17"/>
      <c r="H907" s="17"/>
      <c r="I907" s="12"/>
      <c r="J907" s="12"/>
      <c r="K907" s="17"/>
      <c r="L907" s="17"/>
      <c r="M907" s="12"/>
    </row>
    <row r="908" ht="13.5" customHeight="1">
      <c r="A908" s="17"/>
      <c r="B908" s="12"/>
      <c r="C908" s="17"/>
      <c r="D908" s="17"/>
      <c r="E908" s="12"/>
      <c r="F908" s="12"/>
      <c r="G908" s="17"/>
      <c r="H908" s="17"/>
      <c r="I908" s="12"/>
      <c r="J908" s="12"/>
      <c r="K908" s="17"/>
      <c r="L908" s="17"/>
      <c r="M908" s="12"/>
    </row>
    <row r="909" ht="13.5" customHeight="1">
      <c r="A909" s="17"/>
      <c r="B909" s="12"/>
      <c r="C909" s="17"/>
      <c r="D909" s="17"/>
      <c r="E909" s="12"/>
      <c r="F909" s="12"/>
      <c r="G909" s="17"/>
      <c r="H909" s="17"/>
      <c r="I909" s="12"/>
      <c r="J909" s="12"/>
      <c r="K909" s="17"/>
      <c r="L909" s="17"/>
      <c r="M909" s="12"/>
    </row>
    <row r="910" ht="13.5" customHeight="1">
      <c r="A910" s="17"/>
      <c r="B910" s="12"/>
      <c r="C910" s="17"/>
      <c r="D910" s="17"/>
      <c r="E910" s="12"/>
      <c r="F910" s="12"/>
      <c r="G910" s="17"/>
      <c r="H910" s="17"/>
      <c r="I910" s="12"/>
      <c r="J910" s="12"/>
      <c r="K910" s="17"/>
      <c r="L910" s="17"/>
      <c r="M910" s="12"/>
    </row>
    <row r="911" ht="13.5" customHeight="1">
      <c r="A911" s="17"/>
      <c r="B911" s="12"/>
      <c r="C911" s="17"/>
      <c r="D911" s="17"/>
      <c r="E911" s="12"/>
      <c r="F911" s="12"/>
      <c r="G911" s="17"/>
      <c r="H911" s="17"/>
      <c r="I911" s="12"/>
      <c r="J911" s="12"/>
      <c r="K911" s="17"/>
      <c r="L911" s="17"/>
      <c r="M911" s="12"/>
    </row>
    <row r="912" ht="13.5" customHeight="1">
      <c r="A912" s="17"/>
      <c r="B912" s="12"/>
      <c r="C912" s="17"/>
      <c r="D912" s="17"/>
      <c r="E912" s="12"/>
      <c r="F912" s="12"/>
      <c r="G912" s="17"/>
      <c r="H912" s="17"/>
      <c r="I912" s="12"/>
      <c r="J912" s="12"/>
      <c r="K912" s="17"/>
      <c r="L912" s="17"/>
      <c r="M912" s="12"/>
    </row>
    <row r="913" ht="13.5" customHeight="1">
      <c r="A913" s="17"/>
      <c r="B913" s="12"/>
      <c r="C913" s="17"/>
      <c r="D913" s="17"/>
      <c r="E913" s="12"/>
      <c r="F913" s="12"/>
      <c r="G913" s="17"/>
      <c r="H913" s="17"/>
      <c r="I913" s="12"/>
      <c r="J913" s="12"/>
      <c r="K913" s="17"/>
      <c r="L913" s="17"/>
      <c r="M913" s="12"/>
    </row>
    <row r="914" ht="13.5" customHeight="1">
      <c r="A914" s="17"/>
      <c r="B914" s="12"/>
      <c r="C914" s="17"/>
      <c r="D914" s="17"/>
      <c r="E914" s="12"/>
      <c r="F914" s="12"/>
      <c r="G914" s="17"/>
      <c r="H914" s="17"/>
      <c r="I914" s="12"/>
      <c r="J914" s="12"/>
      <c r="K914" s="17"/>
      <c r="L914" s="17"/>
      <c r="M914" s="12"/>
    </row>
    <row r="915" ht="13.5" customHeight="1">
      <c r="A915" s="17"/>
      <c r="B915" s="12"/>
      <c r="C915" s="17"/>
      <c r="D915" s="17"/>
      <c r="E915" s="12"/>
      <c r="F915" s="12"/>
      <c r="G915" s="17"/>
      <c r="H915" s="17"/>
      <c r="I915" s="12"/>
      <c r="J915" s="12"/>
      <c r="K915" s="17"/>
      <c r="L915" s="17"/>
      <c r="M915" s="12"/>
    </row>
    <row r="916" ht="13.5" customHeight="1">
      <c r="A916" s="17"/>
      <c r="B916" s="12"/>
      <c r="C916" s="17"/>
      <c r="D916" s="17"/>
      <c r="E916" s="12"/>
      <c r="F916" s="12"/>
      <c r="G916" s="17"/>
      <c r="H916" s="17"/>
      <c r="I916" s="12"/>
      <c r="J916" s="12"/>
      <c r="K916" s="17"/>
      <c r="L916" s="17"/>
      <c r="M916" s="12"/>
    </row>
    <row r="917" ht="13.5" customHeight="1">
      <c r="A917" s="17"/>
      <c r="B917" s="12"/>
      <c r="C917" s="17"/>
      <c r="D917" s="17"/>
      <c r="E917" s="12"/>
      <c r="F917" s="12"/>
      <c r="G917" s="17"/>
      <c r="H917" s="17"/>
      <c r="I917" s="12"/>
      <c r="J917" s="12"/>
      <c r="K917" s="17"/>
      <c r="L917" s="17"/>
      <c r="M917" s="12"/>
    </row>
    <row r="918" ht="13.5" customHeight="1">
      <c r="A918" s="17"/>
      <c r="B918" s="12"/>
      <c r="C918" s="17"/>
      <c r="D918" s="17"/>
      <c r="E918" s="12"/>
      <c r="F918" s="12"/>
      <c r="G918" s="17"/>
      <c r="H918" s="17"/>
      <c r="I918" s="12"/>
      <c r="J918" s="12"/>
      <c r="K918" s="17"/>
      <c r="L918" s="17"/>
      <c r="M918" s="12"/>
    </row>
    <row r="919" ht="13.5" customHeight="1">
      <c r="A919" s="17"/>
      <c r="B919" s="12"/>
      <c r="C919" s="17"/>
      <c r="D919" s="17"/>
      <c r="E919" s="12"/>
      <c r="F919" s="12"/>
      <c r="G919" s="17"/>
      <c r="H919" s="17"/>
      <c r="I919" s="12"/>
      <c r="J919" s="12"/>
      <c r="K919" s="17"/>
      <c r="L919" s="17"/>
      <c r="M919" s="12"/>
    </row>
    <row r="920" ht="13.5" customHeight="1">
      <c r="A920" s="17"/>
      <c r="B920" s="12"/>
      <c r="C920" s="17"/>
      <c r="D920" s="17"/>
      <c r="E920" s="12"/>
      <c r="F920" s="12"/>
      <c r="G920" s="17"/>
      <c r="H920" s="17"/>
      <c r="I920" s="12"/>
      <c r="J920" s="12"/>
      <c r="K920" s="17"/>
      <c r="L920" s="17"/>
      <c r="M920" s="12"/>
    </row>
    <row r="921" ht="13.5" customHeight="1">
      <c r="A921" s="17"/>
      <c r="B921" s="12"/>
      <c r="C921" s="17"/>
      <c r="D921" s="17"/>
      <c r="E921" s="12"/>
      <c r="F921" s="12"/>
      <c r="G921" s="17"/>
      <c r="H921" s="17"/>
      <c r="I921" s="12"/>
      <c r="J921" s="12"/>
      <c r="K921" s="17"/>
      <c r="L921" s="17"/>
      <c r="M921" s="12"/>
    </row>
    <row r="922" ht="13.5" customHeight="1">
      <c r="A922" s="17"/>
      <c r="B922" s="12"/>
      <c r="C922" s="17"/>
      <c r="D922" s="17"/>
      <c r="E922" s="12"/>
      <c r="F922" s="12"/>
      <c r="G922" s="17"/>
      <c r="H922" s="17"/>
      <c r="I922" s="12"/>
      <c r="J922" s="12"/>
      <c r="K922" s="17"/>
      <c r="L922" s="17"/>
      <c r="M922" s="12"/>
    </row>
    <row r="923" ht="13.5" customHeight="1">
      <c r="A923" s="17"/>
      <c r="B923" s="12"/>
      <c r="C923" s="17"/>
      <c r="D923" s="17"/>
      <c r="E923" s="12"/>
      <c r="F923" s="12"/>
      <c r="G923" s="17"/>
      <c r="H923" s="17"/>
      <c r="I923" s="12"/>
      <c r="J923" s="12"/>
      <c r="K923" s="17"/>
      <c r="L923" s="17"/>
      <c r="M923" s="12"/>
    </row>
    <row r="924" ht="13.5" customHeight="1">
      <c r="A924" s="17"/>
      <c r="B924" s="12"/>
      <c r="C924" s="17"/>
      <c r="D924" s="17"/>
      <c r="E924" s="12"/>
      <c r="F924" s="12"/>
      <c r="G924" s="17"/>
      <c r="H924" s="17"/>
      <c r="I924" s="12"/>
      <c r="J924" s="12"/>
      <c r="K924" s="17"/>
      <c r="L924" s="17"/>
      <c r="M924" s="12"/>
    </row>
    <row r="925" ht="13.5" customHeight="1">
      <c r="A925" s="17"/>
      <c r="B925" s="12"/>
      <c r="C925" s="17"/>
      <c r="D925" s="17"/>
      <c r="E925" s="12"/>
      <c r="F925" s="12"/>
      <c r="G925" s="17"/>
      <c r="H925" s="17"/>
      <c r="I925" s="12"/>
      <c r="J925" s="12"/>
      <c r="K925" s="17"/>
      <c r="L925" s="17"/>
      <c r="M925" s="12"/>
    </row>
    <row r="926" ht="13.5" customHeight="1">
      <c r="A926" s="17"/>
      <c r="B926" s="12"/>
      <c r="C926" s="17"/>
      <c r="D926" s="17"/>
      <c r="E926" s="12"/>
      <c r="F926" s="12"/>
      <c r="G926" s="17"/>
      <c r="H926" s="17"/>
      <c r="I926" s="12"/>
      <c r="J926" s="12"/>
      <c r="K926" s="17"/>
      <c r="L926" s="17"/>
      <c r="M926" s="12"/>
    </row>
    <row r="927" ht="13.5" customHeight="1">
      <c r="A927" s="17"/>
      <c r="B927" s="12"/>
      <c r="C927" s="17"/>
      <c r="D927" s="17"/>
      <c r="E927" s="12"/>
      <c r="F927" s="12"/>
      <c r="G927" s="17"/>
      <c r="H927" s="17"/>
      <c r="I927" s="12"/>
      <c r="J927" s="12"/>
      <c r="K927" s="17"/>
      <c r="L927" s="17"/>
      <c r="M927" s="12"/>
    </row>
    <row r="928" ht="13.5" customHeight="1">
      <c r="A928" s="17"/>
      <c r="B928" s="12"/>
      <c r="C928" s="17"/>
      <c r="D928" s="17"/>
      <c r="E928" s="12"/>
      <c r="F928" s="12"/>
      <c r="G928" s="17"/>
      <c r="H928" s="17"/>
      <c r="I928" s="12"/>
      <c r="J928" s="12"/>
      <c r="K928" s="17"/>
      <c r="L928" s="17"/>
      <c r="M928" s="12"/>
    </row>
    <row r="929" ht="13.5" customHeight="1">
      <c r="A929" s="17"/>
      <c r="B929" s="12"/>
      <c r="C929" s="17"/>
      <c r="D929" s="17"/>
      <c r="E929" s="12"/>
      <c r="F929" s="12"/>
      <c r="G929" s="17"/>
      <c r="H929" s="17"/>
      <c r="I929" s="12"/>
      <c r="J929" s="12"/>
      <c r="K929" s="17"/>
      <c r="L929" s="17"/>
      <c r="M929" s="12"/>
    </row>
    <row r="930" ht="13.5" customHeight="1">
      <c r="A930" s="17"/>
      <c r="B930" s="12"/>
      <c r="C930" s="17"/>
      <c r="D930" s="17"/>
      <c r="E930" s="12"/>
      <c r="F930" s="12"/>
      <c r="G930" s="17"/>
      <c r="H930" s="17"/>
      <c r="I930" s="12"/>
      <c r="J930" s="12"/>
      <c r="K930" s="17"/>
      <c r="L930" s="17"/>
      <c r="M930" s="12"/>
    </row>
    <row r="931" ht="13.5" customHeight="1">
      <c r="A931" s="17"/>
      <c r="B931" s="12"/>
      <c r="C931" s="17"/>
      <c r="D931" s="17"/>
      <c r="E931" s="12"/>
      <c r="F931" s="12"/>
      <c r="G931" s="17"/>
      <c r="H931" s="17"/>
      <c r="I931" s="12"/>
      <c r="J931" s="12"/>
      <c r="K931" s="17"/>
      <c r="L931" s="17"/>
      <c r="M931" s="12"/>
    </row>
    <row r="932" ht="13.5" customHeight="1">
      <c r="A932" s="17"/>
      <c r="B932" s="12"/>
      <c r="C932" s="17"/>
      <c r="D932" s="17"/>
      <c r="E932" s="12"/>
      <c r="F932" s="12"/>
      <c r="G932" s="17"/>
      <c r="H932" s="17"/>
      <c r="I932" s="12"/>
      <c r="J932" s="12"/>
      <c r="K932" s="17"/>
      <c r="L932" s="17"/>
      <c r="M932" s="12"/>
    </row>
    <row r="933" ht="13.5" customHeight="1">
      <c r="A933" s="17"/>
      <c r="B933" s="12"/>
      <c r="C933" s="17"/>
      <c r="D933" s="17"/>
      <c r="E933" s="12"/>
      <c r="F933" s="12"/>
      <c r="G933" s="17"/>
      <c r="H933" s="17"/>
      <c r="I933" s="12"/>
      <c r="J933" s="12"/>
      <c r="K933" s="17"/>
      <c r="L933" s="17"/>
      <c r="M933" s="12"/>
    </row>
    <row r="934" ht="13.5" customHeight="1">
      <c r="A934" s="17"/>
      <c r="B934" s="12"/>
      <c r="C934" s="17"/>
      <c r="D934" s="17"/>
      <c r="E934" s="12"/>
      <c r="F934" s="12"/>
      <c r="G934" s="17"/>
      <c r="H934" s="17"/>
      <c r="I934" s="12"/>
      <c r="J934" s="12"/>
      <c r="K934" s="17"/>
      <c r="L934" s="17"/>
      <c r="M934" s="12"/>
    </row>
    <row r="935" ht="13.5" customHeight="1">
      <c r="A935" s="17"/>
      <c r="B935" s="12"/>
      <c r="C935" s="17"/>
      <c r="D935" s="17"/>
      <c r="E935" s="12"/>
      <c r="F935" s="12"/>
      <c r="G935" s="17"/>
      <c r="H935" s="17"/>
      <c r="I935" s="12"/>
      <c r="J935" s="12"/>
      <c r="K935" s="17"/>
      <c r="L935" s="17"/>
      <c r="M935" s="12"/>
    </row>
    <row r="936" ht="13.5" customHeight="1">
      <c r="A936" s="17"/>
      <c r="B936" s="12"/>
      <c r="C936" s="17"/>
      <c r="D936" s="17"/>
      <c r="E936" s="12"/>
      <c r="F936" s="12"/>
      <c r="G936" s="17"/>
      <c r="H936" s="17"/>
      <c r="I936" s="12"/>
      <c r="J936" s="12"/>
      <c r="K936" s="17"/>
      <c r="L936" s="17"/>
      <c r="M936" s="12"/>
    </row>
    <row r="937" ht="13.5" customHeight="1">
      <c r="A937" s="17"/>
      <c r="B937" s="12"/>
      <c r="C937" s="17"/>
      <c r="D937" s="17"/>
      <c r="E937" s="12"/>
      <c r="F937" s="12"/>
      <c r="G937" s="17"/>
      <c r="H937" s="17"/>
      <c r="I937" s="12"/>
      <c r="J937" s="12"/>
      <c r="K937" s="17"/>
      <c r="L937" s="17"/>
      <c r="M937" s="12"/>
    </row>
    <row r="938" ht="13.5" customHeight="1">
      <c r="A938" s="17"/>
      <c r="B938" s="12"/>
      <c r="C938" s="17"/>
      <c r="D938" s="17"/>
      <c r="E938" s="12"/>
      <c r="F938" s="12"/>
      <c r="G938" s="17"/>
      <c r="H938" s="17"/>
      <c r="I938" s="12"/>
      <c r="J938" s="12"/>
      <c r="K938" s="17"/>
      <c r="L938" s="17"/>
      <c r="M938" s="12"/>
    </row>
    <row r="939" ht="13.5" customHeight="1">
      <c r="A939" s="17"/>
      <c r="B939" s="12"/>
      <c r="C939" s="17"/>
      <c r="D939" s="17"/>
      <c r="E939" s="12"/>
      <c r="F939" s="12"/>
      <c r="G939" s="17"/>
      <c r="H939" s="17"/>
      <c r="I939" s="12"/>
      <c r="J939" s="12"/>
      <c r="K939" s="17"/>
      <c r="L939" s="17"/>
      <c r="M939" s="12"/>
    </row>
    <row r="940" ht="13.5" customHeight="1">
      <c r="A940" s="17"/>
      <c r="B940" s="12"/>
      <c r="C940" s="17"/>
      <c r="D940" s="17"/>
      <c r="E940" s="12"/>
      <c r="F940" s="12"/>
      <c r="G940" s="17"/>
      <c r="H940" s="17"/>
      <c r="I940" s="12"/>
      <c r="J940" s="12"/>
      <c r="K940" s="17"/>
      <c r="L940" s="17"/>
      <c r="M940" s="12"/>
    </row>
    <row r="941" ht="13.5" customHeight="1">
      <c r="A941" s="17"/>
      <c r="B941" s="12"/>
      <c r="C941" s="17"/>
      <c r="D941" s="17"/>
      <c r="E941" s="12"/>
      <c r="F941" s="12"/>
      <c r="G941" s="17"/>
      <c r="H941" s="17"/>
      <c r="I941" s="12"/>
      <c r="J941" s="12"/>
      <c r="K941" s="17"/>
      <c r="L941" s="17"/>
      <c r="M941" s="12"/>
    </row>
    <row r="942" ht="13.5" customHeight="1">
      <c r="A942" s="17"/>
      <c r="B942" s="12"/>
      <c r="C942" s="17"/>
      <c r="D942" s="17"/>
      <c r="E942" s="12"/>
      <c r="F942" s="12"/>
      <c r="G942" s="17"/>
      <c r="H942" s="17"/>
      <c r="I942" s="12"/>
      <c r="J942" s="12"/>
      <c r="K942" s="17"/>
      <c r="L942" s="17"/>
      <c r="M942" s="12"/>
    </row>
    <row r="943" ht="13.5" customHeight="1">
      <c r="A943" s="17"/>
      <c r="B943" s="12"/>
      <c r="C943" s="17"/>
      <c r="D943" s="17"/>
      <c r="E943" s="12"/>
      <c r="F943" s="12"/>
      <c r="G943" s="17"/>
      <c r="H943" s="17"/>
      <c r="I943" s="12"/>
      <c r="J943" s="12"/>
      <c r="K943" s="17"/>
      <c r="L943" s="17"/>
      <c r="M943" s="12"/>
    </row>
    <row r="944" ht="13.5" customHeight="1">
      <c r="A944" s="17"/>
      <c r="B944" s="12"/>
      <c r="C944" s="17"/>
      <c r="D944" s="17"/>
      <c r="E944" s="12"/>
      <c r="F944" s="12"/>
      <c r="G944" s="17"/>
      <c r="H944" s="17"/>
      <c r="I944" s="12"/>
      <c r="J944" s="12"/>
      <c r="K944" s="17"/>
      <c r="L944" s="17"/>
      <c r="M944" s="12"/>
    </row>
    <row r="945" ht="13.5" customHeight="1">
      <c r="A945" s="17"/>
      <c r="B945" s="12"/>
      <c r="C945" s="17"/>
      <c r="D945" s="17"/>
      <c r="E945" s="12"/>
      <c r="F945" s="12"/>
      <c r="G945" s="17"/>
      <c r="H945" s="17"/>
      <c r="I945" s="12"/>
      <c r="J945" s="12"/>
      <c r="K945" s="17"/>
      <c r="L945" s="17"/>
      <c r="M945" s="12"/>
    </row>
    <row r="946" ht="13.5" customHeight="1">
      <c r="A946" s="17"/>
      <c r="B946" s="12"/>
      <c r="C946" s="17"/>
      <c r="D946" s="17"/>
      <c r="E946" s="12"/>
      <c r="F946" s="12"/>
      <c r="G946" s="17"/>
      <c r="H946" s="17"/>
      <c r="I946" s="12"/>
      <c r="J946" s="12"/>
      <c r="K946" s="17"/>
      <c r="L946" s="17"/>
      <c r="M946" s="12"/>
    </row>
    <row r="947" ht="13.5" customHeight="1">
      <c r="A947" s="17"/>
      <c r="B947" s="12"/>
      <c r="C947" s="17"/>
      <c r="D947" s="17"/>
      <c r="E947" s="12"/>
      <c r="F947" s="12"/>
      <c r="G947" s="17"/>
      <c r="H947" s="17"/>
      <c r="I947" s="12"/>
      <c r="J947" s="12"/>
      <c r="K947" s="17"/>
      <c r="L947" s="17"/>
      <c r="M947" s="12"/>
    </row>
    <row r="948" ht="13.5" customHeight="1">
      <c r="A948" s="17"/>
      <c r="B948" s="12"/>
      <c r="C948" s="17"/>
      <c r="D948" s="17"/>
      <c r="E948" s="12"/>
      <c r="F948" s="12"/>
      <c r="G948" s="17"/>
      <c r="H948" s="17"/>
      <c r="I948" s="12"/>
      <c r="J948" s="12"/>
      <c r="K948" s="17"/>
      <c r="L948" s="17"/>
      <c r="M948" s="12"/>
    </row>
    <row r="949" ht="13.5" customHeight="1">
      <c r="A949" s="17"/>
      <c r="B949" s="12"/>
      <c r="C949" s="17"/>
      <c r="D949" s="17"/>
      <c r="E949" s="12"/>
      <c r="F949" s="12"/>
      <c r="G949" s="17"/>
      <c r="H949" s="17"/>
      <c r="I949" s="12"/>
      <c r="J949" s="12"/>
      <c r="K949" s="17"/>
      <c r="L949" s="17"/>
      <c r="M949" s="12"/>
    </row>
    <row r="950" ht="13.5" customHeight="1">
      <c r="A950" s="17"/>
      <c r="B950" s="12"/>
      <c r="C950" s="17"/>
      <c r="D950" s="17"/>
      <c r="E950" s="12"/>
      <c r="F950" s="12"/>
      <c r="G950" s="17"/>
      <c r="H950" s="17"/>
      <c r="I950" s="12"/>
      <c r="J950" s="12"/>
      <c r="K950" s="17"/>
      <c r="L950" s="17"/>
      <c r="M950" s="12"/>
    </row>
    <row r="951" ht="13.5" customHeight="1">
      <c r="A951" s="17"/>
      <c r="B951" s="12"/>
      <c r="C951" s="17"/>
      <c r="D951" s="17"/>
      <c r="E951" s="12"/>
      <c r="F951" s="12"/>
      <c r="G951" s="17"/>
      <c r="H951" s="17"/>
      <c r="I951" s="12"/>
      <c r="J951" s="12"/>
      <c r="K951" s="17"/>
      <c r="L951" s="17"/>
      <c r="M951" s="12"/>
    </row>
    <row r="952" ht="13.5" customHeight="1">
      <c r="A952" s="17"/>
      <c r="B952" s="12"/>
      <c r="C952" s="17"/>
      <c r="D952" s="17"/>
      <c r="E952" s="12"/>
      <c r="F952" s="12"/>
      <c r="G952" s="17"/>
      <c r="H952" s="17"/>
      <c r="I952" s="12"/>
      <c r="J952" s="12"/>
      <c r="K952" s="17"/>
      <c r="L952" s="17"/>
      <c r="M952" s="12"/>
    </row>
    <row r="953" ht="13.5" customHeight="1">
      <c r="A953" s="17"/>
      <c r="B953" s="12"/>
      <c r="C953" s="17"/>
      <c r="D953" s="17"/>
      <c r="E953" s="12"/>
      <c r="F953" s="12"/>
      <c r="G953" s="17"/>
      <c r="H953" s="17"/>
      <c r="I953" s="12"/>
      <c r="J953" s="12"/>
      <c r="K953" s="17"/>
      <c r="L953" s="17"/>
      <c r="M953" s="12"/>
    </row>
    <row r="954" ht="13.5" customHeight="1">
      <c r="A954" s="17"/>
      <c r="B954" s="12"/>
      <c r="C954" s="17"/>
      <c r="D954" s="17"/>
      <c r="E954" s="12"/>
      <c r="F954" s="12"/>
      <c r="G954" s="17"/>
      <c r="H954" s="17"/>
      <c r="I954" s="12"/>
      <c r="J954" s="12"/>
      <c r="K954" s="17"/>
      <c r="L954" s="17"/>
      <c r="M954" s="12"/>
    </row>
    <row r="955" ht="13.5" customHeight="1">
      <c r="A955" s="17"/>
      <c r="B955" s="12"/>
      <c r="C955" s="17"/>
      <c r="D955" s="17"/>
      <c r="E955" s="12"/>
      <c r="F955" s="12"/>
      <c r="G955" s="17"/>
      <c r="H955" s="17"/>
      <c r="I955" s="12"/>
      <c r="J955" s="12"/>
      <c r="K955" s="17"/>
      <c r="L955" s="17"/>
      <c r="M955" s="12"/>
    </row>
    <row r="956" ht="13.5" customHeight="1">
      <c r="A956" s="17"/>
      <c r="B956" s="12"/>
      <c r="C956" s="17"/>
      <c r="D956" s="17"/>
      <c r="E956" s="12"/>
      <c r="F956" s="12"/>
      <c r="G956" s="17"/>
      <c r="H956" s="17"/>
      <c r="I956" s="12"/>
      <c r="J956" s="12"/>
      <c r="K956" s="17"/>
      <c r="L956" s="17"/>
      <c r="M956" s="12"/>
    </row>
    <row r="957" ht="13.5" customHeight="1">
      <c r="A957" s="17"/>
      <c r="B957" s="12"/>
      <c r="C957" s="17"/>
      <c r="D957" s="17"/>
      <c r="E957" s="12"/>
      <c r="F957" s="12"/>
      <c r="G957" s="17"/>
      <c r="H957" s="17"/>
      <c r="I957" s="12"/>
      <c r="J957" s="12"/>
      <c r="K957" s="17"/>
      <c r="L957" s="17"/>
      <c r="M957" s="12"/>
    </row>
    <row r="958" ht="13.5" customHeight="1">
      <c r="A958" s="17"/>
      <c r="B958" s="12"/>
      <c r="C958" s="17"/>
      <c r="D958" s="17"/>
      <c r="E958" s="12"/>
      <c r="F958" s="12"/>
      <c r="G958" s="17"/>
      <c r="H958" s="17"/>
      <c r="I958" s="12"/>
      <c r="J958" s="12"/>
      <c r="K958" s="17"/>
      <c r="L958" s="17"/>
      <c r="M958" s="12"/>
    </row>
    <row r="959" ht="13.5" customHeight="1">
      <c r="A959" s="17"/>
      <c r="B959" s="12"/>
      <c r="C959" s="17"/>
      <c r="D959" s="17"/>
      <c r="E959" s="12"/>
      <c r="F959" s="12"/>
      <c r="G959" s="17"/>
      <c r="H959" s="17"/>
      <c r="I959" s="12"/>
      <c r="J959" s="12"/>
      <c r="K959" s="17"/>
      <c r="L959" s="17"/>
      <c r="M959" s="12"/>
    </row>
    <row r="960" ht="13.5" customHeight="1">
      <c r="A960" s="17"/>
      <c r="B960" s="12"/>
      <c r="C960" s="17"/>
      <c r="D960" s="17"/>
      <c r="E960" s="12"/>
      <c r="F960" s="12"/>
      <c r="G960" s="17"/>
      <c r="H960" s="17"/>
      <c r="I960" s="12"/>
      <c r="J960" s="12"/>
      <c r="K960" s="17"/>
      <c r="L960" s="17"/>
      <c r="M960" s="12"/>
    </row>
    <row r="961" ht="13.5" customHeight="1">
      <c r="A961" s="17"/>
      <c r="B961" s="12"/>
      <c r="C961" s="17"/>
      <c r="D961" s="17"/>
      <c r="E961" s="12"/>
      <c r="F961" s="12"/>
      <c r="G961" s="17"/>
      <c r="H961" s="17"/>
      <c r="I961" s="12"/>
      <c r="J961" s="12"/>
      <c r="K961" s="17"/>
      <c r="L961" s="17"/>
      <c r="M961" s="12"/>
    </row>
    <row r="962" ht="13.5" customHeight="1">
      <c r="A962" s="17"/>
      <c r="B962" s="12"/>
      <c r="C962" s="17"/>
      <c r="D962" s="17"/>
      <c r="E962" s="12"/>
      <c r="F962" s="12"/>
      <c r="G962" s="17"/>
      <c r="H962" s="17"/>
      <c r="I962" s="12"/>
      <c r="J962" s="12"/>
      <c r="K962" s="17"/>
      <c r="L962" s="17"/>
      <c r="M962" s="12"/>
    </row>
    <row r="963" ht="13.5" customHeight="1">
      <c r="A963" s="17"/>
      <c r="B963" s="12"/>
      <c r="C963" s="17"/>
      <c r="D963" s="17"/>
      <c r="E963" s="12"/>
      <c r="F963" s="12"/>
      <c r="G963" s="17"/>
      <c r="H963" s="17"/>
      <c r="I963" s="12"/>
      <c r="J963" s="12"/>
      <c r="K963" s="17"/>
      <c r="L963" s="17"/>
      <c r="M963" s="12"/>
    </row>
    <row r="964" ht="13.5" customHeight="1">
      <c r="A964" s="17"/>
      <c r="B964" s="12"/>
      <c r="C964" s="17"/>
      <c r="D964" s="17"/>
      <c r="E964" s="12"/>
      <c r="F964" s="12"/>
      <c r="G964" s="17"/>
      <c r="H964" s="17"/>
      <c r="I964" s="12"/>
      <c r="J964" s="12"/>
      <c r="K964" s="17"/>
      <c r="L964" s="17"/>
      <c r="M964" s="12"/>
    </row>
    <row r="965" ht="13.5" customHeight="1">
      <c r="A965" s="17"/>
      <c r="B965" s="12"/>
      <c r="C965" s="17"/>
      <c r="D965" s="17"/>
      <c r="E965" s="12"/>
      <c r="F965" s="12"/>
      <c r="G965" s="17"/>
      <c r="H965" s="17"/>
      <c r="I965" s="12"/>
      <c r="J965" s="12"/>
      <c r="K965" s="17"/>
      <c r="L965" s="17"/>
      <c r="M965" s="12"/>
    </row>
    <row r="966" ht="13.5" customHeight="1">
      <c r="A966" s="17"/>
      <c r="B966" s="12"/>
      <c r="C966" s="17"/>
      <c r="D966" s="17"/>
      <c r="E966" s="12"/>
      <c r="F966" s="12"/>
      <c r="G966" s="17"/>
      <c r="H966" s="17"/>
      <c r="I966" s="12"/>
      <c r="J966" s="12"/>
      <c r="K966" s="17"/>
      <c r="L966" s="17"/>
      <c r="M966" s="12"/>
    </row>
    <row r="967" ht="13.5" customHeight="1">
      <c r="A967" s="17"/>
      <c r="B967" s="12"/>
      <c r="C967" s="17"/>
      <c r="D967" s="17"/>
      <c r="E967" s="12"/>
      <c r="F967" s="12"/>
      <c r="G967" s="17"/>
      <c r="H967" s="17"/>
      <c r="I967" s="12"/>
      <c r="J967" s="12"/>
      <c r="K967" s="17"/>
      <c r="L967" s="17"/>
      <c r="M967" s="12"/>
    </row>
    <row r="968" ht="13.5" customHeight="1">
      <c r="A968" s="17"/>
      <c r="B968" s="12"/>
      <c r="C968" s="17"/>
      <c r="D968" s="17"/>
      <c r="E968" s="12"/>
      <c r="F968" s="12"/>
      <c r="G968" s="17"/>
      <c r="H968" s="17"/>
      <c r="I968" s="12"/>
      <c r="J968" s="12"/>
      <c r="K968" s="17"/>
      <c r="L968" s="17"/>
      <c r="M968" s="12"/>
    </row>
    <row r="969" ht="13.5" customHeight="1">
      <c r="A969" s="17"/>
      <c r="B969" s="12"/>
      <c r="C969" s="17"/>
      <c r="D969" s="17"/>
      <c r="E969" s="12"/>
      <c r="F969" s="12"/>
      <c r="G969" s="17"/>
      <c r="H969" s="17"/>
      <c r="I969" s="12"/>
      <c r="J969" s="12"/>
      <c r="K969" s="17"/>
      <c r="L969" s="17"/>
      <c r="M969" s="12"/>
    </row>
    <row r="970" ht="13.5" customHeight="1">
      <c r="A970" s="17"/>
      <c r="B970" s="12"/>
      <c r="C970" s="17"/>
      <c r="D970" s="17"/>
      <c r="E970" s="12"/>
      <c r="F970" s="12"/>
      <c r="G970" s="17"/>
      <c r="H970" s="17"/>
      <c r="I970" s="12"/>
      <c r="J970" s="12"/>
      <c r="K970" s="17"/>
      <c r="L970" s="17"/>
      <c r="M970" s="12"/>
    </row>
    <row r="971" ht="13.5" customHeight="1">
      <c r="A971" s="17"/>
      <c r="B971" s="12"/>
      <c r="C971" s="17"/>
      <c r="D971" s="17"/>
      <c r="E971" s="12"/>
      <c r="F971" s="12"/>
      <c r="G971" s="17"/>
      <c r="H971" s="17"/>
      <c r="I971" s="12"/>
      <c r="J971" s="12"/>
      <c r="K971" s="17"/>
      <c r="L971" s="17"/>
      <c r="M971" s="12"/>
    </row>
    <row r="972" ht="13.5" customHeight="1">
      <c r="A972" s="17"/>
      <c r="B972" s="12"/>
      <c r="C972" s="17"/>
      <c r="D972" s="17"/>
      <c r="E972" s="12"/>
      <c r="F972" s="12"/>
      <c r="G972" s="17"/>
      <c r="H972" s="17"/>
      <c r="I972" s="12"/>
      <c r="J972" s="12"/>
      <c r="K972" s="17"/>
      <c r="L972" s="17"/>
      <c r="M972" s="12"/>
    </row>
    <row r="973" ht="13.5" customHeight="1">
      <c r="A973" s="17"/>
      <c r="B973" s="12"/>
      <c r="C973" s="17"/>
      <c r="D973" s="17"/>
      <c r="E973" s="12"/>
      <c r="F973" s="12"/>
      <c r="G973" s="17"/>
      <c r="H973" s="17"/>
      <c r="I973" s="12"/>
      <c r="J973" s="12"/>
      <c r="K973" s="17"/>
      <c r="L973" s="17"/>
      <c r="M973" s="12"/>
    </row>
    <row r="974" ht="13.5" customHeight="1">
      <c r="A974" s="17"/>
      <c r="B974" s="12"/>
      <c r="C974" s="17"/>
      <c r="D974" s="17"/>
      <c r="E974" s="12"/>
      <c r="F974" s="12"/>
      <c r="G974" s="17"/>
      <c r="H974" s="17"/>
      <c r="I974" s="12"/>
      <c r="J974" s="12"/>
      <c r="K974" s="17"/>
      <c r="L974" s="17"/>
      <c r="M974" s="12"/>
    </row>
    <row r="975" ht="13.5" customHeight="1">
      <c r="A975" s="17"/>
      <c r="B975" s="12"/>
      <c r="C975" s="17"/>
      <c r="D975" s="17"/>
      <c r="E975" s="12"/>
      <c r="F975" s="12"/>
      <c r="G975" s="17"/>
      <c r="H975" s="17"/>
      <c r="I975" s="12"/>
      <c r="J975" s="12"/>
      <c r="K975" s="17"/>
      <c r="L975" s="17"/>
      <c r="M975" s="12"/>
    </row>
    <row r="976" ht="13.5" customHeight="1">
      <c r="A976" s="17"/>
      <c r="B976" s="12"/>
      <c r="C976" s="17"/>
      <c r="D976" s="17"/>
      <c r="E976" s="12"/>
      <c r="F976" s="12"/>
      <c r="G976" s="17"/>
      <c r="H976" s="17"/>
      <c r="I976" s="12"/>
      <c r="J976" s="12"/>
      <c r="K976" s="17"/>
      <c r="L976" s="17"/>
      <c r="M976" s="12"/>
    </row>
    <row r="977" ht="13.5" customHeight="1">
      <c r="A977" s="17"/>
      <c r="B977" s="12"/>
      <c r="C977" s="17"/>
      <c r="D977" s="17"/>
      <c r="E977" s="12"/>
      <c r="F977" s="12"/>
      <c r="G977" s="17"/>
      <c r="H977" s="17"/>
      <c r="I977" s="12"/>
      <c r="J977" s="12"/>
      <c r="K977" s="17"/>
      <c r="L977" s="17"/>
      <c r="M977" s="12"/>
    </row>
    <row r="978" ht="13.5" customHeight="1">
      <c r="A978" s="17"/>
      <c r="B978" s="12"/>
      <c r="C978" s="17"/>
      <c r="D978" s="17"/>
      <c r="E978" s="12"/>
      <c r="F978" s="12"/>
      <c r="G978" s="17"/>
      <c r="H978" s="17"/>
      <c r="I978" s="12"/>
      <c r="J978" s="12"/>
      <c r="K978" s="17"/>
      <c r="L978" s="17"/>
      <c r="M978" s="12"/>
    </row>
    <row r="979" ht="13.5" customHeight="1">
      <c r="A979" s="17"/>
      <c r="B979" s="12"/>
      <c r="C979" s="17"/>
      <c r="D979" s="17"/>
      <c r="E979" s="12"/>
      <c r="F979" s="12"/>
      <c r="G979" s="17"/>
      <c r="H979" s="17"/>
      <c r="I979" s="12"/>
      <c r="J979" s="12"/>
      <c r="K979" s="17"/>
      <c r="L979" s="17"/>
      <c r="M979" s="12"/>
    </row>
    <row r="980" ht="13.5" customHeight="1">
      <c r="A980" s="17"/>
      <c r="B980" s="12"/>
      <c r="C980" s="17"/>
      <c r="D980" s="17"/>
      <c r="E980" s="12"/>
      <c r="F980" s="12"/>
      <c r="G980" s="17"/>
      <c r="H980" s="17"/>
      <c r="I980" s="12"/>
      <c r="J980" s="12"/>
      <c r="K980" s="17"/>
      <c r="L980" s="17"/>
      <c r="M980" s="12"/>
    </row>
    <row r="981" ht="13.5" customHeight="1">
      <c r="A981" s="17"/>
      <c r="B981" s="12"/>
      <c r="C981" s="17"/>
      <c r="D981" s="17"/>
      <c r="E981" s="12"/>
      <c r="F981" s="12"/>
      <c r="G981" s="17"/>
      <c r="H981" s="17"/>
      <c r="I981" s="12"/>
      <c r="J981" s="12"/>
      <c r="K981" s="17"/>
      <c r="L981" s="17"/>
      <c r="M981" s="12"/>
    </row>
    <row r="982" ht="13.5" customHeight="1">
      <c r="A982" s="17"/>
      <c r="B982" s="12"/>
      <c r="C982" s="17"/>
      <c r="D982" s="17"/>
      <c r="E982" s="12"/>
      <c r="F982" s="12"/>
      <c r="G982" s="17"/>
      <c r="H982" s="17"/>
      <c r="I982" s="12"/>
      <c r="J982" s="12"/>
      <c r="K982" s="17"/>
      <c r="L982" s="17"/>
      <c r="M982" s="12"/>
    </row>
    <row r="983" ht="13.5" customHeight="1">
      <c r="A983" s="17"/>
      <c r="B983" s="12"/>
      <c r="C983" s="17"/>
      <c r="D983" s="17"/>
      <c r="E983" s="12"/>
      <c r="F983" s="12"/>
      <c r="G983" s="17"/>
      <c r="H983" s="17"/>
      <c r="I983" s="12"/>
      <c r="J983" s="12"/>
      <c r="K983" s="17"/>
      <c r="L983" s="17"/>
      <c r="M983" s="12"/>
    </row>
    <row r="984" ht="13.5" customHeight="1">
      <c r="A984" s="17"/>
      <c r="B984" s="12"/>
      <c r="C984" s="17"/>
      <c r="D984" s="17"/>
      <c r="E984" s="12"/>
      <c r="F984" s="12"/>
      <c r="G984" s="17"/>
      <c r="H984" s="17"/>
      <c r="I984" s="12"/>
      <c r="J984" s="12"/>
      <c r="K984" s="17"/>
      <c r="L984" s="17"/>
      <c r="M984" s="12"/>
    </row>
    <row r="985" ht="13.5" customHeight="1">
      <c r="A985" s="17"/>
      <c r="B985" s="12"/>
      <c r="C985" s="17"/>
      <c r="D985" s="17"/>
      <c r="E985" s="12"/>
      <c r="F985" s="12"/>
      <c r="G985" s="17"/>
      <c r="H985" s="17"/>
      <c r="I985" s="12"/>
      <c r="J985" s="12"/>
      <c r="K985" s="17"/>
      <c r="L985" s="17"/>
      <c r="M985" s="12"/>
    </row>
    <row r="986" ht="13.5" customHeight="1">
      <c r="A986" s="17"/>
      <c r="B986" s="12"/>
      <c r="C986" s="17"/>
      <c r="D986" s="17"/>
      <c r="E986" s="12"/>
      <c r="F986" s="12"/>
      <c r="G986" s="17"/>
      <c r="H986" s="17"/>
      <c r="I986" s="12"/>
      <c r="J986" s="12"/>
      <c r="K986" s="17"/>
      <c r="L986" s="17"/>
      <c r="M986" s="12"/>
    </row>
    <row r="987" ht="13.5" customHeight="1">
      <c r="A987" s="17"/>
      <c r="B987" s="12"/>
      <c r="C987" s="17"/>
      <c r="D987" s="17"/>
      <c r="E987" s="12"/>
      <c r="F987" s="12"/>
      <c r="G987" s="17"/>
      <c r="H987" s="17"/>
      <c r="I987" s="12"/>
      <c r="J987" s="12"/>
      <c r="K987" s="17"/>
      <c r="L987" s="17"/>
      <c r="M987" s="12"/>
    </row>
    <row r="988" ht="13.5" customHeight="1">
      <c r="A988" s="17"/>
      <c r="B988" s="12"/>
      <c r="C988" s="17"/>
      <c r="D988" s="17"/>
      <c r="E988" s="12"/>
      <c r="F988" s="12"/>
      <c r="G988" s="17"/>
      <c r="H988" s="17"/>
      <c r="I988" s="12"/>
      <c r="J988" s="12"/>
      <c r="K988" s="17"/>
      <c r="L988" s="17"/>
      <c r="M988" s="12"/>
    </row>
    <row r="989" ht="13.5" customHeight="1">
      <c r="A989" s="17"/>
      <c r="B989" s="12"/>
      <c r="C989" s="17"/>
      <c r="D989" s="17"/>
      <c r="E989" s="12"/>
      <c r="F989" s="12"/>
      <c r="G989" s="17"/>
      <c r="H989" s="17"/>
      <c r="I989" s="12"/>
      <c r="J989" s="12"/>
      <c r="K989" s="17"/>
      <c r="L989" s="17"/>
      <c r="M989" s="12"/>
    </row>
    <row r="990" ht="13.5" customHeight="1">
      <c r="A990" s="17"/>
      <c r="B990" s="12"/>
      <c r="C990" s="17"/>
      <c r="D990" s="17"/>
      <c r="E990" s="12"/>
      <c r="F990" s="12"/>
      <c r="G990" s="17"/>
      <c r="H990" s="17"/>
      <c r="I990" s="12"/>
      <c r="J990" s="12"/>
      <c r="K990" s="17"/>
      <c r="L990" s="17"/>
      <c r="M990" s="12"/>
    </row>
    <row r="991" ht="13.5" customHeight="1">
      <c r="A991" s="17"/>
      <c r="B991" s="12"/>
      <c r="C991" s="17"/>
      <c r="D991" s="17"/>
      <c r="E991" s="12"/>
      <c r="F991" s="12"/>
      <c r="G991" s="17"/>
      <c r="H991" s="17"/>
      <c r="I991" s="12"/>
      <c r="J991" s="12"/>
      <c r="K991" s="17"/>
      <c r="L991" s="17"/>
      <c r="M991" s="12"/>
    </row>
    <row r="992" ht="13.5" customHeight="1">
      <c r="A992" s="17"/>
      <c r="B992" s="12"/>
      <c r="C992" s="17"/>
      <c r="D992" s="17"/>
      <c r="E992" s="12"/>
      <c r="F992" s="12"/>
      <c r="G992" s="17"/>
      <c r="H992" s="17"/>
      <c r="I992" s="12"/>
      <c r="J992" s="12"/>
      <c r="K992" s="17"/>
      <c r="L992" s="17"/>
      <c r="M992" s="12"/>
    </row>
    <row r="993" ht="13.5" customHeight="1">
      <c r="A993" s="17"/>
      <c r="B993" s="12"/>
      <c r="C993" s="17"/>
      <c r="D993" s="17"/>
      <c r="E993" s="12"/>
      <c r="F993" s="12"/>
      <c r="G993" s="17"/>
      <c r="H993" s="17"/>
      <c r="I993" s="12"/>
      <c r="J993" s="12"/>
      <c r="K993" s="17"/>
      <c r="L993" s="17"/>
      <c r="M993" s="12"/>
    </row>
    <row r="994" ht="13.5" customHeight="1">
      <c r="A994" s="17"/>
      <c r="B994" s="12"/>
      <c r="C994" s="17"/>
      <c r="D994" s="17"/>
      <c r="E994" s="12"/>
      <c r="F994" s="12"/>
      <c r="G994" s="17"/>
      <c r="H994" s="17"/>
      <c r="I994" s="12"/>
      <c r="J994" s="12"/>
      <c r="K994" s="17"/>
      <c r="L994" s="17"/>
      <c r="M994" s="12"/>
    </row>
    <row r="995" ht="13.5" customHeight="1">
      <c r="A995" s="17"/>
      <c r="B995" s="12"/>
      <c r="C995" s="17"/>
      <c r="D995" s="17"/>
      <c r="E995" s="12"/>
      <c r="F995" s="12"/>
      <c r="G995" s="17"/>
      <c r="H995" s="17"/>
      <c r="I995" s="12"/>
      <c r="J995" s="12"/>
      <c r="K995" s="17"/>
      <c r="L995" s="17"/>
      <c r="M995" s="12"/>
    </row>
    <row r="996" ht="13.5" customHeight="1">
      <c r="A996" s="17"/>
      <c r="B996" s="12"/>
      <c r="C996" s="17"/>
      <c r="D996" s="17"/>
      <c r="E996" s="12"/>
      <c r="F996" s="12"/>
      <c r="G996" s="17"/>
      <c r="H996" s="17"/>
      <c r="I996" s="12"/>
      <c r="J996" s="12"/>
      <c r="K996" s="17"/>
      <c r="L996" s="17"/>
      <c r="M996" s="12"/>
    </row>
    <row r="997" ht="13.5" customHeight="1">
      <c r="A997" s="17"/>
      <c r="B997" s="12"/>
      <c r="C997" s="17"/>
      <c r="D997" s="17"/>
      <c r="E997" s="12"/>
      <c r="F997" s="12"/>
      <c r="G997" s="17"/>
      <c r="H997" s="17"/>
      <c r="I997" s="12"/>
      <c r="J997" s="12"/>
      <c r="K997" s="17"/>
      <c r="L997" s="17"/>
      <c r="M997" s="12"/>
    </row>
    <row r="998" ht="13.5" customHeight="1">
      <c r="A998" s="17"/>
      <c r="B998" s="12"/>
      <c r="C998" s="17"/>
      <c r="D998" s="17"/>
      <c r="E998" s="12"/>
      <c r="F998" s="12"/>
      <c r="G998" s="17"/>
      <c r="H998" s="17"/>
      <c r="I998" s="12"/>
      <c r="J998" s="12"/>
      <c r="K998" s="17"/>
      <c r="L998" s="17"/>
      <c r="M998" s="12"/>
    </row>
    <row r="999" ht="13.5" customHeight="1">
      <c r="A999" s="17"/>
      <c r="B999" s="12"/>
      <c r="C999" s="17"/>
      <c r="D999" s="17"/>
      <c r="E999" s="12"/>
      <c r="F999" s="12"/>
      <c r="G999" s="17"/>
      <c r="H999" s="17"/>
      <c r="I999" s="12"/>
      <c r="J999" s="12"/>
      <c r="K999" s="17"/>
      <c r="L999" s="17"/>
      <c r="M999" s="12"/>
    </row>
    <row r="1000" ht="13.5" customHeight="1">
      <c r="A1000" s="17"/>
      <c r="B1000" s="12"/>
      <c r="C1000" s="17"/>
      <c r="D1000" s="17"/>
      <c r="E1000" s="12"/>
      <c r="F1000" s="12"/>
      <c r="G1000" s="17"/>
      <c r="H1000" s="17"/>
      <c r="I1000" s="12"/>
      <c r="J1000" s="12"/>
      <c r="K1000" s="17"/>
      <c r="L1000" s="17"/>
      <c r="M1000" s="12"/>
    </row>
    <row r="1001" ht="13.5" customHeight="1">
      <c r="A1001" s="17"/>
      <c r="B1001" s="12"/>
      <c r="C1001" s="17"/>
      <c r="D1001" s="17"/>
      <c r="E1001" s="12"/>
      <c r="F1001" s="12"/>
      <c r="G1001" s="17"/>
      <c r="H1001" s="17"/>
      <c r="I1001" s="12"/>
      <c r="J1001" s="12"/>
      <c r="K1001" s="17"/>
      <c r="L1001" s="17"/>
      <c r="M1001" s="12"/>
    </row>
    <row r="1002" ht="13.5" customHeight="1">
      <c r="A1002" s="17"/>
      <c r="B1002" s="12"/>
      <c r="C1002" s="17"/>
      <c r="D1002" s="17"/>
      <c r="E1002" s="12"/>
      <c r="F1002" s="12"/>
      <c r="G1002" s="17"/>
      <c r="H1002" s="17"/>
      <c r="I1002" s="12"/>
      <c r="J1002" s="12"/>
      <c r="K1002" s="17"/>
      <c r="L1002" s="17"/>
      <c r="M1002" s="12"/>
    </row>
    <row r="1003" ht="13.5" customHeight="1">
      <c r="A1003" s="17"/>
      <c r="B1003" s="12"/>
      <c r="C1003" s="17"/>
      <c r="D1003" s="17"/>
      <c r="E1003" s="12"/>
      <c r="F1003" s="12"/>
      <c r="G1003" s="17"/>
      <c r="H1003" s="17"/>
      <c r="I1003" s="12"/>
      <c r="J1003" s="12"/>
      <c r="K1003" s="17"/>
      <c r="L1003" s="17"/>
      <c r="M1003" s="12"/>
    </row>
    <row r="1004" ht="13.5" customHeight="1">
      <c r="A1004" s="17"/>
      <c r="B1004" s="12"/>
      <c r="C1004" s="17"/>
      <c r="D1004" s="17"/>
      <c r="E1004" s="12"/>
      <c r="F1004" s="12"/>
      <c r="G1004" s="17"/>
      <c r="H1004" s="17"/>
      <c r="I1004" s="12"/>
      <c r="J1004" s="12"/>
      <c r="K1004" s="17"/>
      <c r="L1004" s="17"/>
      <c r="M1004" s="12"/>
    </row>
    <row r="1005" ht="13.5" customHeight="1">
      <c r="A1005" s="17"/>
      <c r="B1005" s="12"/>
      <c r="C1005" s="17"/>
      <c r="D1005" s="17"/>
      <c r="E1005" s="12"/>
      <c r="F1005" s="12"/>
      <c r="G1005" s="17"/>
      <c r="H1005" s="17"/>
      <c r="I1005" s="12"/>
      <c r="J1005" s="12"/>
      <c r="K1005" s="17"/>
      <c r="L1005" s="17"/>
      <c r="M1005" s="12"/>
    </row>
    <row r="1006" ht="13.5" customHeight="1">
      <c r="A1006" s="17"/>
      <c r="B1006" s="12"/>
      <c r="C1006" s="17"/>
      <c r="D1006" s="17"/>
      <c r="E1006" s="12"/>
      <c r="F1006" s="12"/>
      <c r="G1006" s="17"/>
      <c r="H1006" s="17"/>
      <c r="I1006" s="12"/>
      <c r="J1006" s="12"/>
      <c r="K1006" s="17"/>
      <c r="L1006" s="17"/>
      <c r="M1006" s="12"/>
    </row>
    <row r="1007" ht="13.5" customHeight="1">
      <c r="A1007" s="17"/>
      <c r="B1007" s="12"/>
      <c r="C1007" s="17"/>
      <c r="D1007" s="17"/>
      <c r="E1007" s="12"/>
      <c r="F1007" s="12"/>
      <c r="G1007" s="17"/>
      <c r="H1007" s="17"/>
      <c r="I1007" s="12"/>
      <c r="J1007" s="12"/>
      <c r="K1007" s="17"/>
      <c r="L1007" s="17"/>
      <c r="M1007" s="12"/>
    </row>
    <row r="1008" ht="13.5" customHeight="1">
      <c r="A1008" s="17"/>
      <c r="B1008" s="12"/>
      <c r="C1008" s="17"/>
      <c r="D1008" s="17"/>
      <c r="E1008" s="12"/>
      <c r="F1008" s="12"/>
      <c r="G1008" s="17"/>
      <c r="H1008" s="17"/>
      <c r="I1008" s="12"/>
      <c r="J1008" s="12"/>
      <c r="K1008" s="17"/>
      <c r="L1008" s="17"/>
      <c r="M1008" s="12"/>
    </row>
    <row r="1009" ht="13.5" customHeight="1">
      <c r="A1009" s="17"/>
      <c r="B1009" s="12"/>
      <c r="C1009" s="17"/>
      <c r="D1009" s="17"/>
      <c r="E1009" s="12"/>
      <c r="F1009" s="12"/>
      <c r="G1009" s="17"/>
      <c r="H1009" s="17"/>
      <c r="I1009" s="12"/>
      <c r="J1009" s="12"/>
      <c r="K1009" s="17"/>
      <c r="L1009" s="17"/>
      <c r="M1009" s="12"/>
    </row>
    <row r="1010" ht="13.5" customHeight="1">
      <c r="A1010" s="17"/>
      <c r="B1010" s="12"/>
      <c r="C1010" s="17"/>
      <c r="D1010" s="17"/>
      <c r="E1010" s="12"/>
      <c r="F1010" s="12"/>
      <c r="G1010" s="17"/>
      <c r="H1010" s="17"/>
      <c r="I1010" s="12"/>
      <c r="J1010" s="12"/>
      <c r="K1010" s="17"/>
      <c r="L1010" s="17"/>
      <c r="M1010" s="12"/>
    </row>
    <row r="1011" ht="13.5" customHeight="1">
      <c r="A1011" s="17"/>
      <c r="B1011" s="12"/>
      <c r="C1011" s="17"/>
      <c r="D1011" s="17"/>
      <c r="E1011" s="12"/>
      <c r="F1011" s="12"/>
      <c r="G1011" s="17"/>
      <c r="H1011" s="17"/>
      <c r="I1011" s="12"/>
      <c r="J1011" s="12"/>
      <c r="K1011" s="17"/>
      <c r="L1011" s="17"/>
      <c r="M1011" s="12"/>
    </row>
    <row r="1012" ht="13.5" customHeight="1">
      <c r="A1012" s="17"/>
      <c r="B1012" s="12"/>
      <c r="C1012" s="17"/>
      <c r="D1012" s="17"/>
      <c r="E1012" s="12"/>
      <c r="F1012" s="12"/>
      <c r="G1012" s="17"/>
      <c r="H1012" s="17"/>
      <c r="I1012" s="12"/>
      <c r="J1012" s="12"/>
      <c r="K1012" s="17"/>
      <c r="L1012" s="17"/>
      <c r="M1012" s="12"/>
    </row>
    <row r="1013" ht="13.5" customHeight="1">
      <c r="A1013" s="17"/>
      <c r="B1013" s="12"/>
      <c r="C1013" s="17"/>
      <c r="D1013" s="17"/>
      <c r="E1013" s="12"/>
      <c r="F1013" s="12"/>
      <c r="G1013" s="17"/>
      <c r="H1013" s="17"/>
      <c r="I1013" s="12"/>
      <c r="J1013" s="12"/>
      <c r="K1013" s="17"/>
      <c r="L1013" s="17"/>
      <c r="M1013" s="12"/>
    </row>
    <row r="1014" ht="13.5" customHeight="1">
      <c r="A1014" s="17"/>
      <c r="B1014" s="12"/>
      <c r="C1014" s="17"/>
      <c r="D1014" s="17"/>
      <c r="E1014" s="12"/>
      <c r="F1014" s="12"/>
      <c r="G1014" s="17"/>
      <c r="H1014" s="17"/>
      <c r="I1014" s="12"/>
      <c r="J1014" s="12"/>
      <c r="K1014" s="17"/>
      <c r="L1014" s="17"/>
      <c r="M1014" s="12"/>
    </row>
    <row r="1015" ht="13.5" customHeight="1">
      <c r="A1015" s="17"/>
      <c r="B1015" s="12"/>
      <c r="C1015" s="17"/>
      <c r="D1015" s="17"/>
      <c r="E1015" s="12"/>
      <c r="F1015" s="12"/>
      <c r="G1015" s="17"/>
      <c r="H1015" s="17"/>
      <c r="I1015" s="12"/>
      <c r="J1015" s="12"/>
      <c r="K1015" s="17"/>
      <c r="L1015" s="17"/>
      <c r="M1015" s="12"/>
    </row>
    <row r="1016" ht="13.5" customHeight="1">
      <c r="A1016" s="17"/>
      <c r="B1016" s="12"/>
      <c r="C1016" s="17"/>
      <c r="D1016" s="17"/>
      <c r="E1016" s="12"/>
      <c r="F1016" s="12"/>
      <c r="G1016" s="17"/>
      <c r="H1016" s="17"/>
      <c r="I1016" s="12"/>
      <c r="J1016" s="12"/>
      <c r="K1016" s="17"/>
      <c r="L1016" s="17"/>
      <c r="M1016" s="12"/>
    </row>
    <row r="1017" ht="13.5" customHeight="1">
      <c r="A1017" s="17"/>
      <c r="B1017" s="12"/>
      <c r="C1017" s="17"/>
      <c r="D1017" s="17"/>
      <c r="E1017" s="12"/>
      <c r="F1017" s="12"/>
      <c r="G1017" s="17"/>
      <c r="H1017" s="17"/>
      <c r="I1017" s="12"/>
      <c r="J1017" s="12"/>
      <c r="K1017" s="17"/>
      <c r="L1017" s="17"/>
      <c r="M1017" s="12"/>
    </row>
    <row r="1018" ht="13.5" customHeight="1">
      <c r="A1018" s="17"/>
      <c r="B1018" s="12"/>
      <c r="C1018" s="17"/>
      <c r="D1018" s="17"/>
      <c r="E1018" s="12"/>
      <c r="F1018" s="12"/>
      <c r="G1018" s="17"/>
      <c r="H1018" s="17"/>
      <c r="I1018" s="12"/>
      <c r="J1018" s="12"/>
      <c r="K1018" s="17"/>
      <c r="L1018" s="17"/>
      <c r="M1018" s="12"/>
    </row>
    <row r="1019" ht="13.5" customHeight="1">
      <c r="A1019" s="17"/>
      <c r="B1019" s="12"/>
      <c r="C1019" s="17"/>
      <c r="D1019" s="17"/>
      <c r="E1019" s="12"/>
      <c r="F1019" s="12"/>
      <c r="G1019" s="17"/>
      <c r="H1019" s="17"/>
      <c r="I1019" s="12"/>
      <c r="J1019" s="12"/>
      <c r="K1019" s="17"/>
      <c r="L1019" s="17"/>
      <c r="M1019" s="12"/>
    </row>
    <row r="1020" ht="13.5" customHeight="1">
      <c r="A1020" s="17"/>
      <c r="B1020" s="12"/>
      <c r="C1020" s="17"/>
      <c r="D1020" s="17"/>
      <c r="E1020" s="12"/>
      <c r="F1020" s="12"/>
      <c r="G1020" s="17"/>
      <c r="H1020" s="17"/>
      <c r="I1020" s="12"/>
      <c r="J1020" s="12"/>
      <c r="K1020" s="17"/>
      <c r="L1020" s="17"/>
      <c r="M1020" s="12"/>
    </row>
    <row r="1021" ht="13.5" customHeight="1">
      <c r="A1021" s="17"/>
      <c r="B1021" s="12"/>
      <c r="C1021" s="17"/>
      <c r="D1021" s="17"/>
      <c r="E1021" s="12"/>
      <c r="F1021" s="12"/>
      <c r="G1021" s="17"/>
      <c r="H1021" s="17"/>
      <c r="I1021" s="12"/>
      <c r="J1021" s="12"/>
      <c r="K1021" s="17"/>
      <c r="L1021" s="17"/>
      <c r="M1021" s="12"/>
    </row>
    <row r="1022" ht="13.5" customHeight="1">
      <c r="A1022" s="17"/>
      <c r="B1022" s="12"/>
      <c r="C1022" s="17"/>
      <c r="D1022" s="17"/>
      <c r="E1022" s="12"/>
      <c r="F1022" s="12"/>
      <c r="G1022" s="17"/>
      <c r="H1022" s="17"/>
      <c r="I1022" s="12"/>
      <c r="J1022" s="12"/>
      <c r="K1022" s="17"/>
      <c r="L1022" s="17"/>
      <c r="M1022" s="12"/>
    </row>
    <row r="1023" ht="13.5" customHeight="1">
      <c r="A1023" s="17"/>
      <c r="B1023" s="12"/>
      <c r="C1023" s="17"/>
      <c r="D1023" s="17"/>
      <c r="E1023" s="12"/>
      <c r="F1023" s="12"/>
      <c r="G1023" s="17"/>
      <c r="H1023" s="17"/>
      <c r="I1023" s="12"/>
      <c r="J1023" s="12"/>
      <c r="K1023" s="17"/>
      <c r="L1023" s="17"/>
      <c r="M1023" s="12"/>
    </row>
    <row r="1024" ht="13.5" customHeight="1">
      <c r="A1024" s="17"/>
      <c r="B1024" s="12"/>
      <c r="C1024" s="17"/>
      <c r="D1024" s="17"/>
      <c r="E1024" s="12"/>
      <c r="F1024" s="12"/>
      <c r="G1024" s="17"/>
      <c r="H1024" s="17"/>
      <c r="I1024" s="12"/>
      <c r="J1024" s="12"/>
      <c r="K1024" s="17"/>
      <c r="L1024" s="17"/>
      <c r="M1024" s="12"/>
    </row>
    <row r="1025" ht="13.5" customHeight="1">
      <c r="A1025" s="17"/>
      <c r="B1025" s="12"/>
      <c r="C1025" s="17"/>
      <c r="D1025" s="17"/>
      <c r="E1025" s="12"/>
      <c r="F1025" s="12"/>
      <c r="G1025" s="17"/>
      <c r="H1025" s="17"/>
      <c r="I1025" s="12"/>
      <c r="J1025" s="12"/>
      <c r="K1025" s="17"/>
      <c r="L1025" s="17"/>
      <c r="M1025" s="12"/>
    </row>
    <row r="1026" ht="13.5" customHeight="1">
      <c r="A1026" s="17"/>
      <c r="B1026" s="12"/>
      <c r="C1026" s="17"/>
      <c r="D1026" s="17"/>
      <c r="E1026" s="12"/>
      <c r="F1026" s="12"/>
      <c r="G1026" s="17"/>
      <c r="H1026" s="17"/>
      <c r="I1026" s="12"/>
      <c r="J1026" s="12"/>
      <c r="K1026" s="17"/>
      <c r="L1026" s="17"/>
      <c r="M1026" s="12"/>
    </row>
    <row r="1027" ht="13.5" customHeight="1">
      <c r="A1027" s="17"/>
      <c r="B1027" s="12"/>
      <c r="C1027" s="17"/>
      <c r="D1027" s="17"/>
      <c r="E1027" s="12"/>
      <c r="F1027" s="12"/>
      <c r="G1027" s="17"/>
      <c r="H1027" s="17"/>
      <c r="I1027" s="12"/>
      <c r="J1027" s="12"/>
      <c r="K1027" s="17"/>
      <c r="L1027" s="17"/>
      <c r="M1027" s="12"/>
    </row>
    <row r="1028" ht="13.5" customHeight="1">
      <c r="A1028" s="17"/>
      <c r="B1028" s="12"/>
      <c r="C1028" s="17"/>
      <c r="D1028" s="17"/>
      <c r="E1028" s="12"/>
      <c r="F1028" s="12"/>
      <c r="G1028" s="17"/>
      <c r="H1028" s="17"/>
      <c r="I1028" s="12"/>
      <c r="J1028" s="12"/>
      <c r="K1028" s="17"/>
      <c r="L1028" s="17"/>
      <c r="M1028" s="12"/>
    </row>
    <row r="1029" ht="13.5" customHeight="1">
      <c r="A1029" s="17"/>
      <c r="B1029" s="12"/>
      <c r="C1029" s="17"/>
      <c r="D1029" s="17"/>
      <c r="E1029" s="12"/>
      <c r="F1029" s="12"/>
      <c r="G1029" s="17"/>
      <c r="H1029" s="17"/>
      <c r="I1029" s="12"/>
      <c r="J1029" s="12"/>
      <c r="K1029" s="17"/>
      <c r="L1029" s="17"/>
      <c r="M1029" s="12"/>
    </row>
    <row r="1030" ht="13.5" customHeight="1">
      <c r="A1030" s="17"/>
      <c r="B1030" s="12"/>
      <c r="C1030" s="17"/>
      <c r="D1030" s="17"/>
      <c r="E1030" s="12"/>
      <c r="F1030" s="12"/>
      <c r="G1030" s="17"/>
      <c r="H1030" s="17"/>
      <c r="I1030" s="12"/>
      <c r="J1030" s="12"/>
      <c r="K1030" s="17"/>
      <c r="L1030" s="17"/>
      <c r="M1030" s="12"/>
    </row>
    <row r="1031" ht="13.5" customHeight="1">
      <c r="A1031" s="17"/>
      <c r="B1031" s="12"/>
      <c r="C1031" s="17"/>
      <c r="D1031" s="17"/>
      <c r="E1031" s="12"/>
      <c r="F1031" s="12"/>
      <c r="G1031" s="17"/>
      <c r="H1031" s="17"/>
      <c r="I1031" s="12"/>
      <c r="J1031" s="12"/>
      <c r="K1031" s="17"/>
      <c r="L1031" s="17"/>
      <c r="M1031" s="12"/>
    </row>
    <row r="1032" ht="13.5" customHeight="1">
      <c r="A1032" s="17"/>
      <c r="B1032" s="12"/>
      <c r="C1032" s="17"/>
      <c r="D1032" s="17"/>
      <c r="E1032" s="12"/>
      <c r="F1032" s="12"/>
      <c r="G1032" s="17"/>
      <c r="H1032" s="17"/>
      <c r="I1032" s="12"/>
      <c r="J1032" s="12"/>
      <c r="K1032" s="17"/>
      <c r="L1032" s="17"/>
      <c r="M1032" s="12"/>
    </row>
    <row r="1033" ht="13.5" customHeight="1">
      <c r="A1033" s="17"/>
      <c r="B1033" s="12"/>
      <c r="C1033" s="17"/>
      <c r="D1033" s="17"/>
      <c r="E1033" s="12"/>
      <c r="F1033" s="12"/>
      <c r="G1033" s="17"/>
      <c r="H1033" s="17"/>
      <c r="I1033" s="12"/>
      <c r="J1033" s="12"/>
      <c r="K1033" s="17"/>
      <c r="L1033" s="17"/>
      <c r="M1033" s="12"/>
    </row>
    <row r="1034" ht="13.5" customHeight="1">
      <c r="A1034" s="17"/>
      <c r="B1034" s="12"/>
      <c r="C1034" s="17"/>
      <c r="D1034" s="17"/>
      <c r="E1034" s="12"/>
      <c r="F1034" s="12"/>
      <c r="G1034" s="17"/>
      <c r="H1034" s="17"/>
      <c r="I1034" s="12"/>
      <c r="J1034" s="12"/>
      <c r="K1034" s="17"/>
      <c r="L1034" s="17"/>
      <c r="M1034" s="12"/>
    </row>
    <row r="1035" ht="13.5" customHeight="1">
      <c r="A1035" s="17"/>
      <c r="B1035" s="12"/>
      <c r="C1035" s="17"/>
      <c r="D1035" s="17"/>
      <c r="E1035" s="12"/>
      <c r="F1035" s="12"/>
      <c r="G1035" s="17"/>
      <c r="H1035" s="17"/>
      <c r="I1035" s="12"/>
      <c r="J1035" s="12"/>
      <c r="K1035" s="17"/>
      <c r="L1035" s="17"/>
      <c r="M1035" s="12"/>
    </row>
    <row r="1036" ht="13.5" customHeight="1">
      <c r="A1036" s="17"/>
      <c r="B1036" s="12"/>
      <c r="C1036" s="17"/>
      <c r="D1036" s="17"/>
      <c r="E1036" s="12"/>
      <c r="F1036" s="12"/>
      <c r="G1036" s="17"/>
      <c r="H1036" s="17"/>
      <c r="I1036" s="12"/>
      <c r="J1036" s="12"/>
      <c r="K1036" s="17"/>
      <c r="L1036" s="17"/>
      <c r="M1036" s="12"/>
    </row>
    <row r="1037" ht="13.5" customHeight="1">
      <c r="A1037" s="17"/>
      <c r="B1037" s="12"/>
      <c r="C1037" s="17"/>
      <c r="D1037" s="17"/>
      <c r="E1037" s="12"/>
      <c r="F1037" s="12"/>
      <c r="G1037" s="17"/>
      <c r="H1037" s="17"/>
      <c r="I1037" s="12"/>
      <c r="J1037" s="12"/>
      <c r="K1037" s="17"/>
      <c r="L1037" s="17"/>
      <c r="M1037" s="12"/>
    </row>
    <row r="1038" ht="13.5" customHeight="1">
      <c r="A1038" s="17"/>
      <c r="B1038" s="12"/>
      <c r="C1038" s="17"/>
      <c r="D1038" s="17"/>
      <c r="E1038" s="12"/>
      <c r="F1038" s="12"/>
      <c r="G1038" s="17"/>
      <c r="H1038" s="17"/>
      <c r="I1038" s="12"/>
      <c r="J1038" s="12"/>
      <c r="K1038" s="17"/>
      <c r="L1038" s="17"/>
      <c r="M1038" s="12"/>
    </row>
    <row r="1039" ht="13.5" customHeight="1">
      <c r="A1039" s="17"/>
      <c r="B1039" s="12"/>
      <c r="C1039" s="17"/>
      <c r="D1039" s="17"/>
      <c r="E1039" s="12"/>
      <c r="F1039" s="12"/>
      <c r="G1039" s="17"/>
      <c r="H1039" s="17"/>
      <c r="I1039" s="12"/>
      <c r="J1039" s="12"/>
      <c r="K1039" s="17"/>
      <c r="L1039" s="17"/>
      <c r="M1039" s="12"/>
    </row>
    <row r="1040" ht="13.5" customHeight="1">
      <c r="A1040" s="17"/>
      <c r="B1040" s="12"/>
      <c r="C1040" s="17"/>
      <c r="D1040" s="17"/>
      <c r="E1040" s="12"/>
      <c r="F1040" s="12"/>
      <c r="G1040" s="17"/>
      <c r="H1040" s="17"/>
      <c r="I1040" s="12"/>
      <c r="J1040" s="12"/>
      <c r="K1040" s="17"/>
      <c r="L1040" s="17"/>
      <c r="M1040" s="12"/>
    </row>
    <row r="1041" ht="13.5" customHeight="1">
      <c r="A1041" s="17"/>
      <c r="B1041" s="12"/>
      <c r="C1041" s="17"/>
      <c r="D1041" s="17"/>
      <c r="E1041" s="12"/>
      <c r="F1041" s="12"/>
      <c r="G1041" s="17"/>
      <c r="H1041" s="17"/>
      <c r="I1041" s="12"/>
      <c r="J1041" s="12"/>
      <c r="K1041" s="17"/>
      <c r="L1041" s="17"/>
      <c r="M1041" s="12"/>
    </row>
    <row r="1042" ht="13.5" customHeight="1">
      <c r="A1042" s="17"/>
      <c r="B1042" s="12"/>
      <c r="C1042" s="17"/>
      <c r="D1042" s="17"/>
      <c r="E1042" s="12"/>
      <c r="F1042" s="12"/>
      <c r="G1042" s="17"/>
      <c r="H1042" s="17"/>
      <c r="I1042" s="12"/>
      <c r="J1042" s="12"/>
      <c r="K1042" s="17"/>
      <c r="L1042" s="17"/>
      <c r="M1042" s="12"/>
    </row>
    <row r="1043" ht="13.5" customHeight="1">
      <c r="A1043" s="17"/>
      <c r="B1043" s="12"/>
      <c r="C1043" s="17"/>
      <c r="D1043" s="17"/>
      <c r="E1043" s="12"/>
      <c r="F1043" s="12"/>
      <c r="G1043" s="17"/>
      <c r="H1043" s="17"/>
      <c r="I1043" s="12"/>
      <c r="J1043" s="12"/>
      <c r="K1043" s="17"/>
      <c r="L1043" s="17"/>
      <c r="M1043" s="12"/>
    </row>
    <row r="1044" ht="13.5" customHeight="1">
      <c r="A1044" s="17"/>
      <c r="B1044" s="12"/>
      <c r="C1044" s="17"/>
      <c r="D1044" s="17"/>
      <c r="E1044" s="12"/>
      <c r="F1044" s="12"/>
      <c r="G1044" s="17"/>
      <c r="H1044" s="17"/>
      <c r="I1044" s="12"/>
      <c r="J1044" s="12"/>
      <c r="K1044" s="17"/>
      <c r="L1044" s="17"/>
      <c r="M1044" s="12"/>
    </row>
    <row r="1045" ht="13.5" customHeight="1">
      <c r="A1045" s="17"/>
      <c r="B1045" s="12"/>
      <c r="C1045" s="17"/>
      <c r="D1045" s="17"/>
      <c r="E1045" s="12"/>
      <c r="F1045" s="12"/>
      <c r="G1045" s="17"/>
      <c r="H1045" s="17"/>
      <c r="I1045" s="12"/>
      <c r="J1045" s="12"/>
      <c r="K1045" s="17"/>
      <c r="L1045" s="17"/>
      <c r="M1045" s="12"/>
    </row>
    <row r="1046" ht="13.5" customHeight="1">
      <c r="A1046" s="17"/>
      <c r="B1046" s="12"/>
      <c r="C1046" s="17"/>
      <c r="D1046" s="17"/>
      <c r="E1046" s="12"/>
      <c r="F1046" s="12"/>
      <c r="G1046" s="17"/>
      <c r="H1046" s="17"/>
      <c r="I1046" s="12"/>
      <c r="J1046" s="12"/>
      <c r="K1046" s="17"/>
      <c r="L1046" s="17"/>
      <c r="M1046" s="12"/>
    </row>
    <row r="1047" ht="13.5" customHeight="1">
      <c r="A1047" s="17"/>
      <c r="B1047" s="12"/>
      <c r="C1047" s="17"/>
      <c r="D1047" s="17"/>
      <c r="E1047" s="12"/>
      <c r="F1047" s="12"/>
      <c r="G1047" s="17"/>
      <c r="H1047" s="17"/>
      <c r="I1047" s="12"/>
      <c r="J1047" s="12"/>
      <c r="K1047" s="17"/>
      <c r="L1047" s="17"/>
      <c r="M1047" s="12"/>
    </row>
    <row r="1048" ht="13.5" customHeight="1">
      <c r="A1048" s="17"/>
      <c r="B1048" s="12"/>
      <c r="C1048" s="17"/>
      <c r="D1048" s="17"/>
      <c r="E1048" s="12"/>
      <c r="F1048" s="12"/>
      <c r="G1048" s="17"/>
      <c r="H1048" s="17"/>
      <c r="I1048" s="12"/>
      <c r="J1048" s="12"/>
      <c r="K1048" s="17"/>
      <c r="L1048" s="17"/>
      <c r="M1048" s="12"/>
    </row>
    <row r="1049" ht="13.5" customHeight="1">
      <c r="A1049" s="17"/>
      <c r="B1049" s="12"/>
      <c r="C1049" s="17"/>
      <c r="D1049" s="17"/>
      <c r="E1049" s="12"/>
      <c r="F1049" s="12"/>
      <c r="G1049" s="17"/>
      <c r="H1049" s="17"/>
      <c r="I1049" s="12"/>
      <c r="J1049" s="12"/>
      <c r="K1049" s="17"/>
      <c r="L1049" s="17"/>
      <c r="M1049" s="12"/>
    </row>
    <row r="1050" ht="13.5" customHeight="1">
      <c r="A1050" s="17"/>
      <c r="B1050" s="12"/>
      <c r="C1050" s="17"/>
      <c r="D1050" s="17"/>
      <c r="E1050" s="12"/>
      <c r="F1050" s="12"/>
      <c r="G1050" s="17"/>
      <c r="H1050" s="17"/>
      <c r="I1050" s="12"/>
      <c r="J1050" s="12"/>
      <c r="K1050" s="17"/>
      <c r="L1050" s="17"/>
      <c r="M1050" s="12"/>
    </row>
    <row r="1051" ht="13.5" customHeight="1">
      <c r="A1051" s="17"/>
      <c r="B1051" s="12"/>
      <c r="C1051" s="17"/>
      <c r="D1051" s="17"/>
      <c r="E1051" s="12"/>
      <c r="F1051" s="12"/>
      <c r="G1051" s="17"/>
      <c r="H1051" s="17"/>
      <c r="I1051" s="12"/>
      <c r="J1051" s="12"/>
      <c r="K1051" s="17"/>
      <c r="L1051" s="17"/>
      <c r="M1051" s="12"/>
    </row>
    <row r="1052" ht="13.5" customHeight="1">
      <c r="A1052" s="17"/>
      <c r="B1052" s="12"/>
      <c r="C1052" s="17"/>
      <c r="D1052" s="17"/>
      <c r="E1052" s="12"/>
      <c r="F1052" s="12"/>
      <c r="G1052" s="17"/>
      <c r="H1052" s="17"/>
      <c r="I1052" s="12"/>
      <c r="J1052" s="12"/>
      <c r="K1052" s="17"/>
      <c r="L1052" s="17"/>
      <c r="M1052" s="12"/>
    </row>
    <row r="1053" ht="13.5" customHeight="1">
      <c r="A1053" s="17"/>
      <c r="B1053" s="12"/>
      <c r="C1053" s="17"/>
      <c r="D1053" s="17"/>
      <c r="E1053" s="12"/>
      <c r="F1053" s="12"/>
      <c r="G1053" s="17"/>
      <c r="H1053" s="17"/>
      <c r="I1053" s="12"/>
      <c r="J1053" s="12"/>
      <c r="K1053" s="17"/>
      <c r="L1053" s="17"/>
      <c r="M1053" s="12"/>
    </row>
    <row r="1054" ht="13.5" customHeight="1">
      <c r="A1054" s="17"/>
      <c r="B1054" s="12"/>
      <c r="C1054" s="17"/>
      <c r="D1054" s="17"/>
      <c r="E1054" s="12"/>
      <c r="F1054" s="12"/>
      <c r="G1054" s="17"/>
      <c r="H1054" s="17"/>
      <c r="I1054" s="12"/>
      <c r="J1054" s="12"/>
      <c r="K1054" s="17"/>
      <c r="L1054" s="17"/>
      <c r="M1054" s="12"/>
    </row>
    <row r="1055" ht="13.5" customHeight="1">
      <c r="A1055" s="17"/>
      <c r="B1055" s="12"/>
      <c r="C1055" s="17"/>
      <c r="D1055" s="17"/>
      <c r="E1055" s="12"/>
      <c r="F1055" s="12"/>
      <c r="G1055" s="17"/>
      <c r="H1055" s="17"/>
      <c r="I1055" s="12"/>
      <c r="J1055" s="12"/>
      <c r="K1055" s="17"/>
      <c r="L1055" s="17"/>
      <c r="M1055" s="12"/>
    </row>
    <row r="1056" ht="13.5" customHeight="1">
      <c r="A1056" s="17"/>
      <c r="B1056" s="12"/>
      <c r="C1056" s="17"/>
      <c r="D1056" s="17"/>
      <c r="E1056" s="12"/>
      <c r="F1056" s="12"/>
      <c r="G1056" s="17"/>
      <c r="H1056" s="17"/>
      <c r="I1056" s="12"/>
      <c r="J1056" s="12"/>
      <c r="K1056" s="17"/>
      <c r="L1056" s="17"/>
      <c r="M1056" s="12"/>
    </row>
    <row r="1057" ht="13.5" customHeight="1">
      <c r="A1057" s="17"/>
      <c r="B1057" s="12"/>
      <c r="C1057" s="17"/>
      <c r="D1057" s="17"/>
      <c r="E1057" s="12"/>
      <c r="F1057" s="12"/>
      <c r="G1057" s="17"/>
      <c r="H1057" s="17"/>
      <c r="I1057" s="12"/>
      <c r="J1057" s="12"/>
      <c r="K1057" s="17"/>
      <c r="L1057" s="17"/>
      <c r="M1057" s="12"/>
    </row>
    <row r="1058" ht="13.5" customHeight="1">
      <c r="A1058" s="17"/>
      <c r="B1058" s="12"/>
      <c r="C1058" s="17"/>
      <c r="D1058" s="17"/>
      <c r="E1058" s="12"/>
      <c r="F1058" s="12"/>
      <c r="G1058" s="17"/>
      <c r="H1058" s="17"/>
      <c r="I1058" s="12"/>
      <c r="J1058" s="12"/>
      <c r="K1058" s="17"/>
      <c r="L1058" s="17"/>
      <c r="M1058" s="12"/>
    </row>
    <row r="1059" ht="13.5" customHeight="1">
      <c r="A1059" s="17"/>
      <c r="B1059" s="12"/>
      <c r="C1059" s="17"/>
      <c r="D1059" s="17"/>
      <c r="E1059" s="12"/>
      <c r="F1059" s="12"/>
      <c r="G1059" s="17"/>
      <c r="H1059" s="17"/>
      <c r="I1059" s="12"/>
      <c r="J1059" s="12"/>
      <c r="K1059" s="17"/>
      <c r="L1059" s="17"/>
      <c r="M1059" s="12"/>
    </row>
    <row r="1060" ht="13.5" customHeight="1">
      <c r="A1060" s="17"/>
      <c r="B1060" s="12"/>
      <c r="C1060" s="17"/>
      <c r="D1060" s="17"/>
      <c r="E1060" s="12"/>
      <c r="F1060" s="12"/>
      <c r="G1060" s="17"/>
      <c r="H1060" s="17"/>
      <c r="I1060" s="12"/>
      <c r="J1060" s="12"/>
      <c r="K1060" s="17"/>
      <c r="L1060" s="17"/>
      <c r="M1060" s="12"/>
    </row>
    <row r="1061" ht="13.5" customHeight="1">
      <c r="A1061" s="17"/>
      <c r="B1061" s="12"/>
      <c r="C1061" s="17"/>
      <c r="D1061" s="17"/>
      <c r="E1061" s="12"/>
      <c r="F1061" s="12"/>
      <c r="G1061" s="17"/>
      <c r="H1061" s="17"/>
      <c r="I1061" s="12"/>
      <c r="J1061" s="12"/>
      <c r="K1061" s="17"/>
      <c r="L1061" s="17"/>
      <c r="M1061" s="12"/>
    </row>
    <row r="1062" ht="13.5" customHeight="1">
      <c r="A1062" s="17"/>
      <c r="B1062" s="12"/>
      <c r="C1062" s="17"/>
      <c r="D1062" s="17"/>
      <c r="E1062" s="12"/>
      <c r="F1062" s="12"/>
      <c r="G1062" s="17"/>
      <c r="H1062" s="17"/>
      <c r="I1062" s="12"/>
      <c r="J1062" s="12"/>
      <c r="K1062" s="17"/>
      <c r="L1062" s="17"/>
      <c r="M1062" s="12"/>
    </row>
    <row r="1063" ht="13.5" customHeight="1">
      <c r="A1063" s="17"/>
      <c r="B1063" s="12"/>
      <c r="C1063" s="17"/>
      <c r="D1063" s="17"/>
      <c r="E1063" s="12"/>
      <c r="F1063" s="12"/>
      <c r="G1063" s="17"/>
      <c r="H1063" s="17"/>
      <c r="I1063" s="12"/>
      <c r="J1063" s="12"/>
      <c r="K1063" s="17"/>
      <c r="L1063" s="17"/>
      <c r="M1063" s="12"/>
    </row>
    <row r="1064" ht="13.5" customHeight="1">
      <c r="A1064" s="17"/>
      <c r="B1064" s="12"/>
      <c r="C1064" s="17"/>
      <c r="D1064" s="17"/>
      <c r="E1064" s="12"/>
      <c r="F1064" s="12"/>
      <c r="G1064" s="17"/>
      <c r="H1064" s="17"/>
      <c r="I1064" s="12"/>
      <c r="J1064" s="12"/>
      <c r="K1064" s="17"/>
      <c r="L1064" s="17"/>
      <c r="M1064" s="12"/>
    </row>
    <row r="1065" ht="13.5" customHeight="1">
      <c r="A1065" s="17"/>
      <c r="B1065" s="12"/>
      <c r="C1065" s="17"/>
      <c r="D1065" s="17"/>
      <c r="E1065" s="12"/>
      <c r="F1065" s="12"/>
      <c r="G1065" s="17"/>
      <c r="H1065" s="17"/>
      <c r="I1065" s="12"/>
      <c r="J1065" s="12"/>
      <c r="K1065" s="17"/>
      <c r="L1065" s="17"/>
      <c r="M1065" s="12"/>
    </row>
    <row r="1066" ht="13.5" customHeight="1">
      <c r="A1066" s="17"/>
      <c r="B1066" s="12"/>
      <c r="C1066" s="17"/>
      <c r="D1066" s="17"/>
      <c r="E1066" s="12"/>
      <c r="F1066" s="12"/>
      <c r="G1066" s="17"/>
      <c r="H1066" s="17"/>
      <c r="I1066" s="12"/>
      <c r="J1066" s="12"/>
      <c r="K1066" s="17"/>
      <c r="L1066" s="17"/>
      <c r="M1066" s="12"/>
    </row>
    <row r="1067" ht="13.5" customHeight="1">
      <c r="A1067" s="17"/>
      <c r="B1067" s="12"/>
      <c r="C1067" s="17"/>
      <c r="D1067" s="17"/>
      <c r="E1067" s="12"/>
      <c r="F1067" s="12"/>
      <c r="G1067" s="17"/>
      <c r="H1067" s="17"/>
      <c r="I1067" s="12"/>
      <c r="J1067" s="12"/>
      <c r="K1067" s="17"/>
      <c r="L1067" s="17"/>
      <c r="M1067" s="12"/>
    </row>
    <row r="1068" ht="13.5" customHeight="1">
      <c r="A1068" s="17"/>
      <c r="B1068" s="12"/>
      <c r="C1068" s="17"/>
      <c r="D1068" s="17"/>
      <c r="E1068" s="12"/>
      <c r="F1068" s="12"/>
      <c r="G1068" s="17"/>
      <c r="H1068" s="17"/>
      <c r="I1068" s="12"/>
      <c r="J1068" s="12"/>
      <c r="K1068" s="17"/>
      <c r="L1068" s="17"/>
      <c r="M1068" s="12"/>
    </row>
    <row r="1069" ht="13.5" customHeight="1">
      <c r="A1069" s="17"/>
      <c r="B1069" s="12"/>
      <c r="C1069" s="17"/>
      <c r="D1069" s="17"/>
      <c r="E1069" s="12"/>
      <c r="F1069" s="12"/>
      <c r="G1069" s="17"/>
      <c r="H1069" s="17"/>
      <c r="I1069" s="12"/>
      <c r="J1069" s="12"/>
      <c r="K1069" s="17"/>
      <c r="L1069" s="17"/>
      <c r="M1069" s="12"/>
    </row>
    <row r="1070" ht="13.5" customHeight="1">
      <c r="A1070" s="17"/>
      <c r="B1070" s="12"/>
      <c r="C1070" s="17"/>
      <c r="D1070" s="17"/>
      <c r="E1070" s="12"/>
      <c r="F1070" s="12"/>
      <c r="G1070" s="17"/>
      <c r="H1070" s="17"/>
      <c r="I1070" s="12"/>
      <c r="J1070" s="12"/>
      <c r="K1070" s="17"/>
      <c r="L1070" s="17"/>
      <c r="M1070" s="12"/>
    </row>
    <row r="1071" ht="13.5" customHeight="1">
      <c r="A1071" s="17"/>
      <c r="B1071" s="12"/>
      <c r="C1071" s="17"/>
      <c r="D1071" s="17"/>
      <c r="E1071" s="12"/>
      <c r="F1071" s="12"/>
      <c r="G1071" s="17"/>
      <c r="H1071" s="17"/>
      <c r="I1071" s="12"/>
      <c r="J1071" s="12"/>
      <c r="K1071" s="17"/>
      <c r="L1071" s="17"/>
      <c r="M1071" s="12"/>
    </row>
    <row r="1072" ht="13.5" customHeight="1">
      <c r="A1072" s="17"/>
      <c r="B1072" s="12"/>
      <c r="C1072" s="17"/>
      <c r="D1072" s="17"/>
      <c r="E1072" s="12"/>
      <c r="F1072" s="12"/>
      <c r="G1072" s="17"/>
      <c r="H1072" s="17"/>
      <c r="I1072" s="12"/>
      <c r="J1072" s="12"/>
      <c r="K1072" s="17"/>
      <c r="L1072" s="17"/>
      <c r="M1072" s="12"/>
    </row>
    <row r="1073" ht="13.5" customHeight="1">
      <c r="A1073" s="17"/>
      <c r="B1073" s="12"/>
      <c r="C1073" s="17"/>
      <c r="D1073" s="17"/>
      <c r="E1073" s="12"/>
      <c r="F1073" s="12"/>
      <c r="G1073" s="17"/>
      <c r="H1073" s="17"/>
      <c r="I1073" s="12"/>
      <c r="J1073" s="12"/>
      <c r="K1073" s="17"/>
      <c r="L1073" s="17"/>
      <c r="M1073" s="12"/>
    </row>
  </sheetData>
  <autoFilter ref="$A$1:$M$1073"/>
  <customSheetViews>
    <customSheetView guid="{3EDA368C-82AF-4F91-99D0-447C6D0C3AC0}" filter="1" showAutoFilter="1">
      <autoFilter ref="$A$1:$I$1073"/>
    </customSheetView>
    <customSheetView guid="{D5F0B65D-66C9-4347-A490-E122D728248F}" filter="1" showAutoFilter="1">
      <autoFilter ref="$A$1:$M$82">
        <filterColumn colId="8">
          <filters>
            <filter val="小熊"/>
          </filters>
        </filterColumn>
      </autoFilter>
    </customSheetView>
    <customSheetView guid="{0373266D-FDE9-402D-B356-CC4A29DEE2C4}" filter="1" showAutoFilter="1">
      <autoFilter ref="$A$1:$I$87">
        <filterColumn colId="8">
          <filters blank="1">
            <filter val="李果"/>
            <filter val="芳梅"/>
            <filter val="威姐"/>
            <filter val="文亭"/>
            <filter val="敏敏"/>
            <filter val="森森"/>
            <filter val="院长"/>
            <filter val="小熊"/>
            <filter val="邦邦"/>
            <filter val="靓仔"/>
            <filter val="林峰"/>
            <filter val="礼森"/>
          </filters>
        </filterColumn>
      </autoFilter>
    </customSheetView>
    <customSheetView guid="{EA286861-2BF7-43B3-9B82-4333ABB0A30E}" filter="1" showAutoFilter="1">
      <autoFilter ref="$A$1:$K$85">
        <filterColumn colId="2">
          <filters>
            <filter val="10.USB-C"/>
            <filter val="12.EMC"/>
            <filter val="8.Mods"/>
            <filter val="11.Thermal"/>
          </filters>
        </filterColumn>
      </autoFilter>
    </customSheetView>
    <customSheetView guid="{14910ABA-25C5-4249-BD6C-ACF0CEBAD616}" filter="1" showAutoFilter="1">
      <autoFilter ref="$A$1:$I$87"/>
    </customSheetView>
    <customSheetView guid="{029C2313-9411-4E27-907A-EFD996D6C4E5}" filter="1" showAutoFilter="1">
      <autoFilter ref="$F$1:$I$1073">
        <filterColumn colId="0">
          <filters blank="1">
            <filter val="NA"/>
          </filters>
        </filterColumn>
      </autoFilter>
    </customSheetView>
    <customSheetView guid="{75472B64-22E8-45FC-A839-460B446DB55F}" filter="1" showAutoFilter="1">
      <autoFilter ref="$A$1:$I$87"/>
    </customSheetView>
    <customSheetView guid="{7E71B5F7-61AF-4C93-AAAA-D905E381EEB1}" filter="1" showAutoFilter="1">
      <autoFilter ref="$F$100"/>
    </customSheetView>
    <customSheetView guid="{4E722777-354C-41C4-BDAF-3C065BD42EC8}" filter="1" showAutoFilter="1">
      <autoFilter ref="$A$1:$K$85"/>
    </customSheetView>
  </customSheetViews>
  <conditionalFormatting sqref="F2:F104">
    <cfRule type="containsText" dxfId="1" priority="1" operator="containsText" text="Open">
      <formula>NOT(ISERROR(SEARCH(("Open"),(F2))))</formula>
    </cfRule>
  </conditionalFormatting>
  <conditionalFormatting sqref="F2:F104">
    <cfRule type="containsText" dxfId="0" priority="2" operator="containsText" text="Closed">
      <formula>NOT(ISERROR(SEARCH(("Closed"),(F2))))</formula>
    </cfRule>
  </conditionalFormatting>
  <conditionalFormatting sqref="F2:F104">
    <cfRule type="containsText" dxfId="3" priority="3" operator="containsText" text="Monitor">
      <formula>NOT(ISERROR(SEARCH(("Monitor"),(F2))))</formula>
    </cfRule>
  </conditionalFormatting>
  <dataValidations>
    <dataValidation type="list" allowBlank="1" sqref="I2:J104">
      <formula1>Option!$K$2:$K$17</formula1>
    </dataValidation>
    <dataValidation type="list" allowBlank="1" sqref="B68:B85">
      <formula1>Option!$C$2:$C$16</formula1>
    </dataValidation>
    <dataValidation type="list" allowBlank="1" sqref="D86:D97">
      <formula1>Option!$D$5:$D$10</formula1>
    </dataValidation>
    <dataValidation type="list" allowBlank="1" sqref="C2:C104">
      <formula1>Option!$E$2:$E$13</formula1>
    </dataValidation>
    <dataValidation type="list" allowBlank="1" sqref="F2:F104">
      <formula1>Option!$F$2:$F$5</formula1>
    </dataValidation>
    <dataValidation type="list" allowBlank="1" sqref="B2:B67 B86:B104">
      <formula1>Option!$C$4:$C$16</formula1>
    </dataValidation>
    <dataValidation type="list" allowBlank="1" sqref="D2:D85">
      <formula1>Option!$D$5:$D$15</formula1>
    </dataValidation>
    <dataValidation type="list" allowBlank="1" sqref="L2:L85">
      <formula1>"1.SCH,2.PCB,3.BOM,4.Parameter,5.SW/ME/RF/ANT/Component/MFG/Vendor,6.No Change"</formula1>
    </dataValidation>
    <dataValidation type="list" allowBlank="1" sqref="M2:M104">
      <formula1>Option!$L$2:$L$16</formula1>
    </dataValidation>
    <dataValidation type="list" allowBlank="1" sqref="E2:E93">
      <formula1>Option!$G$2:$G$5</formula1>
    </dataValidation>
    <dataValidation type="list" allowBlank="1" sqref="L86:L104">
      <formula1>"Link,NA"</formula1>
    </dataValidation>
  </dataValidations>
  <hyperlinks>
    <hyperlink r:id="rId4" ref="L6"/>
    <hyperlink r:id="rId5" ref="L7"/>
    <hyperlink r:id="rId6" ref="L8"/>
    <hyperlink r:id="rId7" ref="L9"/>
    <hyperlink r:id="rId8" ref="L11"/>
    <hyperlink r:id="rId9" ref="L12"/>
    <hyperlink r:id="rId10" ref="L14"/>
    <hyperlink r:id="rId11" ref="L16"/>
    <hyperlink r:id="rId12" ref="L17"/>
    <hyperlink r:id="rId13" ref="L18"/>
    <hyperlink r:id="rId14" ref="L24"/>
    <hyperlink r:id="rId15" ref="L27"/>
    <hyperlink r:id="rId16" ref="L28"/>
    <hyperlink r:id="rId17" ref="L29"/>
    <hyperlink r:id="rId18" ref="M30"/>
    <hyperlink r:id="rId19" ref="L32"/>
    <hyperlink r:id="rId20" ref="L37"/>
    <hyperlink r:id="rId21" ref="L40"/>
    <hyperlink r:id="rId22" ref="M40"/>
    <hyperlink r:id="rId23" ref="L41"/>
    <hyperlink r:id="rId24" ref="M41"/>
    <hyperlink r:id="rId25" ref="M42"/>
    <hyperlink r:id="rId26" ref="M43"/>
    <hyperlink r:id="rId27" ref="L44"/>
    <hyperlink r:id="rId28" ref="M44"/>
    <hyperlink r:id="rId29" ref="L45"/>
    <hyperlink r:id="rId30" ref="M45"/>
    <hyperlink r:id="rId31" ref="L46"/>
    <hyperlink r:id="rId32" ref="M47"/>
    <hyperlink r:id="rId33" ref="M48"/>
    <hyperlink r:id="rId34" ref="M49"/>
    <hyperlink r:id="rId35" ref="M50"/>
    <hyperlink r:id="rId36" ref="M51"/>
    <hyperlink r:id="rId37" ref="L52"/>
    <hyperlink r:id="rId38" ref="M52"/>
    <hyperlink r:id="rId39" ref="M53"/>
    <hyperlink r:id="rId40" ref="M55"/>
    <hyperlink r:id="rId41" ref="M56"/>
    <hyperlink r:id="rId42" ref="M57"/>
    <hyperlink r:id="rId43" ref="L58"/>
    <hyperlink r:id="rId44" ref="M58"/>
    <hyperlink r:id="rId45" ref="M59"/>
    <hyperlink r:id="rId46" ref="L60"/>
    <hyperlink r:id="rId47" ref="M60"/>
    <hyperlink r:id="rId48" ref="L61"/>
    <hyperlink r:id="rId49" ref="M61"/>
    <hyperlink r:id="rId50" ref="L62"/>
    <hyperlink r:id="rId51" ref="M62"/>
    <hyperlink r:id="rId52" ref="M63"/>
    <hyperlink r:id="rId53" ref="M64"/>
    <hyperlink r:id="rId54" ref="M65"/>
    <hyperlink r:id="rId55" ref="L66"/>
    <hyperlink r:id="rId56" ref="M66"/>
    <hyperlink r:id="rId57" ref="L67"/>
    <hyperlink r:id="rId58" ref="M67"/>
    <hyperlink r:id="rId59" ref="L68"/>
    <hyperlink r:id="rId60" ref="M68"/>
    <hyperlink r:id="rId61" ref="M69"/>
    <hyperlink r:id="rId62" ref="M70"/>
    <hyperlink r:id="rId63" ref="M71"/>
    <hyperlink r:id="rId64" ref="M72"/>
    <hyperlink r:id="rId65" ref="M73"/>
    <hyperlink r:id="rId66" ref="M74"/>
    <hyperlink r:id="rId67" ref="M75"/>
    <hyperlink r:id="rId68" ref="M76"/>
    <hyperlink r:id="rId69" ref="M77"/>
    <hyperlink r:id="rId70" ref="M78"/>
    <hyperlink r:id="rId71" ref="M79"/>
    <hyperlink r:id="rId72" ref="M80"/>
    <hyperlink r:id="rId73" ref="M81"/>
    <hyperlink r:id="rId74" ref="M82"/>
    <hyperlink r:id="rId75" ref="M83"/>
    <hyperlink r:id="rId76" ref="M84"/>
    <hyperlink r:id="rId77" ref="M85"/>
  </hyperlinks>
  <drawing r:id="rId78"/>
  <legacyDrawing r:id="rId79"/>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5.13" defaultRowHeight="15.0"/>
  <cols>
    <col customWidth="1" min="1" max="1" width="9.25"/>
    <col customWidth="1" min="2" max="2" width="10.88"/>
    <col customWidth="1" min="3" max="3" width="10.5"/>
    <col customWidth="1" min="4" max="4" width="10.25"/>
    <col customWidth="1" min="5" max="5" width="11.75"/>
    <col customWidth="1" min="6" max="6" width="11.63"/>
    <col customWidth="1" min="7" max="7" width="108.25"/>
    <col customWidth="1" min="8" max="8" width="7.38"/>
    <col customWidth="1" min="9" max="9" width="9.88"/>
    <col customWidth="1" min="10" max="10" width="12.38"/>
    <col customWidth="1" min="11" max="11" width="13.13"/>
    <col customWidth="1" min="12" max="12" width="14.0"/>
    <col customWidth="1" min="13" max="13" width="12.88"/>
  </cols>
  <sheetData>
    <row r="1" ht="24.0" customHeight="1">
      <c r="A1" s="4" t="s">
        <v>0</v>
      </c>
      <c r="B1" s="4" t="s">
        <v>1</v>
      </c>
      <c r="C1" s="4" t="s">
        <v>2</v>
      </c>
      <c r="D1" s="4" t="s">
        <v>3</v>
      </c>
      <c r="E1" s="4" t="s">
        <v>4</v>
      </c>
      <c r="F1" s="4" t="s">
        <v>5</v>
      </c>
      <c r="G1" s="4" t="s">
        <v>6</v>
      </c>
      <c r="H1" s="4" t="s">
        <v>7</v>
      </c>
      <c r="I1" s="3" t="s">
        <v>8</v>
      </c>
      <c r="J1" s="3" t="s">
        <v>9</v>
      </c>
      <c r="K1" s="4" t="s">
        <v>10</v>
      </c>
      <c r="L1" s="213" t="s">
        <v>11</v>
      </c>
      <c r="M1" s="213" t="s">
        <v>714</v>
      </c>
    </row>
    <row r="2" ht="315.0" customHeight="1">
      <c r="A2" s="250">
        <v>43815.0</v>
      </c>
      <c r="B2" s="235" t="s">
        <v>172</v>
      </c>
      <c r="C2" s="236" t="s">
        <v>72</v>
      </c>
      <c r="D2" s="237" t="s">
        <v>95</v>
      </c>
      <c r="E2" s="237" t="s">
        <v>15</v>
      </c>
      <c r="F2" s="179" t="s">
        <v>86</v>
      </c>
      <c r="G2" s="156" t="s">
        <v>1119</v>
      </c>
      <c r="H2" s="241"/>
      <c r="I2" s="18"/>
      <c r="J2" s="18"/>
      <c r="K2" s="13"/>
      <c r="L2" s="13" t="s">
        <v>71</v>
      </c>
      <c r="M2" s="225"/>
    </row>
    <row r="3" ht="261.0" customHeight="1">
      <c r="A3" s="250">
        <v>43668.0</v>
      </c>
      <c r="B3" s="235" t="s">
        <v>12</v>
      </c>
      <c r="C3" s="236" t="s">
        <v>20</v>
      </c>
      <c r="D3" s="237" t="s">
        <v>27</v>
      </c>
      <c r="E3" s="237" t="s">
        <v>15</v>
      </c>
      <c r="F3" s="179" t="s">
        <v>16</v>
      </c>
      <c r="G3" s="156" t="s">
        <v>1120</v>
      </c>
      <c r="H3" s="239" t="str">
        <f>HYPERLINK("https://docs.google.com/presentation/d/1uuYkmY-AvV8pYd8brskLTAcp0JlwR1KdqjIz2-MYkmw/edit#slide=id.g4057557fca_0_46","Link")</f>
        <v>Link</v>
      </c>
      <c r="I3" s="18" t="s">
        <v>67</v>
      </c>
      <c r="J3" s="18" t="s">
        <v>79</v>
      </c>
      <c r="K3" s="13"/>
      <c r="L3" s="294" t="s">
        <v>71</v>
      </c>
      <c r="M3" s="225"/>
    </row>
    <row r="4" ht="203.25" customHeight="1">
      <c r="A4" s="250">
        <v>43651.0</v>
      </c>
      <c r="B4" s="235" t="s">
        <v>12</v>
      </c>
      <c r="C4" s="236" t="s">
        <v>20</v>
      </c>
      <c r="D4" s="237" t="s">
        <v>14</v>
      </c>
      <c r="E4" s="237" t="s">
        <v>22</v>
      </c>
      <c r="F4" s="179" t="s">
        <v>16</v>
      </c>
      <c r="G4" s="156" t="s">
        <v>1121</v>
      </c>
      <c r="H4" s="239" t="str">
        <f>HYPERLINK("https://docs.google.com/presentation/d/1APhhmkoYvRd9vdV2Lu0yTwSdP-iqJQxsMWxnREoKvbE/edit#slide=id.g4057557fca_0_46","link")</f>
        <v>link</v>
      </c>
      <c r="I4" s="18" t="s">
        <v>67</v>
      </c>
      <c r="J4" s="18" t="s">
        <v>127</v>
      </c>
      <c r="K4" s="13"/>
      <c r="L4" s="10" t="s">
        <v>71</v>
      </c>
      <c r="M4" s="225"/>
    </row>
    <row r="5">
      <c r="A5" s="250">
        <v>43651.0</v>
      </c>
      <c r="B5" s="235" t="s">
        <v>12</v>
      </c>
      <c r="C5" s="236" t="s">
        <v>76</v>
      </c>
      <c r="D5" s="237" t="s">
        <v>14</v>
      </c>
      <c r="E5" s="237" t="s">
        <v>22</v>
      </c>
      <c r="F5" s="179" t="s">
        <v>16</v>
      </c>
      <c r="G5" s="156" t="s">
        <v>1122</v>
      </c>
      <c r="H5" s="241"/>
      <c r="I5" s="18" t="s">
        <v>463</v>
      </c>
      <c r="J5" s="18"/>
      <c r="K5" s="13"/>
      <c r="L5" s="13" t="s">
        <v>71</v>
      </c>
      <c r="M5" s="225"/>
    </row>
    <row r="6">
      <c r="A6" s="250">
        <v>43630.0</v>
      </c>
      <c r="B6" s="235" t="s">
        <v>12</v>
      </c>
      <c r="C6" s="236" t="s">
        <v>83</v>
      </c>
      <c r="D6" s="237" t="s">
        <v>44</v>
      </c>
      <c r="E6" s="237" t="s">
        <v>22</v>
      </c>
      <c r="F6" s="179" t="s">
        <v>16</v>
      </c>
      <c r="G6" s="156" t="s">
        <v>1123</v>
      </c>
      <c r="H6" s="239" t="str">
        <f>HYPERLINK("https://docs.google.com/presentation/d/1v5OUgkcrMorQv15qJO6m25qRgXjeyMxlYC95QPCD4AI/edit#slide=id.g5cca43c6ab_0_0","Link")</f>
        <v>Link</v>
      </c>
      <c r="I6" s="18" t="s">
        <v>79</v>
      </c>
      <c r="J6" s="18" t="s">
        <v>346</v>
      </c>
      <c r="K6" s="13"/>
      <c r="L6" s="10" t="s">
        <v>71</v>
      </c>
      <c r="M6" s="225"/>
    </row>
    <row r="7">
      <c r="A7" s="250">
        <v>43630.0</v>
      </c>
      <c r="B7" s="235" t="s">
        <v>25</v>
      </c>
      <c r="C7" s="236" t="s">
        <v>13</v>
      </c>
      <c r="D7" s="237" t="s">
        <v>58</v>
      </c>
      <c r="E7" s="237" t="s">
        <v>22</v>
      </c>
      <c r="F7" s="179" t="s">
        <v>64</v>
      </c>
      <c r="G7" s="156" t="s">
        <v>1124</v>
      </c>
      <c r="H7" s="241"/>
      <c r="I7" s="18" t="s">
        <v>79</v>
      </c>
      <c r="J7" s="18"/>
      <c r="K7" s="13"/>
      <c r="L7" s="10" t="s">
        <v>68</v>
      </c>
      <c r="M7" s="225"/>
    </row>
    <row r="8" ht="114.75" customHeight="1">
      <c r="A8" s="250">
        <v>43630.0</v>
      </c>
      <c r="B8" s="235" t="s">
        <v>25</v>
      </c>
      <c r="C8" s="236" t="s">
        <v>57</v>
      </c>
      <c r="D8" s="237" t="s">
        <v>58</v>
      </c>
      <c r="E8" s="237" t="s">
        <v>22</v>
      </c>
      <c r="F8" s="179" t="s">
        <v>16</v>
      </c>
      <c r="G8" s="252" t="s">
        <v>1125</v>
      </c>
      <c r="H8" s="241"/>
      <c r="I8" s="18" t="s">
        <v>717</v>
      </c>
      <c r="J8" s="18"/>
      <c r="K8" s="13"/>
      <c r="L8" s="10" t="s">
        <v>71</v>
      </c>
      <c r="M8" s="225"/>
    </row>
    <row r="9" ht="207.75" customHeight="1">
      <c r="A9" s="250">
        <v>43630.0</v>
      </c>
      <c r="B9" s="235" t="s">
        <v>25</v>
      </c>
      <c r="C9" s="236" t="s">
        <v>57</v>
      </c>
      <c r="D9" s="237" t="s">
        <v>21</v>
      </c>
      <c r="E9" s="237" t="s">
        <v>22</v>
      </c>
      <c r="F9" s="179" t="s">
        <v>16</v>
      </c>
      <c r="G9" s="156" t="s">
        <v>1126</v>
      </c>
      <c r="H9" s="239" t="str">
        <f>HYPERLINK("https://docs.google.com/presentation/d/1hW6Z2TYOxkmuTPJQhvRI5gIETNPuzY3NcfXG702D-n8/edit?usp=sharing","Link")</f>
        <v>Link</v>
      </c>
      <c r="I9" s="18" t="s">
        <v>717</v>
      </c>
      <c r="J9" s="18"/>
      <c r="K9" s="13"/>
      <c r="L9" s="10" t="s">
        <v>71</v>
      </c>
      <c r="M9" s="225"/>
    </row>
    <row r="10" ht="159.75" customHeight="1">
      <c r="A10" s="250">
        <v>43620.0</v>
      </c>
      <c r="B10" s="235" t="s">
        <v>19</v>
      </c>
      <c r="C10" s="236" t="s">
        <v>49</v>
      </c>
      <c r="D10" s="237" t="s">
        <v>27</v>
      </c>
      <c r="E10" s="237" t="s">
        <v>22</v>
      </c>
      <c r="F10" s="179" t="s">
        <v>16</v>
      </c>
      <c r="G10" s="156" t="s">
        <v>1127</v>
      </c>
      <c r="H10" s="239" t="str">
        <f>HYPERLINK("https://docs.google.com/presentation/d/1aJlTfMns4vx3MSPGX-9gRt2pIm7mvkGIaac7_9qY8Kk/edit#slide=id.g5af4b256fc_1_0","link")</f>
        <v>link</v>
      </c>
      <c r="I10" s="18" t="s">
        <v>66</v>
      </c>
      <c r="J10" s="18" t="s">
        <v>115</v>
      </c>
      <c r="K10" s="13"/>
      <c r="L10" s="10" t="s">
        <v>71</v>
      </c>
      <c r="M10" s="225"/>
    </row>
    <row r="11">
      <c r="A11" s="250">
        <v>43616.0</v>
      </c>
      <c r="B11" s="235" t="s">
        <v>19</v>
      </c>
      <c r="C11" s="236" t="s">
        <v>49</v>
      </c>
      <c r="D11" s="237" t="s">
        <v>14</v>
      </c>
      <c r="E11" s="237" t="s">
        <v>22</v>
      </c>
      <c r="F11" s="179" t="s">
        <v>16</v>
      </c>
      <c r="G11" s="156" t="s">
        <v>1128</v>
      </c>
      <c r="H11" s="239" t="str">
        <f>HYPERLINK("https://docs.google.com/presentation/d/1JRnoqWL5ClfkglB1lW0rm2QgaXDrCZahWv_6rPAuV9k/edit#slide=id.g512bac1dcc_0_0","link")</f>
        <v>link</v>
      </c>
      <c r="I11" s="18" t="s">
        <v>66</v>
      </c>
      <c r="J11" s="18" t="s">
        <v>115</v>
      </c>
      <c r="K11" s="13"/>
      <c r="L11" s="13" t="s">
        <v>162</v>
      </c>
      <c r="M11" s="225"/>
    </row>
    <row r="12" ht="213.75" customHeight="1">
      <c r="A12" s="250">
        <v>43616.0</v>
      </c>
      <c r="B12" s="235" t="s">
        <v>19</v>
      </c>
      <c r="C12" s="236" t="s">
        <v>36</v>
      </c>
      <c r="D12" s="237" t="s">
        <v>21</v>
      </c>
      <c r="E12" s="237" t="s">
        <v>22</v>
      </c>
      <c r="F12" s="179" t="s">
        <v>16</v>
      </c>
      <c r="G12" s="156" t="s">
        <v>1129</v>
      </c>
      <c r="H12" s="239" t="str">
        <f>HYPERLINK("https://docs.google.com/presentation/d/1asoZoIYWmh5mcTHbv7qkR1eO9vvkxpoXT6c_Wnq5zcc/edit#slide=id.g4057557fca_0_46","Link")</f>
        <v>Link</v>
      </c>
      <c r="I12" s="18" t="s">
        <v>463</v>
      </c>
      <c r="J12" s="18" t="s">
        <v>127</v>
      </c>
      <c r="K12" s="13"/>
      <c r="L12" s="13" t="s">
        <v>71</v>
      </c>
      <c r="M12" s="225"/>
    </row>
    <row r="13" ht="240.0" customHeight="1">
      <c r="A13" s="250">
        <v>43614.0</v>
      </c>
      <c r="B13" s="235" t="s">
        <v>19</v>
      </c>
      <c r="C13" s="236" t="s">
        <v>20</v>
      </c>
      <c r="D13" s="237" t="s">
        <v>58</v>
      </c>
      <c r="E13" s="237" t="s">
        <v>22</v>
      </c>
      <c r="F13" s="179" t="s">
        <v>16</v>
      </c>
      <c r="G13" s="156" t="s">
        <v>1130</v>
      </c>
      <c r="H13" s="239" t="str">
        <f>HYPERLINK("https://docs.google.com/presentation/d/1Z8dxUuybzWLR8Hy9iC-3g9-BcslKWzF043otN5iiTEw/edit#slide=id.g54ffdda8b8_8_0","here")</f>
        <v>here</v>
      </c>
      <c r="I13" s="18" t="s">
        <v>67</v>
      </c>
      <c r="J13" s="18" t="s">
        <v>127</v>
      </c>
      <c r="K13" s="13"/>
      <c r="L13" s="10" t="s">
        <v>68</v>
      </c>
      <c r="M13" s="225"/>
    </row>
    <row r="14" ht="127.5" customHeight="1">
      <c r="A14" s="250">
        <v>43601.0</v>
      </c>
      <c r="B14" s="235" t="s">
        <v>19</v>
      </c>
      <c r="C14" s="236" t="s">
        <v>33</v>
      </c>
      <c r="D14" s="237" t="s">
        <v>21</v>
      </c>
      <c r="E14" s="237" t="s">
        <v>15</v>
      </c>
      <c r="F14" s="179" t="s">
        <v>16</v>
      </c>
      <c r="G14" s="156" t="s">
        <v>1131</v>
      </c>
      <c r="H14" s="239" t="str">
        <f>HYPERLINK("https://docs.google.com/presentation/d/1QtRP1Ai6GMDIC7qdlrc6aFNtYupagWwy1otwHm4XK58/edit?ts=5ce789c5#slide=id.g5a8b016d74_2_0","here")</f>
        <v>here</v>
      </c>
      <c r="I14" s="18" t="s">
        <v>463</v>
      </c>
      <c r="J14" s="18" t="s">
        <v>346</v>
      </c>
      <c r="K14" s="13"/>
      <c r="L14" s="10" t="s">
        <v>71</v>
      </c>
      <c r="M14" s="225"/>
    </row>
    <row r="15" ht="91.5" customHeight="1">
      <c r="A15" s="250">
        <v>43584.0</v>
      </c>
      <c r="B15" s="235" t="s">
        <v>43</v>
      </c>
      <c r="C15" s="236" t="s">
        <v>13</v>
      </c>
      <c r="D15" s="237" t="s">
        <v>44</v>
      </c>
      <c r="E15" s="237" t="s">
        <v>22</v>
      </c>
      <c r="F15" s="179" t="s">
        <v>16</v>
      </c>
      <c r="G15" s="156" t="s">
        <v>1132</v>
      </c>
      <c r="H15" s="241"/>
      <c r="I15" s="18" t="s">
        <v>79</v>
      </c>
      <c r="J15" s="18" t="s">
        <v>70</v>
      </c>
      <c r="K15" s="13"/>
      <c r="L15" s="13" t="s">
        <v>63</v>
      </c>
      <c r="M15" s="225"/>
    </row>
    <row r="16" ht="54.0" customHeight="1">
      <c r="A16" s="250">
        <v>43584.0</v>
      </c>
      <c r="B16" s="235" t="s">
        <v>19</v>
      </c>
      <c r="C16" s="236" t="s">
        <v>49</v>
      </c>
      <c r="D16" s="237" t="s">
        <v>44</v>
      </c>
      <c r="E16" s="237" t="s">
        <v>22</v>
      </c>
      <c r="F16" s="179" t="s">
        <v>16</v>
      </c>
      <c r="G16" s="156" t="s">
        <v>1133</v>
      </c>
      <c r="H16" s="241" t="s">
        <v>748</v>
      </c>
      <c r="I16" s="18" t="s">
        <v>115</v>
      </c>
      <c r="J16" s="18" t="s">
        <v>66</v>
      </c>
      <c r="K16" s="13"/>
      <c r="L16" s="10" t="s">
        <v>71</v>
      </c>
      <c r="M16" s="225"/>
    </row>
    <row r="17" ht="290.25" customHeight="1">
      <c r="A17" s="250">
        <v>43623.0</v>
      </c>
      <c r="B17" s="235" t="s">
        <v>25</v>
      </c>
      <c r="C17" s="236" t="s">
        <v>20</v>
      </c>
      <c r="D17" s="237" t="s">
        <v>58</v>
      </c>
      <c r="E17" s="237" t="s">
        <v>22</v>
      </c>
      <c r="F17" s="179" t="s">
        <v>16</v>
      </c>
      <c r="G17" s="238" t="s">
        <v>1134</v>
      </c>
      <c r="H17" s="239" t="str">
        <f>HYPERLINK("https://docs.google.com/presentation/d/1XtxDP_mcH49CJznLZNvfHauGrdV5fDR9OTlZ6ClGthg/edit#slide=id.g5be5d67839_0_21","Link")</f>
        <v>Link</v>
      </c>
      <c r="I17" s="18" t="s">
        <v>463</v>
      </c>
      <c r="J17" s="18"/>
      <c r="K17" s="13"/>
      <c r="L17" s="10" t="s">
        <v>68</v>
      </c>
      <c r="M17" s="225"/>
    </row>
    <row r="18" ht="118.5" customHeight="1">
      <c r="A18" s="250">
        <v>43591.0</v>
      </c>
      <c r="B18" s="235" t="s">
        <v>19</v>
      </c>
      <c r="C18" s="236" t="s">
        <v>57</v>
      </c>
      <c r="D18" s="237" t="s">
        <v>58</v>
      </c>
      <c r="E18" s="237" t="s">
        <v>22</v>
      </c>
      <c r="F18" s="179" t="s">
        <v>64</v>
      </c>
      <c r="G18" s="156" t="s">
        <v>1135</v>
      </c>
      <c r="H18" s="241"/>
      <c r="I18" s="18" t="s">
        <v>717</v>
      </c>
      <c r="J18" s="18"/>
      <c r="K18" s="13"/>
      <c r="L18" s="294" t="s">
        <v>71</v>
      </c>
      <c r="M18" s="225"/>
    </row>
    <row r="19" ht="93.75" customHeight="1">
      <c r="A19" s="250">
        <v>43582.0</v>
      </c>
      <c r="B19" s="235" t="s">
        <v>19</v>
      </c>
      <c r="C19" s="236" t="s">
        <v>33</v>
      </c>
      <c r="D19" s="237" t="s">
        <v>14</v>
      </c>
      <c r="E19" s="237" t="s">
        <v>64</v>
      </c>
      <c r="F19" s="179" t="s">
        <v>16</v>
      </c>
      <c r="G19" s="156" t="s">
        <v>1136</v>
      </c>
      <c r="H19" s="241"/>
      <c r="I19" s="18" t="s">
        <v>463</v>
      </c>
      <c r="J19" s="18"/>
      <c r="K19" s="13"/>
      <c r="L19" s="240" t="s">
        <v>68</v>
      </c>
      <c r="M19" s="225"/>
    </row>
    <row r="20" ht="93.75" customHeight="1">
      <c r="A20" s="250">
        <v>43584.0</v>
      </c>
      <c r="B20" s="235" t="s">
        <v>19</v>
      </c>
      <c r="C20" s="236" t="s">
        <v>49</v>
      </c>
      <c r="D20" s="237" t="s">
        <v>27</v>
      </c>
      <c r="E20" s="237" t="s">
        <v>22</v>
      </c>
      <c r="F20" s="179" t="s">
        <v>16</v>
      </c>
      <c r="G20" s="156" t="s">
        <v>1137</v>
      </c>
      <c r="H20" s="241"/>
      <c r="I20" s="18" t="s">
        <v>115</v>
      </c>
      <c r="J20" s="18" t="s">
        <v>66</v>
      </c>
      <c r="K20" s="13"/>
      <c r="L20" s="294" t="s">
        <v>71</v>
      </c>
      <c r="M20" s="225"/>
    </row>
    <row r="21">
      <c r="A21" s="250">
        <v>43584.0</v>
      </c>
      <c r="B21" s="235" t="s">
        <v>43</v>
      </c>
      <c r="C21" s="236" t="s">
        <v>83</v>
      </c>
      <c r="D21" s="237" t="s">
        <v>58</v>
      </c>
      <c r="E21" s="237" t="s">
        <v>15</v>
      </c>
      <c r="F21" s="179" t="s">
        <v>16</v>
      </c>
      <c r="G21" s="156" t="s">
        <v>1138</v>
      </c>
      <c r="H21" s="239" t="str">
        <f>HYPERLINK("https://docs.google.com/presentation/d/1GJshFUk1BKeerXEi93Yjk2C8G9q616l1PvyCzUlhE6g/edit#slide=id.g512bac1dcc_0_0","link")</f>
        <v>link</v>
      </c>
      <c r="I21" s="18" t="s">
        <v>66</v>
      </c>
      <c r="J21" s="18" t="s">
        <v>463</v>
      </c>
      <c r="K21" s="13"/>
      <c r="L21" s="10" t="s">
        <v>71</v>
      </c>
      <c r="M21" s="225"/>
    </row>
    <row r="22" ht="93.0" customHeight="1">
      <c r="A22" s="250">
        <v>43534.0</v>
      </c>
      <c r="B22" s="235" t="s">
        <v>43</v>
      </c>
      <c r="C22" s="236" t="s">
        <v>26</v>
      </c>
      <c r="D22" s="237" t="s">
        <v>27</v>
      </c>
      <c r="E22" s="237" t="s">
        <v>15</v>
      </c>
      <c r="F22" s="179" t="s">
        <v>16</v>
      </c>
      <c r="G22" s="156" t="s">
        <v>1139</v>
      </c>
      <c r="H22" s="239" t="str">
        <f>HYPERLINK("https://docs.google.com/presentation/d/1WyhK1U8hwrfBwJYOhVhd1Vt1B9pK35UcrMIJVilz8fw/edit","here")</f>
        <v>here</v>
      </c>
      <c r="I22" s="18" t="s">
        <v>66</v>
      </c>
      <c r="J22" s="18" t="s">
        <v>720</v>
      </c>
      <c r="K22" s="10" t="str">
        <f>HYPERLINK("https://docs.google.com/spreadsheets/d/1kOg682S37g__uZP3x4rPtC5k_QzONrV13zGRZZR2rWA/edit?usp=drive_web&amp;ouid=103383453319254568207","here")</f>
        <v>here</v>
      </c>
      <c r="L22" s="10" t="s">
        <v>71</v>
      </c>
      <c r="M22" s="225"/>
    </row>
    <row r="23" ht="180.75" customHeight="1">
      <c r="A23" s="250">
        <v>43577.0</v>
      </c>
      <c r="B23" s="235" t="s">
        <v>43</v>
      </c>
      <c r="C23" s="236" t="s">
        <v>26</v>
      </c>
      <c r="D23" s="237" t="s">
        <v>58</v>
      </c>
      <c r="E23" s="237" t="s">
        <v>22</v>
      </c>
      <c r="F23" s="179" t="s">
        <v>16</v>
      </c>
      <c r="G23" s="156" t="s">
        <v>1140</v>
      </c>
      <c r="H23" s="239" t="str">
        <f>HYPERLINK("https://docs.google.com/presentation/d/1NePMd24xW6-vmq3T3mknoLunUvthPQCsWeLpSS-YnCU/edit","link")</f>
        <v>link</v>
      </c>
      <c r="I23" s="18" t="s">
        <v>463</v>
      </c>
      <c r="J23" s="18" t="s">
        <v>66</v>
      </c>
      <c r="K23" s="13"/>
      <c r="L23" s="10" t="s">
        <v>71</v>
      </c>
      <c r="M23" s="225"/>
    </row>
    <row r="24" ht="95.25" customHeight="1">
      <c r="A24" s="250">
        <v>43572.0</v>
      </c>
      <c r="B24" s="235" t="s">
        <v>43</v>
      </c>
      <c r="C24" s="236" t="s">
        <v>57</v>
      </c>
      <c r="D24" s="237" t="s">
        <v>58</v>
      </c>
      <c r="E24" s="237" t="s">
        <v>22</v>
      </c>
      <c r="F24" s="179" t="s">
        <v>64</v>
      </c>
      <c r="G24" s="156" t="s">
        <v>1141</v>
      </c>
      <c r="H24" s="241"/>
      <c r="I24" s="18" t="s">
        <v>717</v>
      </c>
      <c r="J24" s="18"/>
      <c r="K24" s="13"/>
      <c r="L24" s="13" t="s">
        <v>68</v>
      </c>
      <c r="M24" s="225"/>
    </row>
    <row r="25" ht="134.25" customHeight="1">
      <c r="A25" s="250">
        <v>43565.0</v>
      </c>
      <c r="B25" s="235" t="s">
        <v>43</v>
      </c>
      <c r="C25" s="236" t="s">
        <v>26</v>
      </c>
      <c r="D25" s="237" t="s">
        <v>27</v>
      </c>
      <c r="E25" s="237" t="s">
        <v>64</v>
      </c>
      <c r="F25" s="179" t="s">
        <v>64</v>
      </c>
      <c r="G25" s="156" t="s">
        <v>1142</v>
      </c>
      <c r="H25" s="241"/>
      <c r="I25" s="18" t="s">
        <v>66</v>
      </c>
      <c r="J25" s="18" t="s">
        <v>720</v>
      </c>
      <c r="K25" s="13"/>
      <c r="L25" s="10" t="s">
        <v>71</v>
      </c>
      <c r="M25" s="225"/>
    </row>
    <row r="26" ht="132.0" customHeight="1">
      <c r="A26" s="250">
        <v>43548.0</v>
      </c>
      <c r="B26" s="235" t="s">
        <v>43</v>
      </c>
      <c r="C26" s="236" t="s">
        <v>76</v>
      </c>
      <c r="D26" s="237" t="s">
        <v>44</v>
      </c>
      <c r="E26" s="237" t="s">
        <v>15</v>
      </c>
      <c r="F26" s="179" t="s">
        <v>16</v>
      </c>
      <c r="G26" s="156" t="s">
        <v>1143</v>
      </c>
      <c r="H26" s="239" t="str">
        <f>HYPERLINK("https://docs.google.com/presentation/d/11PgN-XAsnzp9MctfiSsRkSc1GtvreN8yJzQumENVHBQ/edit#slide=id.g556deeaf70_1_1","link")</f>
        <v>link</v>
      </c>
      <c r="I26" s="18" t="s">
        <v>346</v>
      </c>
      <c r="J26" s="18"/>
      <c r="K26" s="13"/>
      <c r="L26" s="13" t="s">
        <v>63</v>
      </c>
      <c r="M26" s="225"/>
    </row>
    <row r="27" ht="150.75" customHeight="1">
      <c r="A27" s="250">
        <v>43580.0</v>
      </c>
      <c r="B27" s="235" t="s">
        <v>43</v>
      </c>
      <c r="C27" s="236" t="s">
        <v>57</v>
      </c>
      <c r="D27" s="237" t="s">
        <v>58</v>
      </c>
      <c r="E27" s="237" t="s">
        <v>22</v>
      </c>
      <c r="F27" s="179" t="s">
        <v>16</v>
      </c>
      <c r="G27" s="156" t="s">
        <v>1144</v>
      </c>
      <c r="H27" s="241"/>
      <c r="I27" s="18" t="s">
        <v>717</v>
      </c>
      <c r="J27" s="18"/>
      <c r="K27" s="13"/>
      <c r="L27" s="10" t="s">
        <v>71</v>
      </c>
      <c r="M27" s="225"/>
    </row>
    <row r="28" ht="99.75" customHeight="1">
      <c r="A28" s="250">
        <v>43577.0</v>
      </c>
      <c r="B28" s="235" t="s">
        <v>43</v>
      </c>
      <c r="C28" s="236" t="s">
        <v>49</v>
      </c>
      <c r="D28" s="237" t="s">
        <v>95</v>
      </c>
      <c r="E28" s="237" t="s">
        <v>15</v>
      </c>
      <c r="F28" s="179" t="s">
        <v>16</v>
      </c>
      <c r="G28" s="156" t="s">
        <v>1145</v>
      </c>
      <c r="H28" s="239" t="str">
        <f>HYPERLINK("https://docs.google.com/presentation/d/1jBNXNQNI6myNpqyHM0P0i8OwwU9YJlNq-SHTZthnhoM/edit#slide=id.g4057557fca_0_46","link")</f>
        <v>link</v>
      </c>
      <c r="I28" s="18" t="s">
        <v>115</v>
      </c>
      <c r="J28" s="18" t="s">
        <v>346</v>
      </c>
      <c r="K28" s="13"/>
      <c r="L28" s="10" t="s">
        <v>71</v>
      </c>
      <c r="M28" s="225"/>
    </row>
    <row r="29" ht="118.5" customHeight="1">
      <c r="A29" s="250">
        <v>43572.0</v>
      </c>
      <c r="B29" s="235" t="s">
        <v>43</v>
      </c>
      <c r="C29" s="236" t="s">
        <v>57</v>
      </c>
      <c r="D29" s="237" t="s">
        <v>58</v>
      </c>
      <c r="E29" s="237" t="s">
        <v>22</v>
      </c>
      <c r="F29" s="179" t="s">
        <v>16</v>
      </c>
      <c r="G29" s="156" t="s">
        <v>1146</v>
      </c>
      <c r="H29" s="241"/>
      <c r="I29" s="18" t="s">
        <v>717</v>
      </c>
      <c r="J29" s="18"/>
      <c r="K29" s="13"/>
      <c r="L29" s="13" t="s">
        <v>68</v>
      </c>
      <c r="M29" s="225"/>
    </row>
    <row r="30" ht="140.25" customHeight="1">
      <c r="A30" s="250">
        <v>43572.0</v>
      </c>
      <c r="B30" s="235" t="s">
        <v>43</v>
      </c>
      <c r="C30" s="236" t="s">
        <v>57</v>
      </c>
      <c r="D30" s="237" t="s">
        <v>58</v>
      </c>
      <c r="E30" s="237" t="s">
        <v>22</v>
      </c>
      <c r="F30" s="179" t="s">
        <v>16</v>
      </c>
      <c r="G30" s="156" t="s">
        <v>1147</v>
      </c>
      <c r="H30" s="241"/>
      <c r="I30" s="18" t="s">
        <v>717</v>
      </c>
      <c r="J30" s="18"/>
      <c r="K30" s="13"/>
      <c r="L30" s="13" t="s">
        <v>68</v>
      </c>
      <c r="M30" s="225"/>
    </row>
    <row r="31" ht="126.0" customHeight="1">
      <c r="A31" s="250">
        <v>43565.0</v>
      </c>
      <c r="B31" s="235" t="s">
        <v>43</v>
      </c>
      <c r="C31" s="236" t="s">
        <v>57</v>
      </c>
      <c r="D31" s="237" t="s">
        <v>58</v>
      </c>
      <c r="E31" s="237" t="s">
        <v>22</v>
      </c>
      <c r="F31" s="179" t="s">
        <v>16</v>
      </c>
      <c r="G31" s="156" t="s">
        <v>1148</v>
      </c>
      <c r="H31" s="241"/>
      <c r="I31" s="18" t="s">
        <v>717</v>
      </c>
      <c r="J31" s="18"/>
      <c r="K31" s="13"/>
      <c r="L31" s="10" t="s">
        <v>71</v>
      </c>
      <c r="M31" s="225"/>
    </row>
    <row r="32" ht="106.5" customHeight="1">
      <c r="A32" s="250">
        <v>43548.0</v>
      </c>
      <c r="B32" s="235" t="s">
        <v>43</v>
      </c>
      <c r="C32" s="236" t="s">
        <v>49</v>
      </c>
      <c r="D32" s="237" t="s">
        <v>27</v>
      </c>
      <c r="E32" s="237" t="s">
        <v>22</v>
      </c>
      <c r="F32" s="179" t="s">
        <v>16</v>
      </c>
      <c r="G32" s="156" t="s">
        <v>1149</v>
      </c>
      <c r="H32" s="239" t="str">
        <f>HYPERLINK("https://docs.google.com/presentation/d/1GOxYqspDOC9dRSjoU4xKwzHZZfDwa_u5ggCbMpb7dlw/edit#slide=id.g4057557fca_0_46","link")</f>
        <v>link</v>
      </c>
      <c r="I32" s="18" t="s">
        <v>115</v>
      </c>
      <c r="J32" s="18" t="s">
        <v>66</v>
      </c>
      <c r="K32" s="13"/>
      <c r="L32" s="13" t="s">
        <v>162</v>
      </c>
      <c r="M32" s="225"/>
    </row>
    <row r="33" ht="143.25" customHeight="1">
      <c r="A33" s="250">
        <v>43560.0</v>
      </c>
      <c r="B33" s="235" t="s">
        <v>43</v>
      </c>
      <c r="C33" s="236" t="s">
        <v>76</v>
      </c>
      <c r="D33" s="237" t="s">
        <v>58</v>
      </c>
      <c r="E33" s="237" t="s">
        <v>22</v>
      </c>
      <c r="F33" s="179" t="s">
        <v>16</v>
      </c>
      <c r="G33" s="156" t="s">
        <v>1150</v>
      </c>
      <c r="H33" s="241"/>
      <c r="I33" s="18" t="s">
        <v>346</v>
      </c>
      <c r="J33" s="18"/>
      <c r="K33" s="13"/>
      <c r="L33" s="10" t="s">
        <v>71</v>
      </c>
      <c r="M33" s="225"/>
    </row>
    <row r="34" ht="44.25" customHeight="1">
      <c r="A34" s="250">
        <v>43548.0</v>
      </c>
      <c r="B34" s="235" t="s">
        <v>43</v>
      </c>
      <c r="C34" s="236" t="s">
        <v>76</v>
      </c>
      <c r="D34" s="237" t="s">
        <v>44</v>
      </c>
      <c r="E34" s="237" t="s">
        <v>64</v>
      </c>
      <c r="F34" s="179" t="s">
        <v>16</v>
      </c>
      <c r="G34" s="156" t="s">
        <v>1151</v>
      </c>
      <c r="H34" s="239" t="str">
        <f>HYPERLINK("https://docs.google.com/presentation/d/11PgN-XAsnzp9MctfiSsRkSc1GtvreN8yJzQumENVHBQ/edit#slide=id.g556deeaf70_1_1","link")</f>
        <v>link</v>
      </c>
      <c r="I34" s="18" t="s">
        <v>346</v>
      </c>
      <c r="J34" s="18"/>
      <c r="K34" s="13"/>
      <c r="L34" s="13" t="s">
        <v>63</v>
      </c>
      <c r="M34" s="225"/>
    </row>
    <row r="35" ht="42.75" customHeight="1">
      <c r="A35" s="250">
        <v>43548.0</v>
      </c>
      <c r="B35" s="235" t="s">
        <v>43</v>
      </c>
      <c r="C35" s="236" t="s">
        <v>57</v>
      </c>
      <c r="D35" s="237" t="s">
        <v>58</v>
      </c>
      <c r="E35" s="237" t="s">
        <v>22</v>
      </c>
      <c r="F35" s="179" t="s">
        <v>16</v>
      </c>
      <c r="G35" s="156" t="s">
        <v>1152</v>
      </c>
      <c r="H35" s="241"/>
      <c r="I35" s="18" t="s">
        <v>717</v>
      </c>
      <c r="J35" s="18"/>
      <c r="K35" s="13"/>
      <c r="L35" s="10" t="s">
        <v>71</v>
      </c>
      <c r="M35" s="225"/>
    </row>
    <row r="36" ht="55.5" customHeight="1">
      <c r="A36" s="250">
        <v>43549.0</v>
      </c>
      <c r="B36" s="235" t="s">
        <v>43</v>
      </c>
      <c r="C36" s="236" t="s">
        <v>13</v>
      </c>
      <c r="D36" s="237" t="s">
        <v>44</v>
      </c>
      <c r="E36" s="237" t="s">
        <v>15</v>
      </c>
      <c r="F36" s="179" t="s">
        <v>16</v>
      </c>
      <c r="G36" s="179" t="s">
        <v>1153</v>
      </c>
      <c r="H36" s="239" t="str">
        <f>HYPERLINK("https://docs.google.com/presentation/d/1zlcZg7pNIhTgS1GNRZ8cZf5bqxI-IKgB-l5bax4f4F0/edit#slide=id.g4057557fca_0_46","Link")</f>
        <v>Link</v>
      </c>
      <c r="I36" s="18" t="s">
        <v>67</v>
      </c>
      <c r="J36" s="18" t="s">
        <v>127</v>
      </c>
      <c r="K36" s="13"/>
      <c r="L36" s="13" t="s">
        <v>162</v>
      </c>
      <c r="M36" s="225"/>
    </row>
    <row r="37">
      <c r="A37" s="250">
        <v>43544.0</v>
      </c>
      <c r="B37" s="235" t="s">
        <v>43</v>
      </c>
      <c r="C37" s="236" t="s">
        <v>20</v>
      </c>
      <c r="D37" s="237" t="s">
        <v>58</v>
      </c>
      <c r="E37" s="237" t="s">
        <v>22</v>
      </c>
      <c r="F37" s="179" t="s">
        <v>16</v>
      </c>
      <c r="G37" s="179" t="s">
        <v>1154</v>
      </c>
      <c r="H37" s="239" t="str">
        <f>HYPERLINK("https://docs.google.com/presentation/d/1NFLet_NKP7-PQg4r3R5ikQQuLpJL_BvFG-HhnWUhSNo/edit#slide=id.g2bc80d657e_0_97","link")</f>
        <v>link</v>
      </c>
      <c r="I37" s="18" t="s">
        <v>66</v>
      </c>
      <c r="J37" s="18" t="s">
        <v>67</v>
      </c>
      <c r="K37" s="13"/>
      <c r="L37" s="10" t="s">
        <v>71</v>
      </c>
      <c r="M37" s="225"/>
    </row>
    <row r="38">
      <c r="A38" s="250">
        <v>43543.0</v>
      </c>
      <c r="B38" s="235" t="s">
        <v>43</v>
      </c>
      <c r="C38" s="236" t="s">
        <v>26</v>
      </c>
      <c r="D38" s="237" t="s">
        <v>58</v>
      </c>
      <c r="E38" s="237" t="s">
        <v>22</v>
      </c>
      <c r="F38" s="179" t="s">
        <v>16</v>
      </c>
      <c r="G38" s="179" t="s">
        <v>1155</v>
      </c>
      <c r="H38" s="239" t="str">
        <f>HYPERLINK("https://docs.google.com/presentation/d/1FiZu4X5n-6jqICij-kmpkeqZhf4dV9MZie4jWP0qJD0/edit#slide=id.g2bc80d657e_0_97","link")</f>
        <v>link</v>
      </c>
      <c r="I38" s="18" t="s">
        <v>66</v>
      </c>
      <c r="J38" s="18"/>
      <c r="K38" s="13"/>
      <c r="L38" s="10" t="s">
        <v>71</v>
      </c>
      <c r="M38" s="225"/>
    </row>
    <row r="39" ht="122.25" customHeight="1">
      <c r="A39" s="253">
        <v>43543.0</v>
      </c>
      <c r="B39" s="235" t="s">
        <v>43</v>
      </c>
      <c r="C39" s="236" t="s">
        <v>57</v>
      </c>
      <c r="D39" s="237" t="s">
        <v>44</v>
      </c>
      <c r="E39" s="237" t="s">
        <v>22</v>
      </c>
      <c r="F39" s="179" t="s">
        <v>16</v>
      </c>
      <c r="G39" s="179" t="s">
        <v>1156</v>
      </c>
      <c r="H39" s="241"/>
      <c r="I39" s="18" t="s">
        <v>717</v>
      </c>
      <c r="J39" s="18"/>
      <c r="K39" s="13"/>
      <c r="L39" s="10" t="s">
        <v>71</v>
      </c>
      <c r="M39" s="225"/>
    </row>
    <row r="40" ht="87.75" customHeight="1">
      <c r="A40" s="253">
        <v>43543.0</v>
      </c>
      <c r="B40" s="235" t="s">
        <v>43</v>
      </c>
      <c r="C40" s="236" t="s">
        <v>57</v>
      </c>
      <c r="D40" s="237" t="s">
        <v>44</v>
      </c>
      <c r="E40" s="237" t="s">
        <v>22</v>
      </c>
      <c r="F40" s="179" t="s">
        <v>16</v>
      </c>
      <c r="G40" s="179" t="s">
        <v>1157</v>
      </c>
      <c r="H40" s="241"/>
      <c r="I40" s="18" t="s">
        <v>717</v>
      </c>
      <c r="J40" s="18" t="s">
        <v>115</v>
      </c>
      <c r="K40" s="13"/>
      <c r="L40" s="10" t="s">
        <v>71</v>
      </c>
      <c r="M40" s="225"/>
    </row>
    <row r="41">
      <c r="A41" s="253">
        <v>43542.0</v>
      </c>
      <c r="B41" s="235" t="s">
        <v>43</v>
      </c>
      <c r="C41" s="236" t="s">
        <v>49</v>
      </c>
      <c r="D41" s="237" t="s">
        <v>27</v>
      </c>
      <c r="E41" s="237" t="s">
        <v>22</v>
      </c>
      <c r="F41" s="179" t="s">
        <v>16</v>
      </c>
      <c r="G41" s="179" t="s">
        <v>1158</v>
      </c>
      <c r="H41" s="241"/>
      <c r="I41" s="18" t="s">
        <v>115</v>
      </c>
      <c r="J41" s="18"/>
      <c r="K41" s="10" t="str">
        <f>HYPERLINK("https://docs.google.com/presentation/d/160GCLDqgiF9DF_VU9R7_kZVk0nIZp0iCZUQLnOXnIDA/edit#slide=id.g543e7d30ef_2_85","link")</f>
        <v>link</v>
      </c>
      <c r="L41" s="10" t="s">
        <v>71</v>
      </c>
      <c r="M41" s="225"/>
    </row>
    <row r="42" ht="83.25" customHeight="1">
      <c r="A42" s="253">
        <v>43474.0</v>
      </c>
      <c r="B42" s="179" t="s">
        <v>75</v>
      </c>
      <c r="C42" s="236" t="s">
        <v>26</v>
      </c>
      <c r="D42" s="237" t="s">
        <v>81</v>
      </c>
      <c r="E42" s="237" t="s">
        <v>22</v>
      </c>
      <c r="F42" s="179" t="s">
        <v>16</v>
      </c>
      <c r="G42" s="179" t="s">
        <v>1159</v>
      </c>
      <c r="H42" s="239" t="str">
        <f>HYPERLINK("https://docs.google.com/presentation/d/1UmqBLUEHozQIkO8PqPjCQ5krBT64yNxNBfg3xvc2W1Q/edit#slide=id.g4057557fca_0_46","here")</f>
        <v>here</v>
      </c>
      <c r="I42" s="18" t="s">
        <v>463</v>
      </c>
      <c r="J42" s="18"/>
      <c r="K42" s="10" t="str">
        <f>HYPERLINK("https://drive.google.com/file/d/15awKsfgLTJ7KXGJ04bbnv1DHqJQ1SGoW/view","Simulation")</f>
        <v>Simulation</v>
      </c>
      <c r="L42" s="13" t="s">
        <v>68</v>
      </c>
      <c r="M42" s="225"/>
    </row>
    <row r="43" ht="87.75" customHeight="1">
      <c r="A43" s="253">
        <v>43525.0</v>
      </c>
      <c r="B43" s="179" t="s">
        <v>56</v>
      </c>
      <c r="C43" s="236" t="s">
        <v>13</v>
      </c>
      <c r="D43" s="237" t="s">
        <v>44</v>
      </c>
      <c r="E43" s="237" t="s">
        <v>22</v>
      </c>
      <c r="F43" s="179" t="s">
        <v>16</v>
      </c>
      <c r="G43" s="179" t="s">
        <v>1160</v>
      </c>
      <c r="H43" s="254"/>
      <c r="I43" s="18" t="s">
        <v>79</v>
      </c>
      <c r="J43" s="18" t="s">
        <v>346</v>
      </c>
      <c r="K43" s="13"/>
      <c r="L43" s="13" t="s">
        <v>68</v>
      </c>
      <c r="M43" s="225"/>
    </row>
    <row r="44" ht="89.25" customHeight="1">
      <c r="A44" s="250">
        <v>43544.0</v>
      </c>
      <c r="B44" s="235" t="s">
        <v>43</v>
      </c>
      <c r="C44" s="236" t="s">
        <v>83</v>
      </c>
      <c r="D44" s="237" t="s">
        <v>27</v>
      </c>
      <c r="E44" s="237" t="s">
        <v>22</v>
      </c>
      <c r="F44" s="179" t="s">
        <v>16</v>
      </c>
      <c r="G44" s="179" t="s">
        <v>1161</v>
      </c>
      <c r="H44" s="241"/>
      <c r="I44" s="18" t="s">
        <v>346</v>
      </c>
      <c r="J44" s="18" t="s">
        <v>66</v>
      </c>
      <c r="K44" s="13"/>
      <c r="L44" s="10" t="s">
        <v>71</v>
      </c>
      <c r="M44" s="225"/>
    </row>
    <row r="45" ht="174.0" customHeight="1">
      <c r="A45" s="253">
        <v>43542.0</v>
      </c>
      <c r="B45" s="235" t="s">
        <v>43</v>
      </c>
      <c r="C45" s="236" t="s">
        <v>13</v>
      </c>
      <c r="D45" s="237" t="s">
        <v>58</v>
      </c>
      <c r="E45" s="237" t="s">
        <v>22</v>
      </c>
      <c r="F45" s="179" t="s">
        <v>16</v>
      </c>
      <c r="G45" s="179" t="s">
        <v>1162</v>
      </c>
      <c r="H45" s="241"/>
      <c r="I45" s="18" t="s">
        <v>79</v>
      </c>
      <c r="J45" s="18"/>
      <c r="K45" s="13"/>
      <c r="L45" s="10" t="s">
        <v>71</v>
      </c>
      <c r="M45" s="225"/>
    </row>
    <row r="46" ht="190.5" customHeight="1">
      <c r="A46" s="253">
        <v>43523.0</v>
      </c>
      <c r="B46" s="179" t="s">
        <v>56</v>
      </c>
      <c r="C46" s="236" t="s">
        <v>13</v>
      </c>
      <c r="D46" s="237" t="s">
        <v>44</v>
      </c>
      <c r="E46" s="237" t="s">
        <v>22</v>
      </c>
      <c r="F46" s="179" t="s">
        <v>16</v>
      </c>
      <c r="G46" s="179" t="s">
        <v>1163</v>
      </c>
      <c r="H46" s="241"/>
      <c r="I46" s="18" t="s">
        <v>79</v>
      </c>
      <c r="J46" s="18"/>
      <c r="K46" s="13"/>
      <c r="L46" s="13" t="s">
        <v>63</v>
      </c>
      <c r="M46" s="225"/>
    </row>
    <row r="47" ht="129.0" customHeight="1">
      <c r="A47" s="253">
        <v>43523.0</v>
      </c>
      <c r="B47" s="179" t="s">
        <v>56</v>
      </c>
      <c r="C47" s="236" t="s">
        <v>57</v>
      </c>
      <c r="D47" s="237" t="s">
        <v>44</v>
      </c>
      <c r="E47" s="237" t="s">
        <v>22</v>
      </c>
      <c r="F47" s="179" t="s">
        <v>16</v>
      </c>
      <c r="G47" s="179" t="s">
        <v>1164</v>
      </c>
      <c r="H47" s="241"/>
      <c r="I47" s="18" t="s">
        <v>717</v>
      </c>
      <c r="J47" s="18"/>
      <c r="K47" s="13"/>
      <c r="L47" s="13" t="s">
        <v>63</v>
      </c>
      <c r="M47" s="225"/>
    </row>
    <row r="48" ht="18.75" customHeight="1">
      <c r="A48" s="253">
        <v>43523.0</v>
      </c>
      <c r="B48" s="179" t="s">
        <v>56</v>
      </c>
      <c r="C48" s="236" t="s">
        <v>83</v>
      </c>
      <c r="D48" s="237" t="s">
        <v>77</v>
      </c>
      <c r="E48" s="237" t="s">
        <v>22</v>
      </c>
      <c r="F48" s="179" t="s">
        <v>16</v>
      </c>
      <c r="G48" s="179" t="s">
        <v>1165</v>
      </c>
      <c r="H48" s="241"/>
      <c r="I48" s="18" t="s">
        <v>346</v>
      </c>
      <c r="J48" s="18"/>
      <c r="K48" s="13"/>
      <c r="L48" s="10" t="s">
        <v>71</v>
      </c>
      <c r="M48" s="225"/>
    </row>
    <row r="49" ht="55.5" customHeight="1">
      <c r="A49" s="250">
        <v>43601.0</v>
      </c>
      <c r="B49" s="179" t="s">
        <v>19</v>
      </c>
      <c r="C49" s="166" t="s">
        <v>36</v>
      </c>
      <c r="D49" s="255" t="s">
        <v>27</v>
      </c>
      <c r="E49" s="255" t="s">
        <v>22</v>
      </c>
      <c r="F49" s="235" t="s">
        <v>16</v>
      </c>
      <c r="G49" s="179" t="s">
        <v>1166</v>
      </c>
      <c r="H49" s="10" t="str">
        <f>HYPERLINK("https://docs.google.com/presentation/d/1asoZoIYWmh5mcTHbv7qkR1eO9vvkxpoXT6c_Wnq5zcc/edit#slide=id.g512bac1dcc_0_0","here")</f>
        <v>here</v>
      </c>
      <c r="I49" s="18" t="s">
        <v>463</v>
      </c>
      <c r="J49" s="18"/>
      <c r="K49" s="13"/>
      <c r="L49" s="10" t="s">
        <v>71</v>
      </c>
      <c r="M49" s="225"/>
    </row>
    <row r="50" ht="57.75" customHeight="1">
      <c r="A50" s="253"/>
      <c r="B50" s="179"/>
      <c r="C50" s="236"/>
      <c r="D50" s="237"/>
      <c r="E50" s="237"/>
      <c r="F50" s="179"/>
      <c r="G50" s="179"/>
      <c r="H50" s="13"/>
      <c r="I50" s="18"/>
      <c r="J50" s="18"/>
      <c r="K50" s="13"/>
      <c r="L50" s="13"/>
      <c r="M50" s="225"/>
    </row>
    <row r="51" ht="57.75" customHeight="1">
      <c r="A51" s="253"/>
      <c r="B51" s="179"/>
      <c r="C51" s="236"/>
      <c r="D51" s="255"/>
      <c r="E51" s="237"/>
      <c r="F51" s="179"/>
      <c r="G51" s="179"/>
      <c r="H51" s="13"/>
      <c r="I51" s="18"/>
      <c r="J51" s="18"/>
      <c r="K51" s="13"/>
      <c r="L51" s="13"/>
      <c r="M51" s="225"/>
    </row>
    <row r="52" ht="57.75" customHeight="1">
      <c r="A52" s="253"/>
      <c r="B52" s="179"/>
      <c r="C52" s="166"/>
      <c r="D52" s="255"/>
      <c r="E52" s="255"/>
      <c r="F52" s="235"/>
      <c r="G52" s="179"/>
      <c r="H52" s="13"/>
      <c r="I52" s="18"/>
      <c r="J52" s="18"/>
      <c r="K52" s="13"/>
      <c r="L52" s="13"/>
      <c r="M52" s="225"/>
    </row>
    <row r="53" ht="57.75" customHeight="1">
      <c r="A53" s="253"/>
      <c r="B53" s="179"/>
      <c r="C53" s="166"/>
      <c r="D53" s="255"/>
      <c r="E53" s="255"/>
      <c r="F53" s="235"/>
      <c r="G53" s="179"/>
      <c r="H53" s="256"/>
      <c r="I53" s="18"/>
      <c r="J53" s="18"/>
      <c r="K53" s="256"/>
      <c r="L53" s="257"/>
      <c r="M53" s="225"/>
    </row>
    <row r="54" ht="57.75" customHeight="1">
      <c r="A54" s="253"/>
      <c r="B54" s="179"/>
      <c r="C54" s="166"/>
      <c r="D54" s="255"/>
      <c r="E54" s="255"/>
      <c r="F54" s="235"/>
      <c r="G54" s="179"/>
      <c r="H54" s="13"/>
      <c r="I54" s="18"/>
      <c r="J54" s="18"/>
      <c r="K54" s="13"/>
      <c r="L54" s="13"/>
      <c r="M54" s="225"/>
    </row>
    <row r="55" ht="57.75" customHeight="1">
      <c r="A55" s="253"/>
      <c r="B55" s="179"/>
      <c r="C55" s="166"/>
      <c r="D55" s="255"/>
      <c r="E55" s="255"/>
      <c r="F55" s="235"/>
      <c r="G55" s="179"/>
      <c r="H55" s="13"/>
      <c r="I55" s="18"/>
      <c r="J55" s="18"/>
      <c r="K55" s="13"/>
      <c r="L55" s="13"/>
      <c r="M55" s="225"/>
    </row>
    <row r="56" ht="57.75" customHeight="1">
      <c r="A56" s="253"/>
      <c r="B56" s="179"/>
      <c r="C56" s="166"/>
      <c r="D56" s="255"/>
      <c r="E56" s="255"/>
      <c r="F56" s="235"/>
      <c r="G56" s="179"/>
      <c r="H56" s="13"/>
      <c r="I56" s="18"/>
      <c r="J56" s="18"/>
      <c r="K56" s="13"/>
      <c r="L56" s="13"/>
      <c r="M56" s="225"/>
    </row>
    <row r="57" ht="57.75" customHeight="1">
      <c r="A57" s="253"/>
      <c r="B57" s="179"/>
      <c r="C57" s="166"/>
      <c r="D57" s="255"/>
      <c r="E57" s="255"/>
      <c r="F57" s="235"/>
      <c r="G57" s="179"/>
      <c r="H57" s="13"/>
      <c r="I57" s="18"/>
      <c r="J57" s="18"/>
      <c r="K57" s="13"/>
      <c r="L57" s="13"/>
      <c r="M57" s="225"/>
    </row>
    <row r="58" ht="57.75" customHeight="1">
      <c r="A58" s="253"/>
      <c r="B58" s="179"/>
      <c r="C58" s="166"/>
      <c r="D58" s="255"/>
      <c r="E58" s="255"/>
      <c r="F58" s="235"/>
      <c r="G58" s="179"/>
      <c r="H58" s="13"/>
      <c r="I58" s="18"/>
      <c r="J58" s="18"/>
      <c r="K58" s="13"/>
      <c r="L58" s="13"/>
      <c r="M58" s="225"/>
    </row>
    <row r="59" ht="57.75" customHeight="1">
      <c r="A59" s="253"/>
      <c r="B59" s="179"/>
      <c r="C59" s="166"/>
      <c r="D59" s="255"/>
      <c r="E59" s="255"/>
      <c r="F59" s="235"/>
      <c r="G59" s="179"/>
      <c r="H59" s="13"/>
      <c r="I59" s="18"/>
      <c r="J59" s="18"/>
      <c r="K59" s="13"/>
      <c r="L59" s="13"/>
      <c r="M59" s="225"/>
    </row>
    <row r="60" ht="57.75" customHeight="1">
      <c r="A60" s="253"/>
      <c r="B60" s="179"/>
      <c r="C60" s="166"/>
      <c r="D60" s="255"/>
      <c r="E60" s="255"/>
      <c r="F60" s="235"/>
      <c r="G60" s="179"/>
      <c r="H60" s="13"/>
      <c r="I60" s="258"/>
      <c r="J60" s="18"/>
      <c r="K60" s="13"/>
      <c r="L60" s="13"/>
      <c r="M60" s="225"/>
    </row>
    <row r="61" ht="57.75" customHeight="1">
      <c r="A61" s="253"/>
      <c r="B61" s="179"/>
      <c r="C61" s="166"/>
      <c r="D61" s="255"/>
      <c r="E61" s="255"/>
      <c r="F61" s="235"/>
      <c r="G61" s="179"/>
      <c r="H61" s="13"/>
      <c r="I61" s="258"/>
      <c r="J61" s="18"/>
      <c r="K61" s="13"/>
      <c r="L61" s="13"/>
      <c r="M61" s="225"/>
    </row>
    <row r="62" ht="57.75" customHeight="1">
      <c r="A62" s="253"/>
      <c r="B62" s="179"/>
      <c r="C62" s="166"/>
      <c r="D62" s="255"/>
      <c r="E62" s="255"/>
      <c r="F62" s="235"/>
      <c r="G62" s="179"/>
      <c r="H62" s="13"/>
      <c r="I62" s="258"/>
      <c r="J62" s="18"/>
      <c r="K62" s="259"/>
      <c r="L62" s="260"/>
      <c r="M62" s="225"/>
    </row>
    <row r="63" ht="57.75" customHeight="1">
      <c r="A63" s="253"/>
      <c r="B63" s="179"/>
      <c r="C63" s="166"/>
      <c r="D63" s="255"/>
      <c r="E63" s="255"/>
      <c r="F63" s="235"/>
      <c r="G63" s="179"/>
      <c r="H63" s="13"/>
      <c r="I63" s="18"/>
      <c r="J63" s="18"/>
      <c r="K63" s="13"/>
      <c r="L63" s="13"/>
      <c r="M63" s="225"/>
    </row>
    <row r="64" ht="57.75" customHeight="1">
      <c r="A64" s="253"/>
      <c r="B64" s="179"/>
      <c r="C64" s="166"/>
      <c r="D64" s="255"/>
      <c r="E64" s="255"/>
      <c r="F64" s="235"/>
      <c r="G64" s="179"/>
      <c r="H64" s="13"/>
      <c r="I64" s="18"/>
      <c r="J64" s="18"/>
      <c r="K64" s="13"/>
      <c r="L64" s="13"/>
      <c r="M64" s="225"/>
    </row>
    <row r="65" ht="57.75" customHeight="1">
      <c r="A65" s="253"/>
      <c r="B65" s="179"/>
      <c r="C65" s="236"/>
      <c r="D65" s="255"/>
      <c r="E65" s="237"/>
      <c r="F65" s="179"/>
      <c r="G65" s="179"/>
      <c r="H65" s="13"/>
      <c r="I65" s="18"/>
      <c r="J65" s="18"/>
      <c r="K65" s="13"/>
      <c r="L65" s="13"/>
      <c r="M65" s="225"/>
    </row>
    <row r="66" ht="57.75" customHeight="1">
      <c r="A66" s="253"/>
      <c r="B66" s="179"/>
      <c r="C66" s="236"/>
      <c r="D66" s="255"/>
      <c r="E66" s="237"/>
      <c r="F66" s="179"/>
      <c r="G66" s="179"/>
      <c r="H66" s="13"/>
      <c r="I66" s="18"/>
      <c r="J66" s="18"/>
      <c r="K66" s="13"/>
      <c r="L66" s="13"/>
      <c r="M66" s="225"/>
    </row>
    <row r="67" ht="57.75" customHeight="1">
      <c r="A67" s="253"/>
      <c r="B67" s="179"/>
      <c r="C67" s="236"/>
      <c r="D67" s="255"/>
      <c r="E67" s="237"/>
      <c r="F67" s="179"/>
      <c r="G67" s="179"/>
      <c r="H67" s="13"/>
      <c r="I67" s="18"/>
      <c r="J67" s="18"/>
      <c r="K67" s="13"/>
      <c r="L67" s="13"/>
      <c r="M67" s="225"/>
    </row>
    <row r="68" ht="57.75" customHeight="1">
      <c r="A68" s="253"/>
      <c r="B68" s="179"/>
      <c r="C68" s="236"/>
      <c r="D68" s="255"/>
      <c r="E68" s="237"/>
      <c r="F68" s="179"/>
      <c r="G68" s="179"/>
      <c r="H68" s="13"/>
      <c r="I68" s="258"/>
      <c r="J68" s="18"/>
      <c r="K68" s="13"/>
      <c r="L68" s="13"/>
      <c r="M68" s="225"/>
    </row>
    <row r="69" ht="57.75" customHeight="1">
      <c r="A69" s="253"/>
      <c r="B69" s="179"/>
      <c r="C69" s="236"/>
      <c r="D69" s="237"/>
      <c r="E69" s="237"/>
      <c r="F69" s="179"/>
      <c r="G69" s="179"/>
      <c r="H69" s="13"/>
      <c r="I69" s="258"/>
      <c r="J69" s="18"/>
      <c r="K69" s="13"/>
      <c r="L69" s="13"/>
      <c r="M69" s="225"/>
    </row>
    <row r="70" ht="57.75" customHeight="1">
      <c r="A70" s="253"/>
      <c r="B70" s="179"/>
      <c r="C70" s="236"/>
      <c r="D70" s="237"/>
      <c r="E70" s="237"/>
      <c r="F70" s="179"/>
      <c r="G70" s="179"/>
      <c r="H70" s="13"/>
      <c r="I70" s="258"/>
      <c r="J70" s="258"/>
      <c r="K70" s="13"/>
      <c r="L70" s="13"/>
      <c r="M70" s="225"/>
    </row>
    <row r="71" ht="57.75" customHeight="1">
      <c r="A71" s="253"/>
      <c r="B71" s="179"/>
      <c r="C71" s="236"/>
      <c r="D71" s="255"/>
      <c r="E71" s="237"/>
      <c r="F71" s="179"/>
      <c r="G71" s="179"/>
      <c r="H71" s="13"/>
      <c r="I71" s="258"/>
      <c r="J71" s="18"/>
      <c r="K71" s="13"/>
      <c r="L71" s="13"/>
      <c r="M71" s="225"/>
    </row>
    <row r="72" ht="57.75" customHeight="1">
      <c r="A72" s="253"/>
      <c r="B72" s="179"/>
      <c r="C72" s="236"/>
      <c r="D72" s="255"/>
      <c r="E72" s="237"/>
      <c r="F72" s="179"/>
      <c r="G72" s="179"/>
      <c r="H72" s="13"/>
      <c r="I72" s="258"/>
      <c r="J72" s="18"/>
      <c r="K72" s="13"/>
      <c r="L72" s="13"/>
      <c r="M72" s="225"/>
    </row>
    <row r="73" ht="57.75" customHeight="1">
      <c r="A73" s="253"/>
      <c r="B73" s="179"/>
      <c r="C73" s="236"/>
      <c r="D73" s="237"/>
      <c r="E73" s="237"/>
      <c r="F73" s="179"/>
      <c r="G73" s="179"/>
      <c r="H73" s="13"/>
      <c r="I73" s="258"/>
      <c r="J73" s="258"/>
      <c r="K73" s="13"/>
      <c r="L73" s="13"/>
      <c r="M73" s="225"/>
    </row>
    <row r="74" ht="57.75" customHeight="1">
      <c r="A74" s="253"/>
      <c r="B74" s="179"/>
      <c r="C74" s="236"/>
      <c r="D74" s="237"/>
      <c r="E74" s="237"/>
      <c r="F74" s="179"/>
      <c r="G74" s="179"/>
      <c r="H74" s="13"/>
      <c r="I74" s="18"/>
      <c r="J74" s="18"/>
      <c r="K74" s="13"/>
      <c r="L74" s="13"/>
      <c r="M74" s="225"/>
    </row>
    <row r="75" ht="57.75" customHeight="1">
      <c r="A75" s="253"/>
      <c r="B75" s="179"/>
      <c r="C75" s="236"/>
      <c r="D75" s="237"/>
      <c r="E75" s="237"/>
      <c r="F75" s="179"/>
      <c r="G75" s="179"/>
      <c r="H75" s="13"/>
      <c r="I75" s="258"/>
      <c r="J75" s="258"/>
      <c r="K75" s="13"/>
      <c r="L75" s="13"/>
      <c r="M75" s="225"/>
    </row>
    <row r="76" ht="57.75" customHeight="1">
      <c r="A76" s="253"/>
      <c r="B76" s="179"/>
      <c r="C76" s="236"/>
      <c r="D76" s="237"/>
      <c r="E76" s="237"/>
      <c r="F76" s="179"/>
      <c r="G76" s="179"/>
      <c r="H76" s="13"/>
      <c r="I76" s="258"/>
      <c r="J76" s="18"/>
      <c r="K76" s="13"/>
      <c r="L76" s="13"/>
      <c r="M76" s="225"/>
    </row>
    <row r="77" ht="57.75" customHeight="1">
      <c r="A77" s="253"/>
      <c r="B77" s="179"/>
      <c r="C77" s="236"/>
      <c r="D77" s="237"/>
      <c r="E77" s="237"/>
      <c r="F77" s="179"/>
      <c r="G77" s="179"/>
      <c r="H77" s="13"/>
      <c r="I77" s="258"/>
      <c r="J77" s="18"/>
      <c r="K77" s="13"/>
      <c r="L77" s="13"/>
      <c r="M77" s="225"/>
    </row>
    <row r="78" ht="57.75" customHeight="1">
      <c r="A78" s="253"/>
      <c r="B78" s="179"/>
      <c r="C78" s="236"/>
      <c r="D78" s="237"/>
      <c r="E78" s="237"/>
      <c r="F78" s="179"/>
      <c r="G78" s="179"/>
      <c r="H78" s="13"/>
      <c r="I78" s="258"/>
      <c r="J78" s="18"/>
      <c r="K78" s="13"/>
      <c r="L78" s="13"/>
      <c r="M78" s="225"/>
    </row>
    <row r="79" ht="57.75" customHeight="1">
      <c r="A79" s="253"/>
      <c r="B79" s="179"/>
      <c r="C79" s="236"/>
      <c r="D79" s="237"/>
      <c r="E79" s="237"/>
      <c r="F79" s="179"/>
      <c r="G79" s="179"/>
      <c r="H79" s="13"/>
      <c r="I79" s="258"/>
      <c r="J79" s="18"/>
      <c r="K79" s="13"/>
      <c r="L79" s="13"/>
      <c r="M79" s="225"/>
    </row>
    <row r="80" ht="57.75" customHeight="1">
      <c r="A80" s="253"/>
      <c r="B80" s="179"/>
      <c r="C80" s="236"/>
      <c r="D80" s="237"/>
      <c r="E80" s="237"/>
      <c r="F80" s="179"/>
      <c r="G80" s="179"/>
      <c r="H80" s="13"/>
      <c r="I80" s="258"/>
      <c r="J80" s="18"/>
      <c r="K80" s="13"/>
      <c r="L80" s="13"/>
      <c r="M80" s="225"/>
    </row>
    <row r="81" ht="57.75" customHeight="1">
      <c r="A81" s="253"/>
      <c r="B81" s="179"/>
      <c r="C81" s="236"/>
      <c r="D81" s="237"/>
      <c r="E81" s="237"/>
      <c r="F81" s="179"/>
      <c r="G81" s="179"/>
      <c r="H81" s="13"/>
      <c r="I81" s="258"/>
      <c r="J81" s="18"/>
      <c r="K81" s="13"/>
      <c r="L81" s="13"/>
      <c r="M81" s="225"/>
    </row>
    <row r="82" ht="57.75" customHeight="1">
      <c r="A82" s="253"/>
      <c r="B82" s="179"/>
      <c r="C82" s="236"/>
      <c r="D82" s="237"/>
      <c r="E82" s="237"/>
      <c r="F82" s="179"/>
      <c r="G82" s="179"/>
      <c r="H82" s="13"/>
      <c r="I82" s="258"/>
      <c r="J82" s="18"/>
      <c r="K82" s="13"/>
      <c r="L82" s="13"/>
      <c r="M82" s="225"/>
    </row>
    <row r="83" ht="57.75" customHeight="1">
      <c r="A83" s="253"/>
      <c r="B83" s="179"/>
      <c r="C83" s="236"/>
      <c r="D83" s="237"/>
      <c r="E83" s="237"/>
      <c r="F83" s="179"/>
      <c r="G83" s="179"/>
      <c r="H83" s="13"/>
      <c r="I83" s="258"/>
      <c r="J83" s="18"/>
      <c r="K83" s="13"/>
      <c r="L83" s="13"/>
      <c r="M83" s="225"/>
    </row>
    <row r="84" ht="57.75" customHeight="1">
      <c r="A84" s="253"/>
      <c r="B84" s="179"/>
      <c r="C84" s="236"/>
      <c r="D84" s="237"/>
      <c r="E84" s="237"/>
      <c r="F84" s="179"/>
      <c r="G84" s="179"/>
      <c r="H84" s="13"/>
      <c r="I84" s="258"/>
      <c r="J84" s="18"/>
      <c r="K84" s="13"/>
      <c r="L84" s="13"/>
      <c r="M84" s="225"/>
    </row>
    <row r="85" ht="57.75" customHeight="1">
      <c r="A85" s="253"/>
      <c r="B85" s="179"/>
      <c r="C85" s="236"/>
      <c r="D85" s="237"/>
      <c r="E85" s="237"/>
      <c r="F85" s="179"/>
      <c r="G85" s="179"/>
      <c r="H85" s="13"/>
      <c r="I85" s="258"/>
      <c r="J85" s="18"/>
      <c r="K85" s="13"/>
      <c r="L85" s="13"/>
      <c r="M85" s="225"/>
    </row>
    <row r="86" ht="57.75" customHeight="1">
      <c r="A86" s="253"/>
      <c r="B86" s="179"/>
      <c r="C86" s="236"/>
      <c r="D86" s="237"/>
      <c r="E86" s="237"/>
      <c r="F86" s="179"/>
      <c r="G86" s="179"/>
      <c r="H86" s="13"/>
      <c r="I86" s="18"/>
      <c r="J86" s="18"/>
      <c r="K86" s="13"/>
      <c r="L86" s="13"/>
      <c r="M86" s="225"/>
    </row>
    <row r="87" ht="57.75" customHeight="1">
      <c r="A87" s="253"/>
      <c r="B87" s="179"/>
      <c r="C87" s="236"/>
      <c r="D87" s="237"/>
      <c r="E87" s="237"/>
      <c r="F87" s="179"/>
      <c r="G87" s="179"/>
      <c r="H87" s="13"/>
      <c r="I87" s="258"/>
      <c r="J87" s="18"/>
      <c r="K87" s="13"/>
      <c r="L87" s="13"/>
      <c r="M87" s="225"/>
    </row>
    <row r="88" ht="57.75" customHeight="1">
      <c r="A88" s="253"/>
      <c r="B88" s="179"/>
      <c r="C88" s="236"/>
      <c r="D88" s="237"/>
      <c r="E88" s="237"/>
      <c r="F88" s="179"/>
      <c r="G88" s="179"/>
      <c r="H88" s="13"/>
      <c r="I88" s="258"/>
      <c r="J88" s="18"/>
      <c r="K88" s="13"/>
      <c r="L88" s="13"/>
      <c r="M88" s="225"/>
    </row>
    <row r="89" ht="57.75" customHeight="1">
      <c r="A89" s="253"/>
      <c r="B89" s="179"/>
      <c r="C89" s="236"/>
      <c r="D89" s="237"/>
      <c r="E89" s="237"/>
      <c r="F89" s="179"/>
      <c r="G89" s="179"/>
      <c r="H89" s="13"/>
      <c r="I89" s="258"/>
      <c r="J89" s="18"/>
      <c r="K89" s="13"/>
      <c r="L89" s="13"/>
      <c r="M89" s="225"/>
    </row>
    <row r="90" ht="57.75" customHeight="1">
      <c r="A90" s="253"/>
      <c r="B90" s="179"/>
      <c r="C90" s="236"/>
      <c r="D90" s="237"/>
      <c r="E90" s="237"/>
      <c r="F90" s="179"/>
      <c r="G90" s="179"/>
      <c r="H90" s="13"/>
      <c r="I90" s="258"/>
      <c r="J90" s="18"/>
      <c r="K90" s="13"/>
      <c r="L90" s="13"/>
      <c r="M90" s="225"/>
    </row>
    <row r="91" ht="57.75" customHeight="1">
      <c r="A91" s="253"/>
      <c r="B91" s="179"/>
      <c r="C91" s="236"/>
      <c r="D91" s="237"/>
      <c r="E91" s="237"/>
      <c r="F91" s="179"/>
      <c r="G91" s="179"/>
      <c r="H91" s="13"/>
      <c r="I91" s="258"/>
      <c r="J91" s="18"/>
      <c r="K91" s="13"/>
      <c r="L91" s="13"/>
      <c r="M91" s="225"/>
    </row>
    <row r="92" ht="57.75" customHeight="1">
      <c r="A92" s="253"/>
      <c r="B92" s="179"/>
      <c r="C92" s="236"/>
      <c r="D92" s="237"/>
      <c r="E92" s="237"/>
      <c r="F92" s="179"/>
      <c r="G92" s="179"/>
      <c r="H92" s="13"/>
      <c r="I92" s="258"/>
      <c r="J92" s="18"/>
      <c r="K92" s="13"/>
      <c r="L92" s="13"/>
      <c r="M92" s="225"/>
    </row>
    <row r="93" ht="57.75" customHeight="1">
      <c r="A93" s="253"/>
      <c r="B93" s="179"/>
      <c r="C93" s="236"/>
      <c r="D93" s="237"/>
      <c r="E93" s="237"/>
      <c r="F93" s="179"/>
      <c r="G93" s="179"/>
      <c r="H93" s="13"/>
      <c r="I93" s="258"/>
      <c r="J93" s="18"/>
      <c r="K93" s="13"/>
      <c r="L93" s="13"/>
      <c r="M93" s="225"/>
    </row>
    <row r="94" ht="57.75" customHeight="1">
      <c r="A94" s="253"/>
      <c r="B94" s="179"/>
      <c r="C94" s="236"/>
      <c r="D94" s="237"/>
      <c r="E94" s="237"/>
      <c r="F94" s="179"/>
      <c r="G94" s="179"/>
      <c r="H94" s="13"/>
      <c r="I94" s="258"/>
      <c r="J94" s="18"/>
      <c r="K94" s="13"/>
      <c r="L94" s="13"/>
      <c r="M94" s="225"/>
    </row>
    <row r="95" ht="57.75" customHeight="1">
      <c r="A95" s="253"/>
      <c r="B95" s="179"/>
      <c r="C95" s="236"/>
      <c r="D95" s="237"/>
      <c r="E95" s="237"/>
      <c r="F95" s="179"/>
      <c r="G95" s="179"/>
      <c r="H95" s="13"/>
      <c r="I95" s="258"/>
      <c r="J95" s="18"/>
      <c r="K95" s="13"/>
      <c r="L95" s="13"/>
      <c r="M95" s="225"/>
    </row>
    <row r="96" ht="57.75" customHeight="1">
      <c r="A96" s="253"/>
      <c r="B96" s="179"/>
      <c r="C96" s="236"/>
      <c r="D96" s="237"/>
      <c r="E96" s="237"/>
      <c r="F96" s="179"/>
      <c r="G96" s="179"/>
      <c r="H96" s="13"/>
      <c r="I96" s="258"/>
      <c r="J96" s="18"/>
      <c r="K96" s="13"/>
      <c r="L96" s="13"/>
      <c r="M96" s="225"/>
    </row>
    <row r="97" ht="57.75" customHeight="1">
      <c r="A97" s="253"/>
      <c r="B97" s="179"/>
      <c r="C97" s="236"/>
      <c r="D97" s="237"/>
      <c r="E97" s="237"/>
      <c r="F97" s="179"/>
      <c r="G97" s="179"/>
      <c r="H97" s="13"/>
      <c r="I97" s="258"/>
      <c r="J97" s="18"/>
      <c r="K97" s="13"/>
      <c r="L97" s="13"/>
      <c r="M97" s="225"/>
    </row>
  </sheetData>
  <customSheetViews>
    <customSheetView guid="{0373266D-FDE9-402D-B356-CC4A29DEE2C4}" filter="1" showAutoFilter="1">
      <autoFilter ref="$A$1:$I$97">
        <filterColumn colId="8">
          <filters blank="1">
            <filter val="小熊"/>
            <filter val="芳梅"/>
            <filter val="邦邦"/>
            <filter val="林峰"/>
            <filter val="吉吉"/>
            <filter val="文亭"/>
            <filter val="敏敏"/>
          </filters>
        </filterColumn>
      </autoFilter>
    </customSheetView>
    <customSheetView guid="{7E71B5F7-61AF-4C93-AAAA-D905E381EEB1}" filter="1" showAutoFilter="1">
      <autoFilter ref="$A$1:$K$61"/>
    </customSheetView>
    <customSheetView guid="{7CD3BC90-8565-4EF1-83E0-02DA5A629FB7}" filter="1" showAutoFilter="1">
      <autoFilter ref="$A$1:$K$87"/>
    </customSheetView>
    <customSheetView guid="{BEBD1EEB-1477-4C60-A76F-C1C20538AC33}" filter="1" showAutoFilter="1">
      <autoFilter ref="$A$1:$M$49">
        <filterColumn colId="1">
          <filters>
            <filter val="5.DVT1"/>
            <filter val="7.DVT2"/>
            <filter val="D.SHIP"/>
            <filter val="C.RAMP"/>
          </filters>
        </filterColumn>
      </autoFilter>
    </customSheetView>
    <customSheetView guid="{DF01C596-C6C8-4FD7-8689-9293067D3717}" filter="1" showAutoFilter="1">
      <autoFilter ref="$A$1:$L$23"/>
    </customSheetView>
    <customSheetView guid="{35A93920-2C98-4ACF-95FD-9E549BB0A80C}" filter="1" showAutoFilter="1">
      <autoFilter ref="$A$1:$M$97">
        <filterColumn colId="5">
          <filters/>
        </filterColumn>
      </autoFilter>
    </customSheetView>
    <customSheetView guid="{3EDA368C-82AF-4F91-99D0-447C6D0C3AC0}" filter="1" showAutoFilter="1">
      <autoFilter ref="$A$1:$I$97"/>
    </customSheetView>
    <customSheetView guid="{14910ABA-25C5-4249-BD6C-ACF0CEBAD616}" filter="1" showAutoFilter="1">
      <autoFilter ref="$A$1:$I$97"/>
    </customSheetView>
    <customSheetView guid="{4E722777-354C-41C4-BDAF-3C065BD42EC8}" filter="1" showAutoFilter="1">
      <autoFilter ref="$A$1:$K$86">
        <filterColumn colId="3">
          <filters>
            <filter val="4.Build"/>
          </filters>
        </filterColumn>
      </autoFilter>
    </customSheetView>
    <customSheetView guid="{75472B64-22E8-45FC-A839-460B446DB55F}" filter="1" showAutoFilter="1">
      <autoFilter ref="$A$1:$I$97"/>
    </customSheetView>
    <customSheetView guid="{E0F697A7-8F80-4AD9-9696-95D1452F7CEA}" filter="1" showAutoFilter="1">
      <autoFilter ref="$A$1:$L$23"/>
    </customSheetView>
    <customSheetView guid="{029C2313-9411-4E27-907A-EFD996D6C4E5}" filter="1" showAutoFilter="1">
      <autoFilter ref="$F$1:$I$97">
        <filterColumn colId="0">
          <filters>
            <filter val="Monitor"/>
            <filter val="NA"/>
          </filters>
        </filterColumn>
      </autoFilter>
    </customSheetView>
  </customSheetViews>
  <conditionalFormatting sqref="F2:F97">
    <cfRule type="containsText" dxfId="0" priority="1" operator="containsText" text="Closed">
      <formula>NOT(ISERROR(SEARCH(("Closed"),(F2))))</formula>
    </cfRule>
  </conditionalFormatting>
  <conditionalFormatting sqref="F2:F97">
    <cfRule type="containsText" dxfId="3" priority="2" operator="containsText" text="Monitor">
      <formula>NOT(ISERROR(SEARCH(("Monitor"),(F2))))</formula>
    </cfRule>
  </conditionalFormatting>
  <conditionalFormatting sqref="F2:F97">
    <cfRule type="containsText" dxfId="4" priority="3" operator="containsText" text="Open">
      <formula>NOT(ISERROR(SEARCH(("Open"),(F2))))</formula>
    </cfRule>
  </conditionalFormatting>
  <dataValidations>
    <dataValidation type="list" allowBlank="1" sqref="B2:B97">
      <formula1>Option!$C$2:$C$16</formula1>
    </dataValidation>
    <dataValidation type="list" allowBlank="1" sqref="I2:J97">
      <formula1>Option!$K$2:$K$17</formula1>
    </dataValidation>
    <dataValidation type="list" allowBlank="1" sqref="C2:C97">
      <formula1>Option!$E$2:$E$13</formula1>
    </dataValidation>
    <dataValidation type="list" allowBlank="1" sqref="D2:D97">
      <formula1>Option!$D$2:$D$15</formula1>
    </dataValidation>
    <dataValidation type="list" allowBlank="1" sqref="F2:F97">
      <formula1>Option!$F$2:$F$5</formula1>
    </dataValidation>
    <dataValidation type="list" allowBlank="1" sqref="L2:L97">
      <formula1>"1.SCH,2.PCB,3.BOM,4.Parameter,5.SW/ME/RF/ANT/Component/MFG/Vendor,6.No Change"</formula1>
    </dataValidation>
    <dataValidation type="list" allowBlank="1" sqref="M2:M97">
      <formula1>Option!$L$2:$L$16</formula1>
    </dataValidation>
    <dataValidation type="list" allowBlank="1" sqref="E2:E97">
      <formula1>Option!$G$2:$G$5</formula1>
    </dataValidation>
  </dataValidations>
  <hyperlinks>
    <hyperlink r:id="rId4" ref="L3"/>
    <hyperlink r:id="rId5" ref="L4"/>
    <hyperlink r:id="rId6" ref="L6"/>
    <hyperlink r:id="rId7" ref="L7"/>
    <hyperlink r:id="rId8" ref="G8"/>
    <hyperlink r:id="rId9" ref="L8"/>
    <hyperlink r:id="rId10" ref="L9"/>
    <hyperlink r:id="rId11" ref="L10"/>
    <hyperlink r:id="rId12" ref="L13"/>
    <hyperlink r:id="rId13" ref="L14"/>
    <hyperlink r:id="rId14" ref="L16"/>
    <hyperlink r:id="rId15" ref="G17"/>
    <hyperlink r:id="rId16" ref="L17"/>
    <hyperlink r:id="rId17" ref="L18"/>
    <hyperlink r:id="rId18" ref="L20"/>
    <hyperlink r:id="rId19" ref="L21"/>
    <hyperlink r:id="rId20" ref="L22"/>
    <hyperlink r:id="rId21" ref="L23"/>
    <hyperlink r:id="rId22" ref="L25"/>
    <hyperlink r:id="rId23" ref="L27"/>
    <hyperlink r:id="rId24" ref="L28"/>
    <hyperlink r:id="rId25" ref="L31"/>
    <hyperlink r:id="rId26" ref="L33"/>
    <hyperlink r:id="rId27" ref="L35"/>
    <hyperlink r:id="rId28" ref="L37"/>
    <hyperlink r:id="rId29" ref="L38"/>
    <hyperlink r:id="rId30" ref="L39"/>
    <hyperlink r:id="rId31" ref="L40"/>
    <hyperlink r:id="rId32" ref="L41"/>
    <hyperlink r:id="rId33" ref="L44"/>
    <hyperlink r:id="rId34" ref="L45"/>
    <hyperlink r:id="rId35" ref="L48"/>
    <hyperlink r:id="rId36" ref="L49"/>
  </hyperlinks>
  <drawing r:id="rId37"/>
  <legacyDrawing r:id="rId38"/>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5.13" defaultRowHeight="15.0"/>
  <cols>
    <col customWidth="1" min="1" max="1" width="10.0"/>
    <col customWidth="1" min="2" max="2" width="11.63"/>
    <col customWidth="1" min="3" max="3" width="11.13"/>
    <col customWidth="1" min="4" max="4" width="14.63"/>
    <col customWidth="1" min="5" max="5" width="11.25"/>
    <col customWidth="1" min="6" max="6" width="9.88"/>
    <col customWidth="1" min="7" max="7" width="102.5"/>
    <col customWidth="1" min="8" max="8" width="13.0"/>
    <col customWidth="1" min="9" max="9" width="14.38"/>
    <col customWidth="1" min="10" max="10" width="9.63"/>
    <col customWidth="1" min="11" max="11" width="7.63"/>
    <col customWidth="1" min="12" max="12" width="10.5"/>
    <col customWidth="1" min="13" max="15" width="7.63"/>
  </cols>
  <sheetData>
    <row r="1" ht="24.0" customHeight="1">
      <c r="A1" s="1" t="s">
        <v>0</v>
      </c>
      <c r="B1" s="1" t="s">
        <v>1</v>
      </c>
      <c r="C1" s="1" t="s">
        <v>2</v>
      </c>
      <c r="D1" s="1" t="s">
        <v>3</v>
      </c>
      <c r="E1" s="1" t="s">
        <v>4</v>
      </c>
      <c r="F1" s="1" t="s">
        <v>5</v>
      </c>
      <c r="G1" s="1" t="s">
        <v>1167</v>
      </c>
      <c r="H1" s="4" t="s">
        <v>7</v>
      </c>
      <c r="I1" s="3" t="s">
        <v>8</v>
      </c>
      <c r="J1" s="3" t="s">
        <v>9</v>
      </c>
      <c r="K1" s="4" t="s">
        <v>10</v>
      </c>
      <c r="L1" s="213" t="s">
        <v>11</v>
      </c>
      <c r="M1" s="12"/>
      <c r="N1" s="12"/>
      <c r="O1" s="12"/>
    </row>
    <row r="2" ht="63.75" customHeight="1">
      <c r="A2" s="15">
        <v>43090.0</v>
      </c>
      <c r="B2" s="7" t="s">
        <v>12</v>
      </c>
      <c r="C2" s="7" t="s">
        <v>57</v>
      </c>
      <c r="D2" s="9" t="s">
        <v>14</v>
      </c>
      <c r="E2" s="13" t="s">
        <v>46</v>
      </c>
      <c r="F2" s="295" t="s">
        <v>16</v>
      </c>
      <c r="G2" s="7" t="s">
        <v>1168</v>
      </c>
      <c r="H2" s="296"/>
      <c r="I2" s="7" t="s">
        <v>1169</v>
      </c>
      <c r="J2" s="11"/>
      <c r="K2" s="11"/>
      <c r="L2" s="295" t="s">
        <v>68</v>
      </c>
      <c r="M2" s="12"/>
      <c r="N2" s="12"/>
      <c r="O2" s="12"/>
    </row>
    <row r="3" ht="63.75" customHeight="1">
      <c r="A3" s="15">
        <v>42849.0</v>
      </c>
      <c r="B3" s="7" t="s">
        <v>12</v>
      </c>
      <c r="C3" s="7" t="s">
        <v>57</v>
      </c>
      <c r="D3" s="9" t="s">
        <v>58</v>
      </c>
      <c r="E3" s="13" t="s">
        <v>64</v>
      </c>
      <c r="F3" s="295" t="s">
        <v>16</v>
      </c>
      <c r="G3" s="7" t="s">
        <v>1170</v>
      </c>
      <c r="H3" s="271" t="str">
        <f>HYPERLINK("https://docs.google.com/presentation/d/1TlzwtMlb7U8zz-OM3z7LybkWWtRH0thTLBYCtyJbz5Q/edit#slide=id.p4","here")</f>
        <v>here</v>
      </c>
      <c r="I3" s="7" t="s">
        <v>1169</v>
      </c>
      <c r="J3" s="11"/>
      <c r="K3" s="11"/>
      <c r="L3" s="295" t="s">
        <v>144</v>
      </c>
      <c r="M3" s="12"/>
      <c r="N3" s="12"/>
      <c r="O3" s="12"/>
    </row>
    <row r="4" ht="71.25" customHeight="1">
      <c r="A4" s="15">
        <v>42816.0</v>
      </c>
      <c r="B4" s="7" t="s">
        <v>19</v>
      </c>
      <c r="C4" s="7" t="s">
        <v>33</v>
      </c>
      <c r="D4" s="9" t="s">
        <v>89</v>
      </c>
      <c r="E4" s="13" t="s">
        <v>64</v>
      </c>
      <c r="F4" s="295" t="s">
        <v>16</v>
      </c>
      <c r="G4" s="7" t="s">
        <v>1171</v>
      </c>
      <c r="H4" s="297" t="str">
        <f>HYPERLINK("https://docs.google.com/presentation/d/1ksKq8VnP0UTdxhaJKcXaZO608erQfjbWIyTyFnPC3rA/edit","here")</f>
        <v>here</v>
      </c>
      <c r="I4" s="7" t="s">
        <v>1172</v>
      </c>
      <c r="J4" s="11"/>
      <c r="K4" s="11"/>
      <c r="L4" s="295" t="s">
        <v>68</v>
      </c>
      <c r="M4" s="12"/>
      <c r="N4" s="12"/>
      <c r="O4" s="12"/>
    </row>
    <row r="5" ht="71.25" customHeight="1">
      <c r="A5" s="15">
        <v>42838.0</v>
      </c>
      <c r="B5" s="7" t="s">
        <v>25</v>
      </c>
      <c r="C5" s="7" t="s">
        <v>57</v>
      </c>
      <c r="D5" s="9" t="s">
        <v>89</v>
      </c>
      <c r="E5" s="13" t="s">
        <v>22</v>
      </c>
      <c r="F5" s="295" t="s">
        <v>16</v>
      </c>
      <c r="G5" s="7" t="s">
        <v>1173</v>
      </c>
      <c r="H5" s="298" t="str">
        <f>HYPERLINK("https://docs.google.com/presentation/d/1TrObBhapxAob66A8YWnyVoPm3f8GDI_n5cvB4bSBfFU/edit#slide=id.p4","here")</f>
        <v>here</v>
      </c>
      <c r="I5" s="7" t="s">
        <v>1169</v>
      </c>
      <c r="J5" s="11"/>
      <c r="K5" s="11"/>
      <c r="L5" s="295" t="s">
        <v>71</v>
      </c>
      <c r="M5" s="12"/>
      <c r="N5" s="12"/>
      <c r="O5" s="12"/>
    </row>
    <row r="6" ht="27.75" customHeight="1">
      <c r="A6" s="15">
        <v>42793.0</v>
      </c>
      <c r="B6" s="7" t="s">
        <v>19</v>
      </c>
      <c r="C6" s="7" t="s">
        <v>49</v>
      </c>
      <c r="D6" s="9" t="s">
        <v>58</v>
      </c>
      <c r="E6" s="13" t="s">
        <v>22</v>
      </c>
      <c r="F6" s="295" t="s">
        <v>16</v>
      </c>
      <c r="G6" s="7" t="s">
        <v>1174</v>
      </c>
      <c r="H6" s="299" t="str">
        <f>HYPERLINK("https://docs.google.com/presentation/d/1XXEcbY6TcD8Hyq4r1JwuLvLjUTIbgTOy7hM39ED296Y/edit#slide=id.p4","here")</f>
        <v>here</v>
      </c>
      <c r="I6" s="7" t="s">
        <v>1175</v>
      </c>
      <c r="J6" s="11"/>
      <c r="K6" s="11"/>
      <c r="L6" s="295" t="s">
        <v>71</v>
      </c>
      <c r="M6" s="12"/>
      <c r="N6" s="12"/>
      <c r="O6" s="12"/>
    </row>
    <row r="7" ht="27.75" customHeight="1">
      <c r="A7" s="15">
        <v>42783.0</v>
      </c>
      <c r="B7" s="7" t="s">
        <v>19</v>
      </c>
      <c r="C7" s="7" t="s">
        <v>57</v>
      </c>
      <c r="D7" s="9" t="s">
        <v>21</v>
      </c>
      <c r="E7" s="13" t="s">
        <v>64</v>
      </c>
      <c r="F7" s="295" t="s">
        <v>16</v>
      </c>
      <c r="G7" s="7" t="s">
        <v>1176</v>
      </c>
      <c r="H7" s="299" t="str">
        <f>HYPERLINK("https://docs.google.com/presentation/d/1Q0rJgR00FeNUHAjB6fCay8baRXCCUBZIQk_3LV3eR00/edit#slide=id.g1cc1df8caf_0_0","here")</f>
        <v>here</v>
      </c>
      <c r="I7" s="7" t="s">
        <v>1169</v>
      </c>
      <c r="J7" s="11"/>
      <c r="K7" s="11"/>
      <c r="L7" s="295" t="s">
        <v>167</v>
      </c>
      <c r="M7" s="12"/>
      <c r="N7" s="12"/>
      <c r="O7" s="12"/>
    </row>
    <row r="8" ht="36.75" customHeight="1">
      <c r="A8" s="15">
        <v>42372.0</v>
      </c>
      <c r="B8" s="7" t="s">
        <v>43</v>
      </c>
      <c r="C8" s="7" t="s">
        <v>57</v>
      </c>
      <c r="D8" s="9" t="s">
        <v>21</v>
      </c>
      <c r="E8" s="13" t="s">
        <v>64</v>
      </c>
      <c r="F8" s="295" t="s">
        <v>16</v>
      </c>
      <c r="G8" s="7" t="s">
        <v>1177</v>
      </c>
      <c r="H8" s="299" t="str">
        <f>HYPERLINK("https://docs.google.com/presentation/d/1uSmDpCw58ysoiPHHAILK_hW4QfCOVuBrWzz-9A2I9LE/edit#slide=id.g1bcb509d8b_0_5","here")</f>
        <v>here</v>
      </c>
      <c r="I8" s="7" t="s">
        <v>1169</v>
      </c>
      <c r="J8" s="11"/>
      <c r="K8" s="11"/>
      <c r="L8" s="295" t="s">
        <v>63</v>
      </c>
      <c r="M8" s="12"/>
      <c r="N8" s="12"/>
      <c r="O8" s="12"/>
    </row>
    <row r="9" ht="27.75" customHeight="1">
      <c r="A9" s="15">
        <v>42374.0</v>
      </c>
      <c r="B9" s="7" t="s">
        <v>43</v>
      </c>
      <c r="C9" s="7" t="s">
        <v>49</v>
      </c>
      <c r="D9" s="9" t="s">
        <v>21</v>
      </c>
      <c r="E9" s="13" t="s">
        <v>64</v>
      </c>
      <c r="F9" s="295" t="s">
        <v>16</v>
      </c>
      <c r="G9" s="7" t="s">
        <v>1178</v>
      </c>
      <c r="H9" s="299" t="str">
        <f>HYPERLINK("https://docs.google.com/presentation/d/1BbiwYqKEnzfFZ_-VMWmPHodqw3Yb62TOnxm8PI_IuaY/edit#slide=id.p4","here")</f>
        <v>here</v>
      </c>
      <c r="I9" s="7" t="s">
        <v>1179</v>
      </c>
      <c r="J9" s="11"/>
      <c r="K9" s="11"/>
      <c r="L9" s="295" t="s">
        <v>162</v>
      </c>
      <c r="M9" s="12"/>
      <c r="N9" s="12"/>
      <c r="O9" s="12"/>
    </row>
    <row r="10" ht="27.75" customHeight="1">
      <c r="A10" s="15">
        <v>42733.0</v>
      </c>
      <c r="B10" s="7" t="s">
        <v>43</v>
      </c>
      <c r="C10" s="7" t="s">
        <v>371</v>
      </c>
      <c r="D10" s="9" t="s">
        <v>58</v>
      </c>
      <c r="E10" s="13" t="s">
        <v>64</v>
      </c>
      <c r="F10" s="11" t="s">
        <v>16</v>
      </c>
      <c r="G10" s="7" t="s">
        <v>1180</v>
      </c>
      <c r="H10" s="299" t="str">
        <f>HYPERLINK("https://docs.google.com/presentation/d/1RRss8c1n2iWWI6p1y7pnVU7qDIqCCj6BxdV7_QBL6PQ/edit#slide=id.p4","here")</f>
        <v>here</v>
      </c>
      <c r="I10" s="7" t="s">
        <v>1172</v>
      </c>
      <c r="J10" s="11"/>
      <c r="K10" s="11"/>
      <c r="L10" s="295" t="s">
        <v>167</v>
      </c>
      <c r="M10" s="12"/>
      <c r="N10" s="12"/>
      <c r="O10" s="12"/>
    </row>
    <row r="11" ht="27.75" customHeight="1">
      <c r="A11" s="15">
        <v>42758.0</v>
      </c>
      <c r="B11" s="7" t="s">
        <v>43</v>
      </c>
      <c r="C11" s="7" t="s">
        <v>57</v>
      </c>
      <c r="D11" s="9" t="s">
        <v>89</v>
      </c>
      <c r="E11" s="13" t="s">
        <v>64</v>
      </c>
      <c r="F11" s="11" t="s">
        <v>16</v>
      </c>
      <c r="G11" s="7" t="s">
        <v>1181</v>
      </c>
      <c r="H11" s="299" t="str">
        <f>HYPERLINK("https://docs.google.com/presentation/d/15B2yB7wmY6Hdtl9xdm21wE7rVmLrhOQ_Z5FGIAHWCmw/edit#slide=id.g1c78a02b11_3_81","here")</f>
        <v>here</v>
      </c>
      <c r="I11" s="7" t="s">
        <v>1182</v>
      </c>
      <c r="J11" s="11"/>
      <c r="K11" s="11"/>
      <c r="L11" s="295" t="s">
        <v>144</v>
      </c>
      <c r="M11" s="12"/>
      <c r="N11" s="12"/>
      <c r="O11" s="12"/>
    </row>
    <row r="12" ht="27.75" customHeight="1">
      <c r="A12" s="15">
        <v>42746.0</v>
      </c>
      <c r="B12" s="7" t="s">
        <v>43</v>
      </c>
      <c r="C12" s="7" t="s">
        <v>36</v>
      </c>
      <c r="D12" s="9" t="s">
        <v>44</v>
      </c>
      <c r="E12" s="13" t="s">
        <v>64</v>
      </c>
      <c r="F12" s="11" t="s">
        <v>16</v>
      </c>
      <c r="G12" s="7" t="s">
        <v>1183</v>
      </c>
      <c r="H12" s="299" t="str">
        <f>HYPERLINK("https://docs.google.com/presentation/d/1RuI5qie2H2yryb08TFH0y3k0PBQocK4vJ0KUQA_MKtA/edit","here")</f>
        <v>here</v>
      </c>
      <c r="I12" s="7" t="s">
        <v>1184</v>
      </c>
      <c r="J12" s="11"/>
      <c r="K12" s="11"/>
      <c r="L12" s="295" t="s">
        <v>71</v>
      </c>
      <c r="M12" s="12"/>
      <c r="N12" s="12"/>
      <c r="O12" s="12"/>
    </row>
    <row r="13" ht="27.75" customHeight="1">
      <c r="A13" s="15">
        <v>42696.0</v>
      </c>
      <c r="B13" s="7" t="s">
        <v>56</v>
      </c>
      <c r="C13" s="7" t="s">
        <v>57</v>
      </c>
      <c r="D13" s="9" t="s">
        <v>44</v>
      </c>
      <c r="E13" s="13" t="s">
        <v>64</v>
      </c>
      <c r="F13" s="11" t="s">
        <v>16</v>
      </c>
      <c r="G13" s="7" t="s">
        <v>1185</v>
      </c>
      <c r="H13" s="299" t="str">
        <f>HYPERLINK("https://docs.google.com/presentation/d/11J7l5CYqq5Q8nnx0y5peW02T4vigG8YJEYmWWLXadF8/edit","here")</f>
        <v>here</v>
      </c>
      <c r="I13" s="7" t="s">
        <v>1186</v>
      </c>
      <c r="J13" s="11"/>
      <c r="K13" s="11"/>
      <c r="L13" s="295" t="s">
        <v>167</v>
      </c>
      <c r="M13" s="12"/>
      <c r="N13" s="12"/>
      <c r="O13" s="12"/>
    </row>
    <row r="14" ht="27.75" customHeight="1">
      <c r="A14" s="15">
        <v>42703.0</v>
      </c>
      <c r="B14" s="7" t="s">
        <v>56</v>
      </c>
      <c r="C14" s="7" t="s">
        <v>57</v>
      </c>
      <c r="D14" s="9" t="s">
        <v>44</v>
      </c>
      <c r="E14" s="13" t="s">
        <v>64</v>
      </c>
      <c r="F14" s="11" t="s">
        <v>16</v>
      </c>
      <c r="G14" s="7" t="s">
        <v>1187</v>
      </c>
      <c r="H14" s="299" t="str">
        <f>HYPERLINK("https://docs.google.com/presentation/d/1XXKruiIdXPopWq4TdXXRFS1b9tfQIMtqHLCuwHhGvSk/edit#slide=id.g1abf8db385_0_0","here")</f>
        <v>here</v>
      </c>
      <c r="I14" s="7" t="s">
        <v>1182</v>
      </c>
      <c r="J14" s="11"/>
      <c r="K14" s="11"/>
      <c r="L14" s="295" t="s">
        <v>167</v>
      </c>
      <c r="M14" s="12"/>
      <c r="N14" s="12"/>
      <c r="O14" s="12"/>
    </row>
    <row r="15" ht="27.75" customHeight="1">
      <c r="A15" s="15">
        <v>42703.0</v>
      </c>
      <c r="B15" s="7" t="s">
        <v>56</v>
      </c>
      <c r="C15" s="7" t="s">
        <v>57</v>
      </c>
      <c r="D15" s="9" t="s">
        <v>21</v>
      </c>
      <c r="E15" s="13" t="s">
        <v>64</v>
      </c>
      <c r="F15" s="11" t="s">
        <v>16</v>
      </c>
      <c r="G15" s="7" t="s">
        <v>1188</v>
      </c>
      <c r="H15" s="271" t="str">
        <f>HYPERLINK("https://docs.google.com/a/motorola.com/presentation/d/15hvSLMxoh4N4z57T2gP6TX59V5i0fnnd01Pu28vieU8/edit?usp=drive_web","here")</f>
        <v>here</v>
      </c>
      <c r="I15" s="7" t="s">
        <v>1186</v>
      </c>
      <c r="J15" s="11"/>
      <c r="K15" s="11"/>
      <c r="L15" s="295" t="s">
        <v>63</v>
      </c>
      <c r="M15" s="12"/>
      <c r="N15" s="12"/>
      <c r="O15" s="12"/>
    </row>
    <row r="16" ht="27.75" customHeight="1">
      <c r="A16" s="15"/>
      <c r="B16" s="7"/>
      <c r="C16" s="7"/>
      <c r="D16" s="9"/>
      <c r="E16" s="13"/>
      <c r="F16" s="11"/>
      <c r="G16" s="7"/>
      <c r="H16" s="9"/>
      <c r="I16" s="7"/>
      <c r="J16" s="12"/>
      <c r="K16" s="12"/>
      <c r="L16" s="12"/>
      <c r="M16" s="12"/>
      <c r="N16" s="12"/>
      <c r="O16" s="12"/>
    </row>
    <row r="17" ht="27.75" customHeight="1">
      <c r="A17" s="15"/>
      <c r="B17" s="7"/>
      <c r="C17" s="7"/>
      <c r="D17" s="9"/>
      <c r="E17" s="13"/>
      <c r="F17" s="11"/>
      <c r="G17" s="7"/>
      <c r="H17" s="9"/>
      <c r="I17" s="7"/>
      <c r="J17" s="12"/>
      <c r="K17" s="12"/>
      <c r="L17" s="12"/>
      <c r="M17" s="12"/>
      <c r="N17" s="12"/>
      <c r="O17" s="12"/>
    </row>
    <row r="18" ht="27.75" customHeight="1">
      <c r="A18" s="15"/>
      <c r="B18" s="7"/>
      <c r="C18" s="7"/>
      <c r="D18" s="9"/>
      <c r="E18" s="13"/>
      <c r="F18" s="11"/>
      <c r="G18" s="7"/>
      <c r="H18" s="9"/>
      <c r="I18" s="7"/>
      <c r="J18" s="12"/>
      <c r="K18" s="12"/>
      <c r="L18" s="12"/>
      <c r="M18" s="12"/>
      <c r="N18" s="12"/>
      <c r="O18" s="12"/>
    </row>
    <row r="19" ht="27.75" customHeight="1">
      <c r="A19" s="15"/>
      <c r="B19" s="7"/>
      <c r="C19" s="7"/>
      <c r="D19" s="9"/>
      <c r="E19" s="13"/>
      <c r="F19" s="11"/>
      <c r="G19" s="7"/>
      <c r="H19" s="9"/>
      <c r="I19" s="7"/>
      <c r="J19" s="12"/>
      <c r="K19" s="12"/>
      <c r="L19" s="12"/>
      <c r="M19" s="12"/>
      <c r="N19" s="12"/>
      <c r="O19" s="12"/>
    </row>
    <row r="20" ht="27.75" customHeight="1">
      <c r="A20" s="15"/>
      <c r="B20" s="7"/>
      <c r="C20" s="7"/>
      <c r="D20" s="9"/>
      <c r="E20" s="13"/>
      <c r="F20" s="11"/>
      <c r="G20" s="7"/>
      <c r="H20" s="9"/>
      <c r="I20" s="7"/>
      <c r="J20" s="12"/>
      <c r="K20" s="12"/>
      <c r="L20" s="12"/>
      <c r="M20" s="12"/>
      <c r="N20" s="12"/>
      <c r="O20" s="12"/>
    </row>
    <row r="21" ht="27.75" customHeight="1">
      <c r="A21" s="15"/>
      <c r="B21" s="7"/>
      <c r="C21" s="7"/>
      <c r="D21" s="9"/>
      <c r="E21" s="13"/>
      <c r="F21" s="11"/>
      <c r="G21" s="7"/>
      <c r="H21" s="9"/>
      <c r="I21" s="7"/>
      <c r="J21" s="12"/>
      <c r="K21" s="12"/>
      <c r="L21" s="12"/>
      <c r="M21" s="12"/>
      <c r="N21" s="12"/>
      <c r="O21" s="12"/>
    </row>
    <row r="22" ht="27.75" customHeight="1">
      <c r="A22" s="15"/>
      <c r="B22" s="7"/>
      <c r="C22" s="7"/>
      <c r="D22" s="9"/>
      <c r="E22" s="13"/>
      <c r="F22" s="11"/>
      <c r="G22" s="7"/>
      <c r="H22" s="9"/>
      <c r="I22" s="7"/>
      <c r="J22" s="12"/>
      <c r="K22" s="12"/>
      <c r="L22" s="12"/>
      <c r="M22" s="12"/>
      <c r="N22" s="12"/>
      <c r="O22" s="12"/>
    </row>
    <row r="23" ht="27.75" customHeight="1">
      <c r="A23" s="15"/>
      <c r="B23" s="7"/>
      <c r="C23" s="7"/>
      <c r="D23" s="9"/>
      <c r="E23" s="13"/>
      <c r="F23" s="11"/>
      <c r="G23" s="7"/>
      <c r="H23" s="9"/>
      <c r="I23" s="7"/>
      <c r="J23" s="12"/>
      <c r="K23" s="12"/>
      <c r="L23" s="12"/>
      <c r="M23" s="12"/>
      <c r="N23" s="12"/>
      <c r="O23" s="12"/>
    </row>
    <row r="24" ht="27.75" customHeight="1">
      <c r="A24" s="15"/>
      <c r="B24" s="7"/>
      <c r="C24" s="7"/>
      <c r="D24" s="9"/>
      <c r="E24" s="13"/>
      <c r="F24" s="11"/>
      <c r="G24" s="7"/>
      <c r="H24" s="9"/>
      <c r="I24" s="7"/>
      <c r="J24" s="12"/>
      <c r="K24" s="12"/>
      <c r="L24" s="12"/>
      <c r="M24" s="12"/>
      <c r="N24" s="12"/>
      <c r="O24" s="12"/>
    </row>
    <row r="25" ht="27.75" customHeight="1">
      <c r="A25" s="15"/>
      <c r="B25" s="7"/>
      <c r="C25" s="7"/>
      <c r="D25" s="9"/>
      <c r="E25" s="13"/>
      <c r="F25" s="11"/>
      <c r="G25" s="7"/>
      <c r="H25" s="9"/>
      <c r="I25" s="7"/>
      <c r="J25" s="12"/>
      <c r="K25" s="12"/>
      <c r="L25" s="12"/>
      <c r="M25" s="12"/>
      <c r="N25" s="12"/>
      <c r="O25" s="12"/>
    </row>
    <row r="26" ht="27.75" customHeight="1">
      <c r="A26" s="15"/>
      <c r="B26" s="7"/>
      <c r="C26" s="7"/>
      <c r="D26" s="9"/>
      <c r="E26" s="13"/>
      <c r="F26" s="11"/>
      <c r="G26" s="7"/>
      <c r="H26" s="9"/>
      <c r="I26" s="7"/>
      <c r="J26" s="12"/>
      <c r="K26" s="12"/>
      <c r="L26" s="12"/>
      <c r="M26" s="12"/>
      <c r="N26" s="12"/>
      <c r="O26" s="12"/>
    </row>
    <row r="27" ht="27.75" customHeight="1">
      <c r="A27" s="15"/>
      <c r="B27" s="7"/>
      <c r="C27" s="7"/>
      <c r="D27" s="9"/>
      <c r="E27" s="13"/>
      <c r="F27" s="11"/>
      <c r="G27" s="7"/>
      <c r="H27" s="9"/>
      <c r="I27" s="7"/>
      <c r="J27" s="12"/>
      <c r="K27" s="12"/>
      <c r="L27" s="12"/>
      <c r="M27" s="12"/>
      <c r="N27" s="12"/>
      <c r="O27" s="12"/>
    </row>
    <row r="28" ht="25.5" customHeight="1">
      <c r="A28" s="16"/>
      <c r="B28" s="16"/>
      <c r="C28" s="16"/>
      <c r="D28" s="16"/>
      <c r="E28" s="16"/>
      <c r="F28" s="12"/>
      <c r="G28" s="16"/>
      <c r="H28" s="12"/>
      <c r="I28" s="12"/>
      <c r="J28" s="12"/>
      <c r="K28" s="12"/>
      <c r="L28" s="12"/>
      <c r="M28" s="12"/>
      <c r="N28" s="12"/>
      <c r="O28" s="12"/>
    </row>
    <row r="29" ht="25.5" customHeight="1">
      <c r="A29" s="16"/>
      <c r="B29" s="16"/>
      <c r="C29" s="16"/>
      <c r="D29" s="16"/>
      <c r="E29" s="16"/>
      <c r="F29" s="12"/>
      <c r="G29" s="16"/>
      <c r="H29" s="12"/>
      <c r="I29" s="12"/>
      <c r="J29" s="12"/>
      <c r="K29" s="12"/>
      <c r="L29" s="12"/>
      <c r="M29" s="12"/>
      <c r="N29" s="12"/>
      <c r="O29" s="12"/>
    </row>
    <row r="30" ht="25.5" customHeight="1">
      <c r="A30" s="16"/>
      <c r="B30" s="16"/>
      <c r="C30" s="16"/>
      <c r="D30" s="16"/>
      <c r="E30" s="16"/>
      <c r="F30" s="12"/>
      <c r="G30" s="16"/>
      <c r="H30" s="12"/>
      <c r="I30" s="12"/>
      <c r="J30" s="12"/>
      <c r="K30" s="12"/>
      <c r="L30" s="12"/>
      <c r="M30" s="12"/>
      <c r="N30" s="12"/>
      <c r="O30" s="12"/>
    </row>
    <row r="31" ht="25.5" customHeight="1">
      <c r="A31" s="16"/>
      <c r="B31" s="16"/>
      <c r="C31" s="16"/>
      <c r="D31" s="16"/>
      <c r="E31" s="16"/>
      <c r="F31" s="12"/>
      <c r="G31" s="16"/>
      <c r="H31" s="12"/>
      <c r="I31" s="12"/>
      <c r="J31" s="12"/>
      <c r="K31" s="12"/>
      <c r="L31" s="12"/>
      <c r="M31" s="12"/>
      <c r="N31" s="12"/>
      <c r="O31" s="12"/>
    </row>
    <row r="32" ht="25.5" customHeight="1">
      <c r="A32" s="17"/>
      <c r="B32" s="12"/>
      <c r="C32" s="12"/>
      <c r="D32" s="17"/>
      <c r="E32" s="17"/>
      <c r="F32" s="12"/>
      <c r="G32" s="17"/>
      <c r="H32" s="12"/>
      <c r="I32" s="12"/>
      <c r="J32" s="12"/>
      <c r="K32" s="12"/>
      <c r="L32" s="12"/>
      <c r="M32" s="12"/>
      <c r="N32" s="12"/>
      <c r="O32" s="12"/>
    </row>
    <row r="33" ht="25.5" customHeight="1">
      <c r="A33" s="17"/>
      <c r="B33" s="12"/>
      <c r="C33" s="12"/>
      <c r="D33" s="17"/>
      <c r="E33" s="17"/>
      <c r="F33" s="12"/>
      <c r="G33" s="17"/>
      <c r="H33" s="12"/>
      <c r="I33" s="12"/>
      <c r="J33" s="12"/>
      <c r="K33" s="12"/>
      <c r="L33" s="12"/>
      <c r="M33" s="12"/>
      <c r="N33" s="12"/>
      <c r="O33" s="12"/>
    </row>
    <row r="34" ht="25.5" customHeight="1">
      <c r="A34" s="17"/>
      <c r="B34" s="12"/>
      <c r="C34" s="12"/>
      <c r="D34" s="17"/>
      <c r="E34" s="17"/>
      <c r="F34" s="12"/>
      <c r="G34" s="17"/>
      <c r="H34" s="12"/>
      <c r="I34" s="12"/>
      <c r="J34" s="12"/>
      <c r="K34" s="12"/>
      <c r="L34" s="12"/>
      <c r="M34" s="12"/>
      <c r="N34" s="12"/>
      <c r="O34" s="12"/>
    </row>
    <row r="35" ht="25.5" customHeight="1">
      <c r="A35" s="17"/>
      <c r="B35" s="12"/>
      <c r="C35" s="12"/>
      <c r="D35" s="17"/>
      <c r="E35" s="17"/>
      <c r="F35" s="12"/>
      <c r="G35" s="17"/>
      <c r="H35" s="12"/>
      <c r="I35" s="12"/>
      <c r="J35" s="12"/>
      <c r="K35" s="12"/>
      <c r="L35" s="12"/>
      <c r="M35" s="12"/>
      <c r="N35" s="12"/>
      <c r="O35" s="12"/>
    </row>
    <row r="36" ht="25.5" customHeight="1">
      <c r="A36" s="17"/>
      <c r="B36" s="12"/>
      <c r="C36" s="12"/>
      <c r="D36" s="17"/>
      <c r="E36" s="17"/>
      <c r="F36" s="12"/>
      <c r="G36" s="17"/>
      <c r="H36" s="12"/>
      <c r="I36" s="12"/>
      <c r="J36" s="12"/>
      <c r="K36" s="12"/>
      <c r="L36" s="12"/>
      <c r="M36" s="12"/>
      <c r="N36" s="12"/>
      <c r="O36" s="12"/>
    </row>
    <row r="37" ht="25.5" customHeight="1">
      <c r="A37" s="17"/>
      <c r="B37" s="12"/>
      <c r="C37" s="12"/>
      <c r="D37" s="17"/>
      <c r="E37" s="17"/>
      <c r="F37" s="12"/>
      <c r="G37" s="17"/>
      <c r="H37" s="12"/>
      <c r="I37" s="12"/>
      <c r="J37" s="12"/>
      <c r="K37" s="12"/>
      <c r="L37" s="12"/>
      <c r="M37" s="12"/>
      <c r="N37" s="12"/>
      <c r="O37" s="12"/>
    </row>
    <row r="38" ht="25.5" customHeight="1">
      <c r="A38" s="17"/>
      <c r="B38" s="12"/>
      <c r="C38" s="12"/>
      <c r="D38" s="17"/>
      <c r="E38" s="17"/>
      <c r="F38" s="12"/>
      <c r="G38" s="17"/>
      <c r="H38" s="12"/>
      <c r="I38" s="12"/>
      <c r="J38" s="12"/>
      <c r="K38" s="12"/>
      <c r="L38" s="12"/>
      <c r="M38" s="12"/>
      <c r="N38" s="12"/>
      <c r="O38" s="12"/>
    </row>
    <row r="39" ht="25.5" customHeight="1">
      <c r="A39" s="17"/>
      <c r="B39" s="12"/>
      <c r="C39" s="12"/>
      <c r="D39" s="17"/>
      <c r="E39" s="17"/>
      <c r="F39" s="12"/>
      <c r="G39" s="17"/>
      <c r="H39" s="12"/>
      <c r="I39" s="12"/>
      <c r="J39" s="12"/>
      <c r="K39" s="12"/>
      <c r="L39" s="12"/>
      <c r="M39" s="12"/>
      <c r="N39" s="12"/>
      <c r="O39" s="12"/>
    </row>
    <row r="40" ht="25.5" customHeight="1">
      <c r="A40" s="17"/>
      <c r="B40" s="12"/>
      <c r="C40" s="12"/>
      <c r="D40" s="17"/>
      <c r="E40" s="17"/>
      <c r="F40" s="12"/>
      <c r="G40" s="17"/>
      <c r="H40" s="12"/>
      <c r="I40" s="12"/>
      <c r="J40" s="12"/>
      <c r="K40" s="12"/>
      <c r="L40" s="12"/>
      <c r="M40" s="12"/>
      <c r="N40" s="12"/>
      <c r="O40" s="12"/>
    </row>
    <row r="41" ht="25.5" customHeight="1">
      <c r="A41" s="17"/>
      <c r="B41" s="12"/>
      <c r="C41" s="12"/>
      <c r="D41" s="17"/>
      <c r="E41" s="17"/>
      <c r="F41" s="12"/>
      <c r="G41" s="17"/>
      <c r="H41" s="12"/>
      <c r="I41" s="12"/>
      <c r="J41" s="12"/>
      <c r="K41" s="12"/>
      <c r="L41" s="12"/>
      <c r="M41" s="12"/>
      <c r="N41" s="12"/>
      <c r="O41" s="12"/>
    </row>
    <row r="42" ht="25.5" customHeight="1">
      <c r="A42" s="17"/>
      <c r="B42" s="12"/>
      <c r="C42" s="12"/>
      <c r="D42" s="17"/>
      <c r="E42" s="17"/>
      <c r="F42" s="12"/>
      <c r="G42" s="17"/>
      <c r="H42" s="12"/>
      <c r="I42" s="12"/>
      <c r="J42" s="12"/>
      <c r="K42" s="12"/>
      <c r="L42" s="12"/>
      <c r="M42" s="12"/>
      <c r="N42" s="12"/>
      <c r="O42" s="12"/>
    </row>
    <row r="43" ht="25.5" customHeight="1">
      <c r="A43" s="17"/>
      <c r="B43" s="12"/>
      <c r="C43" s="12"/>
      <c r="D43" s="17"/>
      <c r="E43" s="17"/>
      <c r="F43" s="12"/>
      <c r="G43" s="17"/>
      <c r="H43" s="12"/>
      <c r="I43" s="12"/>
      <c r="J43" s="12"/>
      <c r="K43" s="12"/>
      <c r="L43" s="12"/>
      <c r="M43" s="12"/>
      <c r="N43" s="12"/>
      <c r="O43" s="12"/>
    </row>
    <row r="44" ht="25.5" customHeight="1">
      <c r="A44" s="17"/>
      <c r="B44" s="12"/>
      <c r="C44" s="12"/>
      <c r="D44" s="17"/>
      <c r="E44" s="17"/>
      <c r="F44" s="12"/>
      <c r="G44" s="17"/>
      <c r="H44" s="12"/>
      <c r="I44" s="12"/>
      <c r="J44" s="12"/>
      <c r="K44" s="12"/>
      <c r="L44" s="12"/>
      <c r="M44" s="12"/>
      <c r="N44" s="12"/>
      <c r="O44" s="12"/>
    </row>
    <row r="45" ht="25.5" customHeight="1">
      <c r="A45" s="17"/>
      <c r="B45" s="12"/>
      <c r="C45" s="12"/>
      <c r="D45" s="17"/>
      <c r="E45" s="17"/>
      <c r="F45" s="12"/>
      <c r="G45" s="17"/>
      <c r="H45" s="12"/>
      <c r="I45" s="12"/>
      <c r="J45" s="12"/>
      <c r="K45" s="12"/>
      <c r="L45" s="12"/>
      <c r="M45" s="12"/>
      <c r="N45" s="12"/>
      <c r="O45" s="12"/>
    </row>
    <row r="46" ht="25.5" customHeight="1">
      <c r="A46" s="17"/>
      <c r="B46" s="12"/>
      <c r="C46" s="12"/>
      <c r="D46" s="17"/>
      <c r="E46" s="17"/>
      <c r="F46" s="12"/>
      <c r="G46" s="17"/>
      <c r="H46" s="12"/>
      <c r="I46" s="12"/>
      <c r="J46" s="12"/>
      <c r="K46" s="12"/>
      <c r="L46" s="12"/>
      <c r="M46" s="12"/>
      <c r="N46" s="12"/>
      <c r="O46" s="12"/>
    </row>
    <row r="47" ht="25.5" customHeight="1">
      <c r="A47" s="17"/>
      <c r="B47" s="12"/>
      <c r="C47" s="12"/>
      <c r="D47" s="17"/>
      <c r="E47" s="17"/>
      <c r="F47" s="12"/>
      <c r="G47" s="17"/>
      <c r="H47" s="12"/>
      <c r="I47" s="12"/>
      <c r="J47" s="12"/>
      <c r="K47" s="12"/>
      <c r="L47" s="12"/>
      <c r="M47" s="12"/>
      <c r="N47" s="12"/>
      <c r="O47" s="12"/>
    </row>
    <row r="48" ht="25.5" customHeight="1">
      <c r="A48" s="17"/>
      <c r="B48" s="12"/>
      <c r="C48" s="12"/>
      <c r="D48" s="17"/>
      <c r="E48" s="17"/>
      <c r="F48" s="12"/>
      <c r="G48" s="17"/>
      <c r="H48" s="12"/>
      <c r="I48" s="12"/>
      <c r="J48" s="12"/>
      <c r="K48" s="12"/>
      <c r="L48" s="12"/>
      <c r="M48" s="12"/>
      <c r="N48" s="12"/>
      <c r="O48" s="12"/>
    </row>
    <row r="49" ht="25.5" customHeight="1">
      <c r="A49" s="17"/>
      <c r="B49" s="12"/>
      <c r="C49" s="12"/>
      <c r="D49" s="17"/>
      <c r="E49" s="17"/>
      <c r="F49" s="12"/>
      <c r="G49" s="17"/>
      <c r="H49" s="12"/>
      <c r="I49" s="12"/>
      <c r="J49" s="12"/>
      <c r="K49" s="12"/>
      <c r="L49" s="12"/>
      <c r="M49" s="12"/>
      <c r="N49" s="12"/>
      <c r="O49" s="12"/>
    </row>
    <row r="50" ht="25.5" customHeight="1">
      <c r="A50" s="17"/>
      <c r="B50" s="12"/>
      <c r="C50" s="12"/>
      <c r="D50" s="17"/>
      <c r="E50" s="17"/>
      <c r="F50" s="12"/>
      <c r="G50" s="17"/>
      <c r="H50" s="12"/>
      <c r="I50" s="12"/>
      <c r="J50" s="12"/>
      <c r="K50" s="12"/>
      <c r="L50" s="12"/>
      <c r="M50" s="12"/>
      <c r="N50" s="12"/>
      <c r="O50" s="12"/>
    </row>
    <row r="51" ht="25.5" customHeight="1">
      <c r="A51" s="17"/>
      <c r="B51" s="12"/>
      <c r="C51" s="12"/>
      <c r="D51" s="17"/>
      <c r="E51" s="17"/>
      <c r="F51" s="12"/>
      <c r="G51" s="17"/>
      <c r="H51" s="12"/>
      <c r="I51" s="12"/>
      <c r="J51" s="12"/>
      <c r="K51" s="12"/>
      <c r="L51" s="12"/>
      <c r="M51" s="12"/>
      <c r="N51" s="12"/>
      <c r="O51" s="12"/>
    </row>
    <row r="52" ht="25.5" customHeight="1">
      <c r="A52" s="17"/>
      <c r="B52" s="12"/>
      <c r="C52" s="12"/>
      <c r="D52" s="17"/>
      <c r="E52" s="17"/>
      <c r="F52" s="12"/>
      <c r="G52" s="17"/>
      <c r="H52" s="12"/>
      <c r="I52" s="12"/>
      <c r="J52" s="12"/>
      <c r="K52" s="12"/>
      <c r="L52" s="12"/>
      <c r="M52" s="12"/>
      <c r="N52" s="12"/>
      <c r="O52" s="12"/>
    </row>
    <row r="53" ht="25.5" customHeight="1">
      <c r="A53" s="17"/>
      <c r="B53" s="12"/>
      <c r="C53" s="12"/>
      <c r="D53" s="17"/>
      <c r="E53" s="17"/>
      <c r="F53" s="12"/>
      <c r="G53" s="17"/>
      <c r="H53" s="12"/>
      <c r="I53" s="12"/>
      <c r="J53" s="12"/>
      <c r="K53" s="12"/>
      <c r="L53" s="12"/>
      <c r="M53" s="12"/>
      <c r="N53" s="12"/>
      <c r="O53" s="12"/>
    </row>
    <row r="54" ht="25.5" customHeight="1">
      <c r="A54" s="17"/>
      <c r="B54" s="12"/>
      <c r="C54" s="12"/>
      <c r="D54" s="17"/>
      <c r="E54" s="17"/>
      <c r="F54" s="12"/>
      <c r="G54" s="17"/>
      <c r="H54" s="12"/>
      <c r="I54" s="12"/>
      <c r="J54" s="12"/>
      <c r="K54" s="12"/>
      <c r="L54" s="12"/>
      <c r="M54" s="12"/>
      <c r="N54" s="12"/>
      <c r="O54" s="12"/>
    </row>
    <row r="55" ht="25.5" customHeight="1">
      <c r="A55" s="17"/>
      <c r="B55" s="12"/>
      <c r="C55" s="12"/>
      <c r="D55" s="17"/>
      <c r="E55" s="17"/>
      <c r="F55" s="12"/>
      <c r="G55" s="17"/>
      <c r="H55" s="12"/>
      <c r="I55" s="12"/>
      <c r="J55" s="12"/>
      <c r="K55" s="12"/>
      <c r="L55" s="12"/>
      <c r="M55" s="12"/>
      <c r="N55" s="12"/>
      <c r="O55" s="12"/>
    </row>
    <row r="56" ht="25.5" customHeight="1">
      <c r="A56" s="17"/>
      <c r="B56" s="12"/>
      <c r="C56" s="12"/>
      <c r="D56" s="17"/>
      <c r="E56" s="17"/>
      <c r="F56" s="12"/>
      <c r="G56" s="17"/>
      <c r="H56" s="12"/>
      <c r="I56" s="12"/>
      <c r="J56" s="12"/>
      <c r="K56" s="12"/>
      <c r="L56" s="12"/>
      <c r="M56" s="12"/>
      <c r="N56" s="12"/>
      <c r="O56" s="12"/>
    </row>
    <row r="57" ht="25.5" customHeight="1">
      <c r="A57" s="17"/>
      <c r="B57" s="12"/>
      <c r="C57" s="12"/>
      <c r="D57" s="17"/>
      <c r="E57" s="17"/>
      <c r="F57" s="12"/>
      <c r="G57" s="17"/>
      <c r="H57" s="12"/>
      <c r="I57" s="12"/>
      <c r="J57" s="12"/>
      <c r="K57" s="12"/>
      <c r="L57" s="12"/>
      <c r="M57" s="12"/>
      <c r="N57" s="12"/>
      <c r="O57" s="12"/>
    </row>
    <row r="58" ht="25.5" customHeight="1">
      <c r="A58" s="17"/>
      <c r="B58" s="12"/>
      <c r="C58" s="12"/>
      <c r="D58" s="17"/>
      <c r="E58" s="17"/>
      <c r="F58" s="12"/>
      <c r="G58" s="17"/>
      <c r="H58" s="12"/>
      <c r="I58" s="12"/>
      <c r="J58" s="12"/>
      <c r="K58" s="12"/>
      <c r="L58" s="12"/>
      <c r="M58" s="12"/>
      <c r="N58" s="12"/>
      <c r="O58" s="12"/>
    </row>
    <row r="59" ht="25.5" customHeight="1">
      <c r="A59" s="17"/>
      <c r="B59" s="12"/>
      <c r="C59" s="12"/>
      <c r="D59" s="17"/>
      <c r="E59" s="17"/>
      <c r="F59" s="12"/>
      <c r="G59" s="17"/>
      <c r="H59" s="12"/>
      <c r="I59" s="12"/>
      <c r="J59" s="12"/>
      <c r="K59" s="12"/>
      <c r="L59" s="12"/>
      <c r="M59" s="12"/>
      <c r="N59" s="12"/>
      <c r="O59" s="12"/>
    </row>
    <row r="60" ht="25.5" customHeight="1">
      <c r="A60" s="17"/>
      <c r="B60" s="12"/>
      <c r="C60" s="12"/>
      <c r="D60" s="17"/>
      <c r="E60" s="17"/>
      <c r="F60" s="12"/>
      <c r="G60" s="17"/>
      <c r="H60" s="12"/>
      <c r="I60" s="12"/>
      <c r="J60" s="12"/>
      <c r="K60" s="12"/>
      <c r="L60" s="12"/>
      <c r="M60" s="12"/>
      <c r="N60" s="12"/>
      <c r="O60" s="12"/>
    </row>
    <row r="61" ht="25.5" customHeight="1">
      <c r="A61" s="17"/>
      <c r="B61" s="12"/>
      <c r="C61" s="12"/>
      <c r="D61" s="17"/>
      <c r="E61" s="17"/>
      <c r="F61" s="12"/>
      <c r="G61" s="17"/>
      <c r="H61" s="12"/>
      <c r="I61" s="12"/>
      <c r="J61" s="12"/>
      <c r="K61" s="12"/>
      <c r="L61" s="12"/>
      <c r="M61" s="12"/>
      <c r="N61" s="12"/>
      <c r="O61" s="12"/>
    </row>
    <row r="62" ht="25.5" customHeight="1">
      <c r="A62" s="17"/>
      <c r="B62" s="12"/>
      <c r="C62" s="12"/>
      <c r="D62" s="17"/>
      <c r="E62" s="17"/>
      <c r="F62" s="12"/>
      <c r="G62" s="17"/>
      <c r="H62" s="12"/>
      <c r="I62" s="12"/>
      <c r="J62" s="12"/>
      <c r="K62" s="12"/>
      <c r="L62" s="12"/>
      <c r="M62" s="12"/>
      <c r="N62" s="12"/>
      <c r="O62" s="12"/>
    </row>
    <row r="63" ht="25.5" customHeight="1">
      <c r="A63" s="17"/>
      <c r="B63" s="12"/>
      <c r="C63" s="12"/>
      <c r="D63" s="17"/>
      <c r="E63" s="17"/>
      <c r="F63" s="12"/>
      <c r="G63" s="17"/>
      <c r="H63" s="12"/>
      <c r="I63" s="12"/>
      <c r="J63" s="12"/>
      <c r="K63" s="12"/>
      <c r="L63" s="12"/>
      <c r="M63" s="12"/>
      <c r="N63" s="12"/>
      <c r="O63" s="12"/>
    </row>
    <row r="64" ht="25.5" customHeight="1">
      <c r="A64" s="17"/>
      <c r="B64" s="12"/>
      <c r="C64" s="12"/>
      <c r="D64" s="17"/>
      <c r="E64" s="17"/>
      <c r="F64" s="12"/>
      <c r="G64" s="17"/>
      <c r="H64" s="12"/>
      <c r="I64" s="12"/>
      <c r="J64" s="12"/>
      <c r="K64" s="12"/>
      <c r="L64" s="12"/>
      <c r="M64" s="12"/>
      <c r="N64" s="12"/>
      <c r="O64" s="12"/>
    </row>
    <row r="65" ht="25.5" customHeight="1">
      <c r="A65" s="17"/>
      <c r="B65" s="12"/>
      <c r="C65" s="12"/>
      <c r="D65" s="17"/>
      <c r="E65" s="17"/>
      <c r="F65" s="12"/>
      <c r="G65" s="17"/>
      <c r="H65" s="12"/>
      <c r="I65" s="12"/>
      <c r="J65" s="12"/>
      <c r="K65" s="12"/>
      <c r="L65" s="12"/>
      <c r="M65" s="12"/>
      <c r="N65" s="12"/>
      <c r="O65" s="12"/>
    </row>
    <row r="66" ht="25.5" customHeight="1">
      <c r="A66" s="17"/>
      <c r="B66" s="12"/>
      <c r="C66" s="12"/>
      <c r="D66" s="17"/>
      <c r="E66" s="17"/>
      <c r="F66" s="12"/>
      <c r="G66" s="17"/>
      <c r="H66" s="12"/>
      <c r="I66" s="12"/>
      <c r="J66" s="12"/>
      <c r="K66" s="12"/>
      <c r="L66" s="12"/>
      <c r="M66" s="12"/>
      <c r="N66" s="12"/>
      <c r="O66" s="12"/>
    </row>
    <row r="67" ht="25.5" customHeight="1">
      <c r="A67" s="17"/>
      <c r="B67" s="12"/>
      <c r="C67" s="12"/>
      <c r="D67" s="17"/>
      <c r="E67" s="17"/>
      <c r="F67" s="12"/>
      <c r="G67" s="17"/>
      <c r="H67" s="12"/>
      <c r="I67" s="12"/>
      <c r="J67" s="12"/>
      <c r="K67" s="12"/>
      <c r="L67" s="12"/>
      <c r="M67" s="12"/>
      <c r="N67" s="12"/>
      <c r="O67" s="12"/>
    </row>
    <row r="68" ht="25.5" customHeight="1">
      <c r="A68" s="17"/>
      <c r="B68" s="12"/>
      <c r="C68" s="12"/>
      <c r="D68" s="17"/>
      <c r="E68" s="17"/>
      <c r="F68" s="12"/>
      <c r="G68" s="17"/>
      <c r="H68" s="12"/>
      <c r="I68" s="12"/>
      <c r="J68" s="12"/>
      <c r="K68" s="12"/>
      <c r="L68" s="12"/>
      <c r="M68" s="12"/>
      <c r="N68" s="12"/>
      <c r="O68" s="12"/>
    </row>
    <row r="69" ht="25.5" customHeight="1">
      <c r="A69" s="17"/>
      <c r="B69" s="12"/>
      <c r="C69" s="12"/>
      <c r="D69" s="17"/>
      <c r="E69" s="17"/>
      <c r="F69" s="12"/>
      <c r="G69" s="17"/>
      <c r="H69" s="12"/>
      <c r="I69" s="12"/>
      <c r="J69" s="12"/>
      <c r="K69" s="12"/>
      <c r="L69" s="12"/>
      <c r="M69" s="12"/>
      <c r="N69" s="12"/>
      <c r="O69" s="12"/>
    </row>
    <row r="70" ht="25.5" customHeight="1">
      <c r="A70" s="17"/>
      <c r="B70" s="12"/>
      <c r="C70" s="12"/>
      <c r="D70" s="17"/>
      <c r="E70" s="17"/>
      <c r="F70" s="12"/>
      <c r="G70" s="17"/>
      <c r="H70" s="12"/>
      <c r="I70" s="12"/>
      <c r="J70" s="12"/>
      <c r="K70" s="12"/>
      <c r="L70" s="12"/>
      <c r="M70" s="12"/>
      <c r="N70" s="12"/>
      <c r="O70" s="12"/>
    </row>
    <row r="71" ht="25.5" customHeight="1">
      <c r="A71" s="17"/>
      <c r="B71" s="12"/>
      <c r="C71" s="12"/>
      <c r="D71" s="17"/>
      <c r="E71" s="17"/>
      <c r="F71" s="12"/>
      <c r="G71" s="17"/>
      <c r="H71" s="12"/>
      <c r="I71" s="12"/>
      <c r="J71" s="12"/>
      <c r="K71" s="12"/>
      <c r="L71" s="12"/>
      <c r="M71" s="12"/>
      <c r="N71" s="12"/>
      <c r="O71" s="12"/>
    </row>
    <row r="72" ht="25.5" customHeight="1">
      <c r="A72" s="17"/>
      <c r="B72" s="12"/>
      <c r="C72" s="12"/>
      <c r="D72" s="17"/>
      <c r="E72" s="17"/>
      <c r="F72" s="12"/>
      <c r="G72" s="17"/>
      <c r="H72" s="12"/>
      <c r="I72" s="12"/>
      <c r="J72" s="12"/>
      <c r="K72" s="12"/>
      <c r="L72" s="12"/>
      <c r="M72" s="12"/>
      <c r="N72" s="12"/>
      <c r="O72" s="12"/>
    </row>
    <row r="73" ht="25.5" customHeight="1">
      <c r="A73" s="17"/>
      <c r="B73" s="12"/>
      <c r="C73" s="12"/>
      <c r="D73" s="17"/>
      <c r="E73" s="17"/>
      <c r="F73" s="12"/>
      <c r="G73" s="17"/>
      <c r="H73" s="12"/>
      <c r="I73" s="12"/>
      <c r="J73" s="12"/>
      <c r="K73" s="12"/>
      <c r="L73" s="12"/>
      <c r="M73" s="12"/>
      <c r="N73" s="12"/>
      <c r="O73" s="12"/>
    </row>
    <row r="74" ht="25.5" customHeight="1">
      <c r="A74" s="17"/>
      <c r="B74" s="12"/>
      <c r="C74" s="12"/>
      <c r="D74" s="17"/>
      <c r="E74" s="17"/>
      <c r="F74" s="12"/>
      <c r="G74" s="17"/>
      <c r="H74" s="12"/>
      <c r="I74" s="12"/>
      <c r="J74" s="12"/>
      <c r="K74" s="12"/>
      <c r="L74" s="12"/>
      <c r="M74" s="12"/>
      <c r="N74" s="12"/>
      <c r="O74" s="12"/>
    </row>
    <row r="75" ht="25.5" customHeight="1">
      <c r="A75" s="17"/>
      <c r="B75" s="12"/>
      <c r="C75" s="12"/>
      <c r="D75" s="17"/>
      <c r="E75" s="17"/>
      <c r="F75" s="12"/>
      <c r="G75" s="17"/>
      <c r="H75" s="12"/>
      <c r="I75" s="12"/>
      <c r="J75" s="12"/>
      <c r="K75" s="12"/>
      <c r="L75" s="12"/>
      <c r="M75" s="12"/>
      <c r="N75" s="12"/>
      <c r="O75" s="12"/>
    </row>
    <row r="76" ht="25.5" customHeight="1">
      <c r="A76" s="17"/>
      <c r="B76" s="12"/>
      <c r="C76" s="12"/>
      <c r="D76" s="17"/>
      <c r="E76" s="17"/>
      <c r="F76" s="12"/>
      <c r="G76" s="17"/>
      <c r="H76" s="12"/>
      <c r="I76" s="12"/>
      <c r="J76" s="12"/>
      <c r="K76" s="12"/>
      <c r="L76" s="12"/>
      <c r="M76" s="12"/>
      <c r="N76" s="12"/>
      <c r="O76" s="12"/>
    </row>
    <row r="77" ht="25.5" customHeight="1">
      <c r="A77" s="17"/>
      <c r="B77" s="12"/>
      <c r="C77" s="12"/>
      <c r="D77" s="17"/>
      <c r="E77" s="17"/>
      <c r="F77" s="12"/>
      <c r="G77" s="17"/>
      <c r="H77" s="12"/>
      <c r="I77" s="12"/>
      <c r="J77" s="12"/>
      <c r="K77" s="12"/>
      <c r="L77" s="12"/>
      <c r="M77" s="12"/>
      <c r="N77" s="12"/>
      <c r="O77" s="12"/>
    </row>
    <row r="78" ht="13.5" customHeight="1">
      <c r="A78" s="17"/>
      <c r="B78" s="12"/>
      <c r="C78" s="12"/>
      <c r="D78" s="17"/>
      <c r="E78" s="17"/>
      <c r="F78" s="12"/>
      <c r="G78" s="17"/>
      <c r="H78" s="12"/>
      <c r="I78" s="12"/>
      <c r="J78" s="12"/>
      <c r="K78" s="12"/>
      <c r="L78" s="12"/>
      <c r="M78" s="12"/>
      <c r="N78" s="12"/>
      <c r="O78" s="12"/>
    </row>
    <row r="79" ht="13.5" customHeight="1">
      <c r="A79" s="17"/>
      <c r="B79" s="12"/>
      <c r="C79" s="12"/>
      <c r="D79" s="17"/>
      <c r="E79" s="17"/>
      <c r="F79" s="12"/>
      <c r="G79" s="17"/>
      <c r="H79" s="12"/>
      <c r="I79" s="12"/>
      <c r="J79" s="12"/>
      <c r="K79" s="12"/>
      <c r="L79" s="12"/>
      <c r="M79" s="12"/>
      <c r="N79" s="12"/>
      <c r="O79" s="12"/>
    </row>
    <row r="80" ht="13.5" customHeight="1">
      <c r="A80" s="17"/>
      <c r="B80" s="12"/>
      <c r="C80" s="12"/>
      <c r="D80" s="17"/>
      <c r="E80" s="17"/>
      <c r="F80" s="12"/>
      <c r="G80" s="17"/>
      <c r="H80" s="12"/>
      <c r="I80" s="12"/>
      <c r="J80" s="12"/>
      <c r="K80" s="12"/>
      <c r="L80" s="12"/>
      <c r="M80" s="12"/>
      <c r="N80" s="12"/>
      <c r="O80" s="12"/>
    </row>
    <row r="81" ht="13.5" customHeight="1">
      <c r="A81" s="17"/>
      <c r="B81" s="12"/>
      <c r="C81" s="12"/>
      <c r="D81" s="17"/>
      <c r="E81" s="17"/>
      <c r="F81" s="12"/>
      <c r="G81" s="17"/>
      <c r="H81" s="12"/>
      <c r="I81" s="12"/>
      <c r="J81" s="12"/>
      <c r="K81" s="12"/>
      <c r="L81" s="12"/>
      <c r="M81" s="12"/>
      <c r="N81" s="12"/>
      <c r="O81" s="12"/>
    </row>
    <row r="82" ht="13.5" customHeight="1">
      <c r="A82" s="17"/>
      <c r="B82" s="12"/>
      <c r="C82" s="12"/>
      <c r="D82" s="17"/>
      <c r="E82" s="17"/>
      <c r="F82" s="12"/>
      <c r="G82" s="17"/>
      <c r="H82" s="12"/>
      <c r="I82" s="12"/>
      <c r="J82" s="12"/>
      <c r="K82" s="12"/>
      <c r="L82" s="12"/>
      <c r="M82" s="12"/>
      <c r="N82" s="12"/>
      <c r="O82" s="12"/>
    </row>
    <row r="83" ht="13.5" customHeight="1">
      <c r="A83" s="17"/>
      <c r="B83" s="12"/>
      <c r="C83" s="12"/>
      <c r="D83" s="17"/>
      <c r="E83" s="17"/>
      <c r="F83" s="12"/>
      <c r="G83" s="17"/>
      <c r="H83" s="12"/>
      <c r="I83" s="12"/>
      <c r="J83" s="12"/>
      <c r="K83" s="12"/>
      <c r="L83" s="12"/>
      <c r="M83" s="12"/>
      <c r="N83" s="12"/>
      <c r="O83" s="12"/>
    </row>
    <row r="84" ht="13.5" customHeight="1">
      <c r="A84" s="17"/>
      <c r="B84" s="12"/>
      <c r="C84" s="12"/>
      <c r="D84" s="17"/>
      <c r="E84" s="17"/>
      <c r="F84" s="12"/>
      <c r="G84" s="17"/>
      <c r="H84" s="12"/>
      <c r="I84" s="12"/>
      <c r="J84" s="12"/>
      <c r="K84" s="12"/>
      <c r="L84" s="12"/>
      <c r="M84" s="12"/>
      <c r="N84" s="12"/>
      <c r="O84" s="12"/>
    </row>
    <row r="85" ht="13.5" customHeight="1">
      <c r="A85" s="17"/>
      <c r="B85" s="12"/>
      <c r="C85" s="12"/>
      <c r="D85" s="17"/>
      <c r="E85" s="17"/>
      <c r="F85" s="12"/>
      <c r="G85" s="17"/>
      <c r="H85" s="12"/>
      <c r="I85" s="12"/>
      <c r="J85" s="12"/>
      <c r="K85" s="12"/>
      <c r="L85" s="12"/>
      <c r="M85" s="12"/>
      <c r="N85" s="12"/>
      <c r="O85" s="12"/>
    </row>
    <row r="86" ht="13.5" customHeight="1">
      <c r="A86" s="17"/>
      <c r="B86" s="12"/>
      <c r="C86" s="12"/>
      <c r="D86" s="17"/>
      <c r="E86" s="17"/>
      <c r="F86" s="12"/>
      <c r="G86" s="17"/>
      <c r="H86" s="12"/>
      <c r="I86" s="12"/>
      <c r="J86" s="12"/>
      <c r="K86" s="12"/>
      <c r="L86" s="12"/>
      <c r="M86" s="12"/>
      <c r="N86" s="12"/>
      <c r="O86" s="12"/>
    </row>
    <row r="87" ht="13.5" customHeight="1">
      <c r="A87" s="17"/>
      <c r="B87" s="12"/>
      <c r="C87" s="12"/>
      <c r="D87" s="17"/>
      <c r="E87" s="17"/>
      <c r="F87" s="12"/>
      <c r="G87" s="17"/>
      <c r="H87" s="12"/>
      <c r="I87" s="12"/>
      <c r="J87" s="12"/>
      <c r="K87" s="12"/>
      <c r="L87" s="12"/>
      <c r="M87" s="12"/>
      <c r="N87" s="12"/>
      <c r="O87" s="12"/>
    </row>
    <row r="88" ht="13.5" customHeight="1">
      <c r="A88" s="17"/>
      <c r="B88" s="12"/>
      <c r="C88" s="12"/>
      <c r="D88" s="17"/>
      <c r="E88" s="17"/>
      <c r="F88" s="12"/>
      <c r="G88" s="17"/>
      <c r="H88" s="12"/>
      <c r="I88" s="12"/>
      <c r="J88" s="12"/>
      <c r="K88" s="12"/>
      <c r="L88" s="12"/>
      <c r="M88" s="12"/>
      <c r="N88" s="12"/>
      <c r="O88" s="12"/>
    </row>
    <row r="89" ht="13.5" customHeight="1">
      <c r="A89" s="17"/>
      <c r="B89" s="12"/>
      <c r="C89" s="12"/>
      <c r="D89" s="17"/>
      <c r="E89" s="17"/>
      <c r="F89" s="12"/>
      <c r="G89" s="17"/>
      <c r="H89" s="12"/>
      <c r="I89" s="12"/>
      <c r="J89" s="12"/>
      <c r="K89" s="12"/>
      <c r="L89" s="12"/>
      <c r="M89" s="12"/>
      <c r="N89" s="12"/>
      <c r="O89" s="12"/>
    </row>
    <row r="90" ht="13.5" customHeight="1">
      <c r="A90" s="17"/>
      <c r="B90" s="12"/>
      <c r="C90" s="12"/>
      <c r="D90" s="17"/>
      <c r="E90" s="17"/>
      <c r="F90" s="12"/>
      <c r="G90" s="17"/>
      <c r="H90" s="12"/>
      <c r="I90" s="12"/>
      <c r="J90" s="12"/>
      <c r="K90" s="12"/>
      <c r="L90" s="12"/>
      <c r="M90" s="12"/>
      <c r="N90" s="12"/>
      <c r="O90" s="12"/>
    </row>
    <row r="91" ht="13.5" customHeight="1">
      <c r="A91" s="17"/>
      <c r="B91" s="12"/>
      <c r="C91" s="12"/>
      <c r="D91" s="17"/>
      <c r="E91" s="17"/>
      <c r="F91" s="12"/>
      <c r="G91" s="17"/>
      <c r="H91" s="12"/>
      <c r="I91" s="12"/>
      <c r="J91" s="12"/>
      <c r="K91" s="12"/>
      <c r="L91" s="12"/>
      <c r="M91" s="12"/>
      <c r="N91" s="12"/>
      <c r="O91" s="12"/>
    </row>
    <row r="92" ht="13.5" customHeight="1">
      <c r="A92" s="17"/>
      <c r="B92" s="12"/>
      <c r="C92" s="12"/>
      <c r="D92" s="17"/>
      <c r="E92" s="17"/>
      <c r="F92" s="12"/>
      <c r="G92" s="17"/>
      <c r="H92" s="12"/>
      <c r="I92" s="12"/>
      <c r="J92" s="12"/>
      <c r="K92" s="12"/>
      <c r="L92" s="12"/>
      <c r="M92" s="12"/>
      <c r="N92" s="12"/>
      <c r="O92" s="12"/>
    </row>
    <row r="93" ht="13.5" customHeight="1">
      <c r="A93" s="17"/>
      <c r="B93" s="12"/>
      <c r="C93" s="12"/>
      <c r="D93" s="17"/>
      <c r="E93" s="17"/>
      <c r="F93" s="12"/>
      <c r="G93" s="17"/>
      <c r="H93" s="12"/>
      <c r="I93" s="12"/>
      <c r="J93" s="12"/>
      <c r="K93" s="12"/>
      <c r="L93" s="12"/>
      <c r="M93" s="12"/>
      <c r="N93" s="12"/>
      <c r="O93" s="12"/>
    </row>
    <row r="94" ht="13.5" customHeight="1">
      <c r="A94" s="17"/>
      <c r="B94" s="12"/>
      <c r="C94" s="12"/>
      <c r="D94" s="17"/>
      <c r="E94" s="17"/>
      <c r="F94" s="12"/>
      <c r="G94" s="17"/>
      <c r="H94" s="12"/>
      <c r="I94" s="12"/>
      <c r="J94" s="12"/>
      <c r="K94" s="12"/>
      <c r="L94" s="12"/>
      <c r="M94" s="12"/>
      <c r="N94" s="12"/>
      <c r="O94" s="12"/>
    </row>
    <row r="95" ht="13.5" customHeight="1">
      <c r="A95" s="17"/>
      <c r="B95" s="12"/>
      <c r="C95" s="12"/>
      <c r="D95" s="17"/>
      <c r="E95" s="17"/>
      <c r="F95" s="12"/>
      <c r="G95" s="17"/>
      <c r="H95" s="12"/>
      <c r="I95" s="12"/>
      <c r="J95" s="12"/>
      <c r="K95" s="12"/>
      <c r="L95" s="12"/>
      <c r="M95" s="12"/>
      <c r="N95" s="12"/>
      <c r="O95" s="12"/>
    </row>
    <row r="96" ht="13.5" customHeight="1">
      <c r="A96" s="17"/>
      <c r="B96" s="12"/>
      <c r="C96" s="12"/>
      <c r="D96" s="17"/>
      <c r="E96" s="17"/>
      <c r="F96" s="12"/>
      <c r="G96" s="17"/>
      <c r="H96" s="12"/>
      <c r="I96" s="12"/>
      <c r="J96" s="12"/>
      <c r="K96" s="12"/>
      <c r="L96" s="12"/>
      <c r="M96" s="12"/>
      <c r="N96" s="12"/>
      <c r="O96" s="12"/>
    </row>
    <row r="97" ht="13.5" customHeight="1">
      <c r="A97" s="17"/>
      <c r="B97" s="12"/>
      <c r="C97" s="12"/>
      <c r="D97" s="17"/>
      <c r="E97" s="17"/>
      <c r="F97" s="12"/>
      <c r="G97" s="17"/>
      <c r="H97" s="12"/>
      <c r="I97" s="12"/>
      <c r="J97" s="12"/>
      <c r="K97" s="12"/>
      <c r="L97" s="12"/>
      <c r="M97" s="12"/>
      <c r="N97" s="12"/>
      <c r="O97" s="12"/>
    </row>
    <row r="98" ht="13.5" customHeight="1">
      <c r="A98" s="17"/>
      <c r="B98" s="12"/>
      <c r="C98" s="12"/>
      <c r="D98" s="17"/>
      <c r="E98" s="17"/>
      <c r="F98" s="12"/>
      <c r="G98" s="17"/>
      <c r="H98" s="12"/>
      <c r="I98" s="12"/>
      <c r="J98" s="12"/>
      <c r="K98" s="12"/>
      <c r="L98" s="12"/>
      <c r="M98" s="12"/>
      <c r="N98" s="12"/>
      <c r="O98" s="12"/>
    </row>
    <row r="99" ht="13.5" customHeight="1">
      <c r="A99" s="17"/>
      <c r="B99" s="12"/>
      <c r="C99" s="12"/>
      <c r="D99" s="17"/>
      <c r="E99" s="17"/>
      <c r="F99" s="12"/>
      <c r="G99" s="17"/>
      <c r="H99" s="12"/>
      <c r="I99" s="12"/>
      <c r="J99" s="12"/>
      <c r="K99" s="12"/>
      <c r="L99" s="12"/>
      <c r="M99" s="12"/>
      <c r="N99" s="12"/>
      <c r="O99" s="12"/>
    </row>
    <row r="100" ht="13.5" customHeight="1">
      <c r="A100" s="17"/>
      <c r="B100" s="12"/>
      <c r="C100" s="12"/>
      <c r="D100" s="17"/>
      <c r="E100" s="17"/>
      <c r="F100" s="12"/>
      <c r="G100" s="17"/>
      <c r="H100" s="12"/>
      <c r="I100" s="12"/>
      <c r="J100" s="12"/>
      <c r="K100" s="12"/>
      <c r="L100" s="12"/>
      <c r="M100" s="12"/>
      <c r="N100" s="12"/>
      <c r="O100" s="12"/>
    </row>
    <row r="101" ht="13.5" customHeight="1">
      <c r="A101" s="17"/>
      <c r="B101" s="12"/>
      <c r="C101" s="12"/>
      <c r="D101" s="17"/>
      <c r="E101" s="17"/>
      <c r="F101" s="12"/>
      <c r="G101" s="17"/>
      <c r="H101" s="12"/>
      <c r="I101" s="12"/>
      <c r="J101" s="12"/>
      <c r="K101" s="12"/>
      <c r="L101" s="12"/>
      <c r="M101" s="12"/>
      <c r="N101" s="12"/>
      <c r="O101" s="12"/>
    </row>
    <row r="102" ht="13.5" customHeight="1">
      <c r="A102" s="17"/>
      <c r="B102" s="12"/>
      <c r="C102" s="12"/>
      <c r="D102" s="17"/>
      <c r="E102" s="17"/>
      <c r="F102" s="12"/>
      <c r="G102" s="17"/>
      <c r="H102" s="12"/>
      <c r="I102" s="12"/>
      <c r="J102" s="12"/>
      <c r="K102" s="12"/>
      <c r="L102" s="12"/>
      <c r="M102" s="12"/>
      <c r="N102" s="12"/>
      <c r="O102" s="12"/>
    </row>
    <row r="103" ht="13.5" customHeight="1">
      <c r="A103" s="17"/>
      <c r="B103" s="12"/>
      <c r="C103" s="12"/>
      <c r="D103" s="17"/>
      <c r="E103" s="17"/>
      <c r="F103" s="12"/>
      <c r="G103" s="17"/>
      <c r="H103" s="12"/>
      <c r="I103" s="12"/>
      <c r="J103" s="12"/>
      <c r="K103" s="12"/>
      <c r="L103" s="12"/>
      <c r="M103" s="12"/>
      <c r="N103" s="12"/>
      <c r="O103" s="12"/>
    </row>
    <row r="104" ht="13.5" customHeight="1">
      <c r="A104" s="17"/>
      <c r="B104" s="12"/>
      <c r="C104" s="12"/>
      <c r="D104" s="17"/>
      <c r="E104" s="17"/>
      <c r="F104" s="12"/>
      <c r="G104" s="17"/>
      <c r="H104" s="12"/>
      <c r="I104" s="12"/>
      <c r="J104" s="12"/>
      <c r="K104" s="12"/>
      <c r="L104" s="12"/>
      <c r="M104" s="12"/>
      <c r="N104" s="12"/>
      <c r="O104" s="12"/>
    </row>
    <row r="105" ht="13.5" customHeight="1">
      <c r="A105" s="17"/>
      <c r="B105" s="12"/>
      <c r="C105" s="12"/>
      <c r="D105" s="17"/>
      <c r="E105" s="17"/>
      <c r="F105" s="12"/>
      <c r="G105" s="17"/>
      <c r="H105" s="12"/>
      <c r="I105" s="12"/>
      <c r="J105" s="12"/>
      <c r="K105" s="12"/>
      <c r="L105" s="12"/>
      <c r="M105" s="12"/>
      <c r="N105" s="12"/>
      <c r="O105" s="12"/>
    </row>
    <row r="106" ht="13.5" customHeight="1">
      <c r="A106" s="17"/>
      <c r="B106" s="12"/>
      <c r="C106" s="12"/>
      <c r="D106" s="17"/>
      <c r="E106" s="17"/>
      <c r="F106" s="12"/>
      <c r="G106" s="17"/>
      <c r="H106" s="12"/>
      <c r="I106" s="12"/>
      <c r="J106" s="12"/>
      <c r="K106" s="12"/>
      <c r="L106" s="12"/>
      <c r="M106" s="12"/>
      <c r="N106" s="12"/>
      <c r="O106" s="12"/>
    </row>
    <row r="107" ht="13.5" customHeight="1">
      <c r="A107" s="17"/>
      <c r="B107" s="12"/>
      <c r="C107" s="12"/>
      <c r="D107" s="17"/>
      <c r="E107" s="17"/>
      <c r="F107" s="12"/>
      <c r="G107" s="17"/>
      <c r="H107" s="12"/>
      <c r="I107" s="12"/>
      <c r="J107" s="12"/>
      <c r="K107" s="12"/>
      <c r="L107" s="12"/>
      <c r="M107" s="12"/>
      <c r="N107" s="12"/>
      <c r="O107" s="12"/>
    </row>
    <row r="108" ht="13.5" customHeight="1">
      <c r="A108" s="17"/>
      <c r="B108" s="12"/>
      <c r="C108" s="12"/>
      <c r="D108" s="17"/>
      <c r="E108" s="17"/>
      <c r="F108" s="12"/>
      <c r="G108" s="17"/>
      <c r="H108" s="12"/>
      <c r="I108" s="12"/>
      <c r="J108" s="12"/>
      <c r="K108" s="12"/>
      <c r="L108" s="12"/>
      <c r="M108" s="12"/>
      <c r="N108" s="12"/>
      <c r="O108" s="12"/>
    </row>
    <row r="109" ht="13.5" customHeight="1">
      <c r="A109" s="17"/>
      <c r="B109" s="12"/>
      <c r="C109" s="12"/>
      <c r="D109" s="17"/>
      <c r="E109" s="17"/>
      <c r="F109" s="12"/>
      <c r="G109" s="17"/>
      <c r="H109" s="12"/>
      <c r="I109" s="12"/>
      <c r="J109" s="12"/>
      <c r="K109" s="12"/>
      <c r="L109" s="12"/>
      <c r="M109" s="12"/>
      <c r="N109" s="12"/>
      <c r="O109" s="12"/>
    </row>
    <row r="110" ht="13.5" customHeight="1">
      <c r="A110" s="17"/>
      <c r="B110" s="12"/>
      <c r="C110" s="12"/>
      <c r="D110" s="17"/>
      <c r="E110" s="17"/>
      <c r="F110" s="12"/>
      <c r="G110" s="17"/>
      <c r="H110" s="12"/>
      <c r="I110" s="12"/>
      <c r="J110" s="12"/>
      <c r="K110" s="12"/>
      <c r="L110" s="12"/>
      <c r="M110" s="12"/>
      <c r="N110" s="12"/>
      <c r="O110" s="12"/>
    </row>
    <row r="111" ht="13.5" customHeight="1">
      <c r="A111" s="17"/>
      <c r="B111" s="12"/>
      <c r="C111" s="12"/>
      <c r="D111" s="17"/>
      <c r="E111" s="17"/>
      <c r="F111" s="12"/>
      <c r="G111" s="17"/>
      <c r="H111" s="12"/>
      <c r="I111" s="12"/>
      <c r="J111" s="12"/>
      <c r="K111" s="12"/>
      <c r="L111" s="12"/>
      <c r="M111" s="12"/>
      <c r="N111" s="12"/>
      <c r="O111" s="12"/>
    </row>
    <row r="112" ht="13.5" customHeight="1">
      <c r="A112" s="17"/>
      <c r="B112" s="12"/>
      <c r="C112" s="12"/>
      <c r="D112" s="17"/>
      <c r="E112" s="17"/>
      <c r="F112" s="12"/>
      <c r="G112" s="17"/>
      <c r="H112" s="12"/>
      <c r="I112" s="12"/>
      <c r="J112" s="12"/>
      <c r="K112" s="12"/>
      <c r="L112" s="12"/>
      <c r="M112" s="12"/>
      <c r="N112" s="12"/>
      <c r="O112" s="12"/>
    </row>
    <row r="113" ht="13.5" customHeight="1">
      <c r="A113" s="17"/>
      <c r="B113" s="12"/>
      <c r="C113" s="12"/>
      <c r="D113" s="17"/>
      <c r="E113" s="17"/>
      <c r="F113" s="12"/>
      <c r="G113" s="17"/>
      <c r="H113" s="12"/>
      <c r="I113" s="12"/>
      <c r="J113" s="12"/>
      <c r="K113" s="12"/>
      <c r="L113" s="12"/>
      <c r="M113" s="12"/>
      <c r="N113" s="12"/>
      <c r="O113" s="12"/>
    </row>
    <row r="114" ht="13.5" customHeight="1">
      <c r="A114" s="17"/>
      <c r="B114" s="12"/>
      <c r="C114" s="12"/>
      <c r="D114" s="17"/>
      <c r="E114" s="17"/>
      <c r="F114" s="12"/>
      <c r="G114" s="17"/>
      <c r="H114" s="12"/>
      <c r="I114" s="12"/>
      <c r="J114" s="12"/>
      <c r="K114" s="12"/>
      <c r="L114" s="12"/>
      <c r="M114" s="12"/>
      <c r="N114" s="12"/>
      <c r="O114" s="12"/>
    </row>
    <row r="115" ht="13.5" customHeight="1">
      <c r="A115" s="17"/>
      <c r="B115" s="12"/>
      <c r="C115" s="12"/>
      <c r="D115" s="17"/>
      <c r="E115" s="17"/>
      <c r="F115" s="12"/>
      <c r="G115" s="17"/>
      <c r="H115" s="12"/>
      <c r="I115" s="12"/>
      <c r="J115" s="12"/>
      <c r="K115" s="12"/>
      <c r="L115" s="12"/>
      <c r="M115" s="12"/>
      <c r="N115" s="12"/>
      <c r="O115" s="12"/>
    </row>
    <row r="116" ht="13.5" customHeight="1">
      <c r="A116" s="17"/>
      <c r="B116" s="12"/>
      <c r="C116" s="12"/>
      <c r="D116" s="17"/>
      <c r="E116" s="17"/>
      <c r="F116" s="12"/>
      <c r="G116" s="17"/>
      <c r="H116" s="12"/>
      <c r="I116" s="12"/>
      <c r="J116" s="12"/>
      <c r="K116" s="12"/>
      <c r="L116" s="12"/>
      <c r="M116" s="12"/>
      <c r="N116" s="12"/>
      <c r="O116" s="12"/>
    </row>
    <row r="117" ht="13.5" customHeight="1">
      <c r="A117" s="17"/>
      <c r="B117" s="12"/>
      <c r="C117" s="12"/>
      <c r="D117" s="17"/>
      <c r="E117" s="17"/>
      <c r="F117" s="12"/>
      <c r="G117" s="17"/>
      <c r="H117" s="12"/>
      <c r="I117" s="12"/>
      <c r="J117" s="12"/>
      <c r="K117" s="12"/>
      <c r="L117" s="12"/>
      <c r="M117" s="12"/>
      <c r="N117" s="12"/>
      <c r="O117" s="12"/>
    </row>
    <row r="118" ht="13.5" customHeight="1">
      <c r="A118" s="17"/>
      <c r="B118" s="12"/>
      <c r="C118" s="12"/>
      <c r="D118" s="17"/>
      <c r="E118" s="17"/>
      <c r="F118" s="12"/>
      <c r="G118" s="17"/>
      <c r="H118" s="12"/>
      <c r="I118" s="12"/>
      <c r="J118" s="12"/>
      <c r="K118" s="12"/>
      <c r="L118" s="12"/>
      <c r="M118" s="12"/>
      <c r="N118" s="12"/>
      <c r="O118" s="12"/>
    </row>
    <row r="119" ht="13.5" customHeight="1">
      <c r="A119" s="17"/>
      <c r="B119" s="12"/>
      <c r="C119" s="12"/>
      <c r="D119" s="17"/>
      <c r="E119" s="17"/>
      <c r="F119" s="12"/>
      <c r="G119" s="17"/>
      <c r="H119" s="12"/>
      <c r="I119" s="12"/>
      <c r="J119" s="12"/>
      <c r="K119" s="12"/>
      <c r="L119" s="12"/>
      <c r="M119" s="12"/>
      <c r="N119" s="12"/>
      <c r="O119" s="12"/>
    </row>
    <row r="120" ht="13.5" customHeight="1">
      <c r="A120" s="17"/>
      <c r="B120" s="12"/>
      <c r="C120" s="12"/>
      <c r="D120" s="17"/>
      <c r="E120" s="17"/>
      <c r="F120" s="12"/>
      <c r="G120" s="17"/>
      <c r="H120" s="12"/>
      <c r="I120" s="12"/>
      <c r="J120" s="12"/>
      <c r="K120" s="12"/>
      <c r="L120" s="12"/>
      <c r="M120" s="12"/>
      <c r="N120" s="12"/>
      <c r="O120" s="12"/>
    </row>
    <row r="121" ht="13.5" customHeight="1">
      <c r="A121" s="17"/>
      <c r="B121" s="12"/>
      <c r="C121" s="12"/>
      <c r="D121" s="17"/>
      <c r="E121" s="17"/>
      <c r="F121" s="12"/>
      <c r="G121" s="17"/>
      <c r="H121" s="12"/>
      <c r="I121" s="12"/>
      <c r="J121" s="12"/>
      <c r="K121" s="12"/>
      <c r="L121" s="12"/>
      <c r="M121" s="12"/>
      <c r="N121" s="12"/>
      <c r="O121" s="12"/>
    </row>
    <row r="122" ht="13.5" customHeight="1">
      <c r="A122" s="17"/>
      <c r="B122" s="12"/>
      <c r="C122" s="12"/>
      <c r="D122" s="17"/>
      <c r="E122" s="17"/>
      <c r="F122" s="12"/>
      <c r="G122" s="17"/>
      <c r="H122" s="12"/>
      <c r="I122" s="12"/>
      <c r="J122" s="12"/>
      <c r="K122" s="12"/>
      <c r="L122" s="12"/>
      <c r="M122" s="12"/>
      <c r="N122" s="12"/>
      <c r="O122" s="12"/>
    </row>
    <row r="123" ht="13.5" customHeight="1">
      <c r="A123" s="17"/>
      <c r="B123" s="12"/>
      <c r="C123" s="12"/>
      <c r="D123" s="17"/>
      <c r="E123" s="17"/>
      <c r="F123" s="12"/>
      <c r="G123" s="17"/>
      <c r="H123" s="12"/>
      <c r="I123" s="12"/>
      <c r="J123" s="12"/>
      <c r="K123" s="12"/>
      <c r="L123" s="12"/>
      <c r="M123" s="12"/>
      <c r="N123" s="12"/>
      <c r="O123" s="12"/>
    </row>
    <row r="124" ht="13.5" customHeight="1">
      <c r="A124" s="17"/>
      <c r="B124" s="12"/>
      <c r="C124" s="12"/>
      <c r="D124" s="17"/>
      <c r="E124" s="17"/>
      <c r="F124" s="12"/>
      <c r="G124" s="17"/>
      <c r="H124" s="12"/>
      <c r="I124" s="12"/>
      <c r="J124" s="12"/>
      <c r="K124" s="12"/>
      <c r="L124" s="12"/>
      <c r="M124" s="12"/>
      <c r="N124" s="12"/>
      <c r="O124" s="12"/>
    </row>
    <row r="125" ht="13.5" customHeight="1">
      <c r="A125" s="17"/>
      <c r="B125" s="12"/>
      <c r="C125" s="12"/>
      <c r="D125" s="17"/>
      <c r="E125" s="17"/>
      <c r="F125" s="12"/>
      <c r="G125" s="17"/>
      <c r="H125" s="12"/>
      <c r="I125" s="12"/>
      <c r="J125" s="12"/>
      <c r="K125" s="12"/>
      <c r="L125" s="12"/>
      <c r="M125" s="12"/>
      <c r="N125" s="12"/>
      <c r="O125" s="12"/>
    </row>
    <row r="126" ht="13.5" customHeight="1">
      <c r="A126" s="17"/>
      <c r="B126" s="12"/>
      <c r="C126" s="12"/>
      <c r="D126" s="17"/>
      <c r="E126" s="17"/>
      <c r="F126" s="12"/>
      <c r="G126" s="17"/>
      <c r="H126" s="12"/>
      <c r="I126" s="12"/>
      <c r="J126" s="12"/>
      <c r="K126" s="12"/>
      <c r="L126" s="12"/>
      <c r="M126" s="12"/>
      <c r="N126" s="12"/>
      <c r="O126" s="12"/>
    </row>
    <row r="127" ht="13.5" customHeight="1">
      <c r="A127" s="17"/>
      <c r="B127" s="12"/>
      <c r="C127" s="12"/>
      <c r="D127" s="17"/>
      <c r="E127" s="17"/>
      <c r="F127" s="12"/>
      <c r="G127" s="17"/>
      <c r="H127" s="12"/>
      <c r="I127" s="12"/>
      <c r="J127" s="12"/>
      <c r="K127" s="12"/>
      <c r="L127" s="12"/>
      <c r="M127" s="12"/>
      <c r="N127" s="12"/>
      <c r="O127" s="12"/>
    </row>
    <row r="128" ht="13.5" customHeight="1">
      <c r="A128" s="17"/>
      <c r="B128" s="12"/>
      <c r="C128" s="12"/>
      <c r="D128" s="17"/>
      <c r="E128" s="17"/>
      <c r="F128" s="12"/>
      <c r="G128" s="17"/>
      <c r="H128" s="12"/>
      <c r="I128" s="12"/>
      <c r="J128" s="12"/>
      <c r="K128" s="12"/>
      <c r="L128" s="12"/>
      <c r="M128" s="12"/>
      <c r="N128" s="12"/>
      <c r="O128" s="12"/>
    </row>
    <row r="129" ht="13.5" customHeight="1">
      <c r="A129" s="17"/>
      <c r="B129" s="12"/>
      <c r="C129" s="12"/>
      <c r="D129" s="17"/>
      <c r="E129" s="17"/>
      <c r="F129" s="12"/>
      <c r="G129" s="17"/>
      <c r="H129" s="12"/>
      <c r="I129" s="12"/>
      <c r="J129" s="12"/>
      <c r="K129" s="12"/>
      <c r="L129" s="12"/>
      <c r="M129" s="12"/>
      <c r="N129" s="12"/>
      <c r="O129" s="12"/>
    </row>
    <row r="130" ht="13.5" customHeight="1">
      <c r="A130" s="17"/>
      <c r="B130" s="12"/>
      <c r="C130" s="12"/>
      <c r="D130" s="17"/>
      <c r="E130" s="17"/>
      <c r="F130" s="12"/>
      <c r="G130" s="17"/>
      <c r="H130" s="12"/>
      <c r="I130" s="12"/>
      <c r="J130" s="12"/>
      <c r="K130" s="12"/>
      <c r="L130" s="12"/>
      <c r="M130" s="12"/>
      <c r="N130" s="12"/>
      <c r="O130" s="12"/>
    </row>
    <row r="131" ht="13.5" customHeight="1">
      <c r="A131" s="17"/>
      <c r="B131" s="12"/>
      <c r="C131" s="12"/>
      <c r="D131" s="17"/>
      <c r="E131" s="17"/>
      <c r="F131" s="12"/>
      <c r="G131" s="17"/>
      <c r="H131" s="12"/>
      <c r="I131" s="12"/>
      <c r="J131" s="12"/>
      <c r="K131" s="12"/>
      <c r="L131" s="12"/>
      <c r="M131" s="12"/>
      <c r="N131" s="12"/>
      <c r="O131" s="12"/>
    </row>
    <row r="132" ht="13.5" customHeight="1">
      <c r="A132" s="17"/>
      <c r="B132" s="12"/>
      <c r="C132" s="12"/>
      <c r="D132" s="17"/>
      <c r="E132" s="17"/>
      <c r="F132" s="12"/>
      <c r="G132" s="17"/>
      <c r="H132" s="12"/>
      <c r="I132" s="12"/>
      <c r="J132" s="12"/>
      <c r="K132" s="12"/>
      <c r="L132" s="12"/>
      <c r="M132" s="12"/>
      <c r="N132" s="12"/>
      <c r="O132" s="12"/>
    </row>
    <row r="133" ht="13.5" customHeight="1">
      <c r="A133" s="17"/>
      <c r="B133" s="12"/>
      <c r="C133" s="12"/>
      <c r="D133" s="17"/>
      <c r="E133" s="17"/>
      <c r="F133" s="12"/>
      <c r="G133" s="17"/>
      <c r="H133" s="12"/>
      <c r="I133" s="12"/>
      <c r="J133" s="12"/>
      <c r="K133" s="12"/>
      <c r="L133" s="12"/>
      <c r="M133" s="12"/>
      <c r="N133" s="12"/>
      <c r="O133" s="12"/>
    </row>
    <row r="134" ht="13.5" customHeight="1">
      <c r="A134" s="17"/>
      <c r="B134" s="12"/>
      <c r="C134" s="12"/>
      <c r="D134" s="17"/>
      <c r="E134" s="17"/>
      <c r="F134" s="12"/>
      <c r="G134" s="17"/>
      <c r="H134" s="12"/>
      <c r="I134" s="12"/>
      <c r="J134" s="12"/>
      <c r="K134" s="12"/>
      <c r="L134" s="12"/>
      <c r="M134" s="12"/>
      <c r="N134" s="12"/>
      <c r="O134" s="12"/>
    </row>
    <row r="135" ht="13.5" customHeight="1">
      <c r="A135" s="17"/>
      <c r="B135" s="12"/>
      <c r="C135" s="12"/>
      <c r="D135" s="17"/>
      <c r="E135" s="17"/>
      <c r="F135" s="12"/>
      <c r="G135" s="17"/>
      <c r="H135" s="12"/>
      <c r="I135" s="12"/>
      <c r="J135" s="12"/>
      <c r="K135" s="12"/>
      <c r="L135" s="12"/>
      <c r="M135" s="12"/>
      <c r="N135" s="12"/>
      <c r="O135" s="12"/>
    </row>
    <row r="136" ht="13.5" customHeight="1">
      <c r="A136" s="17"/>
      <c r="B136" s="12"/>
      <c r="C136" s="12"/>
      <c r="D136" s="17"/>
      <c r="E136" s="17"/>
      <c r="F136" s="12"/>
      <c r="G136" s="17"/>
      <c r="H136" s="12"/>
      <c r="I136" s="12"/>
      <c r="J136" s="12"/>
      <c r="K136" s="12"/>
      <c r="L136" s="12"/>
      <c r="M136" s="12"/>
      <c r="N136" s="12"/>
      <c r="O136" s="12"/>
    </row>
    <row r="137" ht="13.5" customHeight="1">
      <c r="A137" s="17"/>
      <c r="B137" s="12"/>
      <c r="C137" s="12"/>
      <c r="D137" s="17"/>
      <c r="E137" s="17"/>
      <c r="F137" s="12"/>
      <c r="G137" s="17"/>
      <c r="H137" s="12"/>
      <c r="I137" s="12"/>
      <c r="J137" s="12"/>
      <c r="K137" s="12"/>
      <c r="L137" s="12"/>
      <c r="M137" s="12"/>
      <c r="N137" s="12"/>
      <c r="O137" s="12"/>
    </row>
    <row r="138" ht="13.5" customHeight="1">
      <c r="A138" s="17"/>
      <c r="B138" s="12"/>
      <c r="C138" s="12"/>
      <c r="D138" s="17"/>
      <c r="E138" s="17"/>
      <c r="F138" s="12"/>
      <c r="G138" s="17"/>
      <c r="H138" s="12"/>
      <c r="I138" s="12"/>
      <c r="J138" s="12"/>
      <c r="K138" s="12"/>
      <c r="L138" s="12"/>
      <c r="M138" s="12"/>
      <c r="N138" s="12"/>
      <c r="O138" s="12"/>
    </row>
    <row r="139" ht="13.5" customHeight="1">
      <c r="A139" s="17"/>
      <c r="B139" s="12"/>
      <c r="C139" s="12"/>
      <c r="D139" s="17"/>
      <c r="E139" s="17"/>
      <c r="F139" s="12"/>
      <c r="G139" s="17"/>
      <c r="H139" s="12"/>
      <c r="I139" s="12"/>
      <c r="J139" s="12"/>
      <c r="K139" s="12"/>
      <c r="L139" s="12"/>
      <c r="M139" s="12"/>
      <c r="N139" s="12"/>
      <c r="O139" s="12"/>
    </row>
    <row r="140" ht="13.5" customHeight="1">
      <c r="A140" s="17"/>
      <c r="B140" s="12"/>
      <c r="C140" s="12"/>
      <c r="D140" s="17"/>
      <c r="E140" s="17"/>
      <c r="F140" s="12"/>
      <c r="G140" s="17"/>
      <c r="H140" s="12"/>
      <c r="I140" s="12"/>
      <c r="J140" s="12"/>
      <c r="K140" s="12"/>
      <c r="L140" s="12"/>
      <c r="M140" s="12"/>
      <c r="N140" s="12"/>
      <c r="O140" s="12"/>
    </row>
    <row r="141" ht="13.5" customHeight="1">
      <c r="A141" s="17"/>
      <c r="B141" s="12"/>
      <c r="C141" s="12"/>
      <c r="D141" s="17"/>
      <c r="E141" s="17"/>
      <c r="F141" s="12"/>
      <c r="G141" s="17"/>
      <c r="H141" s="12"/>
      <c r="I141" s="12"/>
      <c r="J141" s="12"/>
      <c r="K141" s="12"/>
      <c r="L141" s="12"/>
      <c r="M141" s="12"/>
      <c r="N141" s="12"/>
      <c r="O141" s="12"/>
    </row>
    <row r="142" ht="13.5" customHeight="1">
      <c r="A142" s="17"/>
      <c r="B142" s="12"/>
      <c r="C142" s="12"/>
      <c r="D142" s="17"/>
      <c r="E142" s="17"/>
      <c r="F142" s="12"/>
      <c r="G142" s="17"/>
      <c r="H142" s="12"/>
      <c r="I142" s="12"/>
      <c r="J142" s="12"/>
      <c r="K142" s="12"/>
      <c r="L142" s="12"/>
      <c r="M142" s="12"/>
      <c r="N142" s="12"/>
      <c r="O142" s="12"/>
    </row>
    <row r="143" ht="13.5" customHeight="1">
      <c r="A143" s="17"/>
      <c r="B143" s="12"/>
      <c r="C143" s="12"/>
      <c r="D143" s="17"/>
      <c r="E143" s="17"/>
      <c r="F143" s="12"/>
      <c r="G143" s="17"/>
      <c r="H143" s="12"/>
      <c r="I143" s="12"/>
      <c r="J143" s="12"/>
      <c r="K143" s="12"/>
      <c r="L143" s="12"/>
      <c r="M143" s="12"/>
      <c r="N143" s="12"/>
      <c r="O143" s="12"/>
    </row>
    <row r="144" ht="13.5" customHeight="1">
      <c r="A144" s="17"/>
      <c r="B144" s="12"/>
      <c r="C144" s="12"/>
      <c r="D144" s="17"/>
      <c r="E144" s="17"/>
      <c r="F144" s="12"/>
      <c r="G144" s="17"/>
      <c r="H144" s="12"/>
      <c r="I144" s="12"/>
      <c r="J144" s="12"/>
      <c r="K144" s="12"/>
      <c r="L144" s="12"/>
      <c r="M144" s="12"/>
      <c r="N144" s="12"/>
      <c r="O144" s="12"/>
    </row>
    <row r="145" ht="13.5" customHeight="1">
      <c r="A145" s="17"/>
      <c r="B145" s="12"/>
      <c r="C145" s="12"/>
      <c r="D145" s="17"/>
      <c r="E145" s="17"/>
      <c r="F145" s="12"/>
      <c r="G145" s="17"/>
      <c r="H145" s="12"/>
      <c r="I145" s="12"/>
      <c r="J145" s="12"/>
      <c r="K145" s="12"/>
      <c r="L145" s="12"/>
      <c r="M145" s="12"/>
      <c r="N145" s="12"/>
      <c r="O145" s="12"/>
    </row>
    <row r="146" ht="13.5" customHeight="1">
      <c r="A146" s="17"/>
      <c r="B146" s="12"/>
      <c r="C146" s="12"/>
      <c r="D146" s="17"/>
      <c r="E146" s="17"/>
      <c r="F146" s="12"/>
      <c r="G146" s="17"/>
      <c r="H146" s="12"/>
      <c r="I146" s="12"/>
      <c r="J146" s="12"/>
      <c r="K146" s="12"/>
      <c r="L146" s="12"/>
      <c r="M146" s="12"/>
      <c r="N146" s="12"/>
      <c r="O146" s="12"/>
    </row>
    <row r="147" ht="13.5" customHeight="1">
      <c r="A147" s="17"/>
      <c r="B147" s="12"/>
      <c r="C147" s="12"/>
      <c r="D147" s="17"/>
      <c r="E147" s="17"/>
      <c r="F147" s="12"/>
      <c r="G147" s="17"/>
      <c r="H147" s="12"/>
      <c r="I147" s="12"/>
      <c r="J147" s="12"/>
      <c r="K147" s="12"/>
      <c r="L147" s="12"/>
      <c r="M147" s="12"/>
      <c r="N147" s="12"/>
      <c r="O147" s="12"/>
    </row>
    <row r="148" ht="13.5" customHeight="1">
      <c r="A148" s="17"/>
      <c r="B148" s="12"/>
      <c r="C148" s="12"/>
      <c r="D148" s="17"/>
      <c r="E148" s="17"/>
      <c r="F148" s="12"/>
      <c r="G148" s="17"/>
      <c r="H148" s="12"/>
      <c r="I148" s="12"/>
      <c r="J148" s="12"/>
      <c r="K148" s="12"/>
      <c r="L148" s="12"/>
      <c r="M148" s="12"/>
      <c r="N148" s="12"/>
      <c r="O148" s="12"/>
    </row>
    <row r="149" ht="13.5" customHeight="1">
      <c r="A149" s="17"/>
      <c r="B149" s="12"/>
      <c r="C149" s="12"/>
      <c r="D149" s="17"/>
      <c r="E149" s="17"/>
      <c r="F149" s="12"/>
      <c r="G149" s="17"/>
      <c r="H149" s="12"/>
      <c r="I149" s="12"/>
      <c r="J149" s="12"/>
      <c r="K149" s="12"/>
      <c r="L149" s="12"/>
      <c r="M149" s="12"/>
      <c r="N149" s="12"/>
      <c r="O149" s="12"/>
    </row>
    <row r="150" ht="13.5" customHeight="1">
      <c r="A150" s="17"/>
      <c r="B150" s="12"/>
      <c r="C150" s="12"/>
      <c r="D150" s="17"/>
      <c r="E150" s="17"/>
      <c r="F150" s="12"/>
      <c r="G150" s="17"/>
      <c r="H150" s="12"/>
      <c r="I150" s="12"/>
      <c r="J150" s="12"/>
      <c r="K150" s="12"/>
      <c r="L150" s="12"/>
      <c r="M150" s="12"/>
      <c r="N150" s="12"/>
      <c r="O150" s="12"/>
    </row>
    <row r="151" ht="13.5" customHeight="1">
      <c r="A151" s="17"/>
      <c r="B151" s="12"/>
      <c r="C151" s="12"/>
      <c r="D151" s="17"/>
      <c r="E151" s="17"/>
      <c r="F151" s="12"/>
      <c r="G151" s="17"/>
      <c r="H151" s="12"/>
      <c r="I151" s="12"/>
      <c r="J151" s="12"/>
      <c r="K151" s="12"/>
      <c r="L151" s="12"/>
      <c r="M151" s="12"/>
      <c r="N151" s="12"/>
      <c r="O151" s="12"/>
    </row>
    <row r="152" ht="13.5" customHeight="1">
      <c r="A152" s="17"/>
      <c r="B152" s="12"/>
      <c r="C152" s="12"/>
      <c r="D152" s="17"/>
      <c r="E152" s="17"/>
      <c r="F152" s="12"/>
      <c r="G152" s="17"/>
      <c r="H152" s="12"/>
      <c r="I152" s="12"/>
      <c r="J152" s="12"/>
      <c r="K152" s="12"/>
      <c r="L152" s="12"/>
      <c r="M152" s="12"/>
      <c r="N152" s="12"/>
      <c r="O152" s="12"/>
    </row>
    <row r="153" ht="13.5" customHeight="1">
      <c r="A153" s="17"/>
      <c r="B153" s="12"/>
      <c r="C153" s="12"/>
      <c r="D153" s="17"/>
      <c r="E153" s="17"/>
      <c r="F153" s="12"/>
      <c r="G153" s="17"/>
      <c r="H153" s="12"/>
      <c r="I153" s="12"/>
      <c r="J153" s="12"/>
      <c r="K153" s="12"/>
      <c r="L153" s="12"/>
      <c r="M153" s="12"/>
      <c r="N153" s="12"/>
      <c r="O153" s="12"/>
    </row>
    <row r="154" ht="13.5" customHeight="1">
      <c r="A154" s="17"/>
      <c r="B154" s="12"/>
      <c r="C154" s="12"/>
      <c r="D154" s="17"/>
      <c r="E154" s="17"/>
      <c r="F154" s="12"/>
      <c r="G154" s="17"/>
      <c r="H154" s="12"/>
      <c r="I154" s="12"/>
      <c r="J154" s="12"/>
      <c r="K154" s="12"/>
      <c r="L154" s="12"/>
      <c r="M154" s="12"/>
      <c r="N154" s="12"/>
      <c r="O154" s="12"/>
    </row>
    <row r="155" ht="13.5" customHeight="1">
      <c r="A155" s="17"/>
      <c r="B155" s="12"/>
      <c r="C155" s="12"/>
      <c r="D155" s="17"/>
      <c r="E155" s="17"/>
      <c r="F155" s="12"/>
      <c r="G155" s="17"/>
      <c r="H155" s="12"/>
      <c r="I155" s="12"/>
      <c r="J155" s="12"/>
      <c r="K155" s="12"/>
      <c r="L155" s="12"/>
      <c r="M155" s="12"/>
      <c r="N155" s="12"/>
      <c r="O155" s="12"/>
    </row>
    <row r="156" ht="13.5" customHeight="1">
      <c r="A156" s="17"/>
      <c r="B156" s="12"/>
      <c r="C156" s="12"/>
      <c r="D156" s="17"/>
      <c r="E156" s="17"/>
      <c r="F156" s="12"/>
      <c r="G156" s="17"/>
      <c r="H156" s="12"/>
      <c r="I156" s="12"/>
      <c r="J156" s="12"/>
      <c r="K156" s="12"/>
      <c r="L156" s="12"/>
      <c r="M156" s="12"/>
      <c r="N156" s="12"/>
      <c r="O156" s="12"/>
    </row>
    <row r="157" ht="13.5" customHeight="1">
      <c r="A157" s="17"/>
      <c r="B157" s="12"/>
      <c r="C157" s="12"/>
      <c r="D157" s="17"/>
      <c r="E157" s="17"/>
      <c r="F157" s="12"/>
      <c r="G157" s="17"/>
      <c r="H157" s="12"/>
      <c r="I157" s="12"/>
      <c r="J157" s="12"/>
      <c r="K157" s="12"/>
      <c r="L157" s="12"/>
      <c r="M157" s="12"/>
      <c r="N157" s="12"/>
      <c r="O157" s="12"/>
    </row>
    <row r="158" ht="13.5" customHeight="1">
      <c r="A158" s="17"/>
      <c r="B158" s="12"/>
      <c r="C158" s="12"/>
      <c r="D158" s="17"/>
      <c r="E158" s="17"/>
      <c r="F158" s="12"/>
      <c r="G158" s="17"/>
      <c r="H158" s="12"/>
      <c r="I158" s="12"/>
      <c r="J158" s="12"/>
      <c r="K158" s="12"/>
      <c r="L158" s="12"/>
      <c r="M158" s="12"/>
      <c r="N158" s="12"/>
      <c r="O158" s="12"/>
    </row>
    <row r="159" ht="13.5" customHeight="1">
      <c r="A159" s="17"/>
      <c r="B159" s="12"/>
      <c r="C159" s="12"/>
      <c r="D159" s="17"/>
      <c r="E159" s="17"/>
      <c r="F159" s="12"/>
      <c r="G159" s="17"/>
      <c r="H159" s="12"/>
      <c r="I159" s="12"/>
      <c r="J159" s="12"/>
      <c r="K159" s="12"/>
      <c r="L159" s="12"/>
      <c r="M159" s="12"/>
      <c r="N159" s="12"/>
      <c r="O159" s="12"/>
    </row>
    <row r="160" ht="13.5" customHeight="1">
      <c r="A160" s="17"/>
      <c r="B160" s="12"/>
      <c r="C160" s="12"/>
      <c r="D160" s="17"/>
      <c r="E160" s="17"/>
      <c r="F160" s="12"/>
      <c r="G160" s="17"/>
      <c r="H160" s="12"/>
      <c r="I160" s="12"/>
      <c r="J160" s="12"/>
      <c r="K160" s="12"/>
      <c r="L160" s="12"/>
      <c r="M160" s="12"/>
      <c r="N160" s="12"/>
      <c r="O160" s="12"/>
    </row>
    <row r="161" ht="13.5" customHeight="1">
      <c r="A161" s="17"/>
      <c r="B161" s="12"/>
      <c r="C161" s="12"/>
      <c r="D161" s="17"/>
      <c r="E161" s="17"/>
      <c r="F161" s="12"/>
      <c r="G161" s="17"/>
      <c r="H161" s="12"/>
      <c r="I161" s="12"/>
      <c r="J161" s="12"/>
      <c r="K161" s="12"/>
      <c r="L161" s="12"/>
      <c r="M161" s="12"/>
      <c r="N161" s="12"/>
      <c r="O161" s="12"/>
    </row>
    <row r="162" ht="13.5" customHeight="1">
      <c r="A162" s="17"/>
      <c r="B162" s="12"/>
      <c r="C162" s="12"/>
      <c r="D162" s="17"/>
      <c r="E162" s="17"/>
      <c r="F162" s="12"/>
      <c r="G162" s="17"/>
      <c r="H162" s="12"/>
      <c r="I162" s="12"/>
      <c r="J162" s="12"/>
      <c r="K162" s="12"/>
      <c r="L162" s="12"/>
      <c r="M162" s="12"/>
      <c r="N162" s="12"/>
      <c r="O162" s="12"/>
    </row>
    <row r="163" ht="13.5" customHeight="1">
      <c r="A163" s="17"/>
      <c r="B163" s="12"/>
      <c r="C163" s="12"/>
      <c r="D163" s="17"/>
      <c r="E163" s="17"/>
      <c r="F163" s="12"/>
      <c r="G163" s="17"/>
      <c r="H163" s="12"/>
      <c r="I163" s="12"/>
      <c r="J163" s="12"/>
      <c r="K163" s="12"/>
      <c r="L163" s="12"/>
      <c r="M163" s="12"/>
      <c r="N163" s="12"/>
      <c r="O163" s="12"/>
    </row>
    <row r="164" ht="13.5" customHeight="1">
      <c r="A164" s="17"/>
      <c r="B164" s="12"/>
      <c r="C164" s="12"/>
      <c r="D164" s="17"/>
      <c r="E164" s="17"/>
      <c r="F164" s="12"/>
      <c r="G164" s="17"/>
      <c r="H164" s="12"/>
      <c r="I164" s="12"/>
      <c r="J164" s="12"/>
      <c r="K164" s="12"/>
      <c r="L164" s="12"/>
      <c r="M164" s="12"/>
      <c r="N164" s="12"/>
      <c r="O164" s="12"/>
    </row>
    <row r="165" ht="13.5" customHeight="1">
      <c r="A165" s="17"/>
      <c r="B165" s="12"/>
      <c r="C165" s="12"/>
      <c r="D165" s="17"/>
      <c r="E165" s="17"/>
      <c r="F165" s="12"/>
      <c r="G165" s="17"/>
      <c r="H165" s="12"/>
      <c r="I165" s="12"/>
      <c r="J165" s="12"/>
      <c r="K165" s="12"/>
      <c r="L165" s="12"/>
      <c r="M165" s="12"/>
      <c r="N165" s="12"/>
      <c r="O165" s="12"/>
    </row>
    <row r="166" ht="13.5" customHeight="1">
      <c r="A166" s="17"/>
      <c r="B166" s="12"/>
      <c r="C166" s="12"/>
      <c r="D166" s="17"/>
      <c r="E166" s="17"/>
      <c r="F166" s="12"/>
      <c r="G166" s="17"/>
      <c r="H166" s="12"/>
      <c r="I166" s="12"/>
      <c r="J166" s="12"/>
      <c r="K166" s="12"/>
      <c r="L166" s="12"/>
      <c r="M166" s="12"/>
      <c r="N166" s="12"/>
      <c r="O166" s="12"/>
    </row>
    <row r="167" ht="13.5" customHeight="1">
      <c r="A167" s="17"/>
      <c r="B167" s="12"/>
      <c r="C167" s="12"/>
      <c r="D167" s="17"/>
      <c r="E167" s="17"/>
      <c r="F167" s="12"/>
      <c r="G167" s="17"/>
      <c r="H167" s="12"/>
      <c r="I167" s="12"/>
      <c r="J167" s="12"/>
      <c r="K167" s="12"/>
      <c r="L167" s="12"/>
      <c r="M167" s="12"/>
      <c r="N167" s="12"/>
      <c r="O167" s="12"/>
    </row>
    <row r="168" ht="13.5" customHeight="1">
      <c r="A168" s="17"/>
      <c r="B168" s="12"/>
      <c r="C168" s="12"/>
      <c r="D168" s="17"/>
      <c r="E168" s="17"/>
      <c r="F168" s="12"/>
      <c r="G168" s="17"/>
      <c r="H168" s="12"/>
      <c r="I168" s="12"/>
      <c r="J168" s="12"/>
      <c r="K168" s="12"/>
      <c r="L168" s="12"/>
      <c r="M168" s="12"/>
      <c r="N168" s="12"/>
      <c r="O168" s="12"/>
    </row>
    <row r="169" ht="13.5" customHeight="1">
      <c r="A169" s="17"/>
      <c r="B169" s="12"/>
      <c r="C169" s="12"/>
      <c r="D169" s="17"/>
      <c r="E169" s="17"/>
      <c r="F169" s="12"/>
      <c r="G169" s="17"/>
      <c r="H169" s="12"/>
      <c r="I169" s="12"/>
      <c r="J169" s="12"/>
      <c r="K169" s="12"/>
      <c r="L169" s="12"/>
      <c r="M169" s="12"/>
      <c r="N169" s="12"/>
      <c r="O169" s="12"/>
    </row>
    <row r="170" ht="13.5" customHeight="1">
      <c r="A170" s="17"/>
      <c r="B170" s="12"/>
      <c r="C170" s="12"/>
      <c r="D170" s="17"/>
      <c r="E170" s="17"/>
      <c r="F170" s="12"/>
      <c r="G170" s="17"/>
      <c r="H170" s="12"/>
      <c r="I170" s="12"/>
      <c r="J170" s="12"/>
      <c r="K170" s="12"/>
      <c r="L170" s="12"/>
      <c r="M170" s="12"/>
      <c r="N170" s="12"/>
      <c r="O170" s="12"/>
    </row>
    <row r="171" ht="13.5" customHeight="1">
      <c r="A171" s="17"/>
      <c r="B171" s="12"/>
      <c r="C171" s="12"/>
      <c r="D171" s="17"/>
      <c r="E171" s="17"/>
      <c r="F171" s="12"/>
      <c r="G171" s="17"/>
      <c r="H171" s="12"/>
      <c r="I171" s="12"/>
      <c r="J171" s="12"/>
      <c r="K171" s="12"/>
      <c r="L171" s="12"/>
      <c r="M171" s="12"/>
      <c r="N171" s="12"/>
      <c r="O171" s="12"/>
    </row>
    <row r="172" ht="13.5" customHeight="1">
      <c r="A172" s="17"/>
      <c r="B172" s="12"/>
      <c r="C172" s="12"/>
      <c r="D172" s="17"/>
      <c r="E172" s="17"/>
      <c r="F172" s="12"/>
      <c r="G172" s="17"/>
      <c r="H172" s="12"/>
      <c r="I172" s="12"/>
      <c r="J172" s="12"/>
      <c r="K172" s="12"/>
      <c r="L172" s="12"/>
      <c r="M172" s="12"/>
      <c r="N172" s="12"/>
      <c r="O172" s="12"/>
    </row>
    <row r="173" ht="13.5" customHeight="1">
      <c r="A173" s="17"/>
      <c r="B173" s="12"/>
      <c r="C173" s="12"/>
      <c r="D173" s="17"/>
      <c r="E173" s="17"/>
      <c r="F173" s="12"/>
      <c r="G173" s="17"/>
      <c r="H173" s="12"/>
      <c r="I173" s="12"/>
      <c r="J173" s="12"/>
      <c r="K173" s="12"/>
      <c r="L173" s="12"/>
      <c r="M173" s="12"/>
      <c r="N173" s="12"/>
      <c r="O173" s="12"/>
    </row>
    <row r="174" ht="13.5" customHeight="1">
      <c r="A174" s="17"/>
      <c r="B174" s="12"/>
      <c r="C174" s="12"/>
      <c r="D174" s="17"/>
      <c r="E174" s="17"/>
      <c r="F174" s="12"/>
      <c r="G174" s="17"/>
      <c r="H174" s="12"/>
      <c r="I174" s="12"/>
      <c r="J174" s="12"/>
      <c r="K174" s="12"/>
      <c r="L174" s="12"/>
      <c r="M174" s="12"/>
      <c r="N174" s="12"/>
      <c r="O174" s="12"/>
    </row>
    <row r="175" ht="13.5" customHeight="1">
      <c r="A175" s="17"/>
      <c r="B175" s="12"/>
      <c r="C175" s="12"/>
      <c r="D175" s="17"/>
      <c r="E175" s="17"/>
      <c r="F175" s="12"/>
      <c r="G175" s="17"/>
      <c r="H175" s="12"/>
      <c r="I175" s="12"/>
      <c r="J175" s="12"/>
      <c r="K175" s="12"/>
      <c r="L175" s="12"/>
      <c r="M175" s="12"/>
      <c r="N175" s="12"/>
      <c r="O175" s="12"/>
    </row>
    <row r="176" ht="13.5" customHeight="1">
      <c r="A176" s="17"/>
      <c r="B176" s="12"/>
      <c r="C176" s="12"/>
      <c r="D176" s="17"/>
      <c r="E176" s="17"/>
      <c r="F176" s="12"/>
      <c r="G176" s="17"/>
      <c r="H176" s="12"/>
      <c r="I176" s="12"/>
      <c r="J176" s="12"/>
      <c r="K176" s="12"/>
      <c r="L176" s="12"/>
      <c r="M176" s="12"/>
      <c r="N176" s="12"/>
      <c r="O176" s="12"/>
    </row>
    <row r="177" ht="13.5" customHeight="1">
      <c r="A177" s="17"/>
      <c r="B177" s="12"/>
      <c r="C177" s="12"/>
      <c r="D177" s="17"/>
      <c r="E177" s="17"/>
      <c r="F177" s="12"/>
      <c r="G177" s="17"/>
      <c r="H177" s="12"/>
      <c r="I177" s="12"/>
      <c r="J177" s="12"/>
      <c r="K177" s="12"/>
      <c r="L177" s="12"/>
      <c r="M177" s="12"/>
      <c r="N177" s="12"/>
      <c r="O177" s="12"/>
    </row>
    <row r="178" ht="13.5" customHeight="1">
      <c r="A178" s="17"/>
      <c r="B178" s="12"/>
      <c r="C178" s="12"/>
      <c r="D178" s="17"/>
      <c r="E178" s="17"/>
      <c r="F178" s="12"/>
      <c r="G178" s="17"/>
      <c r="H178" s="12"/>
      <c r="I178" s="12"/>
      <c r="J178" s="12"/>
      <c r="K178" s="12"/>
      <c r="L178" s="12"/>
      <c r="M178" s="12"/>
      <c r="N178" s="12"/>
      <c r="O178" s="12"/>
    </row>
    <row r="179" ht="13.5" customHeight="1">
      <c r="A179" s="17"/>
      <c r="B179" s="12"/>
      <c r="C179" s="12"/>
      <c r="D179" s="17"/>
      <c r="E179" s="17"/>
      <c r="F179" s="12"/>
      <c r="G179" s="17"/>
      <c r="H179" s="12"/>
      <c r="I179" s="12"/>
      <c r="J179" s="12"/>
      <c r="K179" s="12"/>
      <c r="L179" s="12"/>
      <c r="M179" s="12"/>
      <c r="N179" s="12"/>
      <c r="O179" s="12"/>
    </row>
    <row r="180" ht="13.5" customHeight="1">
      <c r="A180" s="17"/>
      <c r="B180" s="12"/>
      <c r="C180" s="12"/>
      <c r="D180" s="17"/>
      <c r="E180" s="17"/>
      <c r="F180" s="12"/>
      <c r="G180" s="17"/>
      <c r="H180" s="12"/>
      <c r="I180" s="12"/>
      <c r="J180" s="12"/>
      <c r="K180" s="12"/>
      <c r="L180" s="12"/>
      <c r="M180" s="12"/>
      <c r="N180" s="12"/>
      <c r="O180" s="12"/>
    </row>
    <row r="181" ht="13.5" customHeight="1">
      <c r="A181" s="17"/>
      <c r="B181" s="12"/>
      <c r="C181" s="12"/>
      <c r="D181" s="17"/>
      <c r="E181" s="17"/>
      <c r="F181" s="12"/>
      <c r="G181" s="17"/>
      <c r="H181" s="12"/>
      <c r="I181" s="12"/>
      <c r="J181" s="12"/>
      <c r="K181" s="12"/>
      <c r="L181" s="12"/>
      <c r="M181" s="12"/>
      <c r="N181" s="12"/>
      <c r="O181" s="12"/>
    </row>
    <row r="182" ht="13.5" customHeight="1">
      <c r="A182" s="17"/>
      <c r="B182" s="12"/>
      <c r="C182" s="12"/>
      <c r="D182" s="17"/>
      <c r="E182" s="17"/>
      <c r="F182" s="12"/>
      <c r="G182" s="17"/>
      <c r="H182" s="12"/>
      <c r="I182" s="12"/>
      <c r="J182" s="12"/>
      <c r="K182" s="12"/>
      <c r="L182" s="12"/>
      <c r="M182" s="12"/>
      <c r="N182" s="12"/>
      <c r="O182" s="12"/>
    </row>
    <row r="183" ht="13.5" customHeight="1">
      <c r="A183" s="17"/>
      <c r="B183" s="12"/>
      <c r="C183" s="12"/>
      <c r="D183" s="17"/>
      <c r="E183" s="17"/>
      <c r="F183" s="12"/>
      <c r="G183" s="17"/>
      <c r="H183" s="12"/>
      <c r="I183" s="12"/>
      <c r="J183" s="12"/>
      <c r="K183" s="12"/>
      <c r="L183" s="12"/>
      <c r="M183" s="12"/>
      <c r="N183" s="12"/>
      <c r="O183" s="12"/>
    </row>
    <row r="184" ht="13.5" customHeight="1">
      <c r="A184" s="17"/>
      <c r="B184" s="12"/>
      <c r="C184" s="12"/>
      <c r="D184" s="17"/>
      <c r="E184" s="17"/>
      <c r="F184" s="12"/>
      <c r="G184" s="17"/>
      <c r="H184" s="12"/>
      <c r="I184" s="12"/>
      <c r="J184" s="12"/>
      <c r="K184" s="12"/>
      <c r="L184" s="12"/>
      <c r="M184" s="12"/>
      <c r="N184" s="12"/>
      <c r="O184" s="12"/>
    </row>
    <row r="185" ht="13.5" customHeight="1">
      <c r="A185" s="17"/>
      <c r="B185" s="12"/>
      <c r="C185" s="12"/>
      <c r="D185" s="17"/>
      <c r="E185" s="17"/>
      <c r="F185" s="12"/>
      <c r="G185" s="17"/>
      <c r="H185" s="12"/>
      <c r="I185" s="12"/>
      <c r="J185" s="12"/>
      <c r="K185" s="12"/>
      <c r="L185" s="12"/>
      <c r="M185" s="12"/>
      <c r="N185" s="12"/>
      <c r="O185" s="12"/>
    </row>
    <row r="186" ht="13.5" customHeight="1">
      <c r="A186" s="17"/>
      <c r="B186" s="12"/>
      <c r="C186" s="12"/>
      <c r="D186" s="17"/>
      <c r="E186" s="17"/>
      <c r="F186" s="12"/>
      <c r="G186" s="17"/>
      <c r="H186" s="12"/>
      <c r="I186" s="12"/>
      <c r="J186" s="12"/>
      <c r="K186" s="12"/>
      <c r="L186" s="12"/>
      <c r="M186" s="12"/>
      <c r="N186" s="12"/>
      <c r="O186" s="12"/>
    </row>
    <row r="187" ht="13.5" customHeight="1">
      <c r="A187" s="17"/>
      <c r="B187" s="12"/>
      <c r="C187" s="12"/>
      <c r="D187" s="17"/>
      <c r="E187" s="17"/>
      <c r="F187" s="12"/>
      <c r="G187" s="17"/>
      <c r="H187" s="12"/>
      <c r="I187" s="12"/>
      <c r="J187" s="12"/>
      <c r="K187" s="12"/>
      <c r="L187" s="12"/>
      <c r="M187" s="12"/>
      <c r="N187" s="12"/>
      <c r="O187" s="12"/>
    </row>
    <row r="188" ht="13.5" customHeight="1">
      <c r="A188" s="17"/>
      <c r="B188" s="12"/>
      <c r="C188" s="12"/>
      <c r="D188" s="17"/>
      <c r="E188" s="17"/>
      <c r="F188" s="12"/>
      <c r="G188" s="17"/>
      <c r="H188" s="12"/>
      <c r="I188" s="12"/>
      <c r="J188" s="12"/>
      <c r="K188" s="12"/>
      <c r="L188" s="12"/>
      <c r="M188" s="12"/>
      <c r="N188" s="12"/>
      <c r="O188" s="12"/>
    </row>
    <row r="189" ht="13.5" customHeight="1">
      <c r="A189" s="17"/>
      <c r="B189" s="12"/>
      <c r="C189" s="12"/>
      <c r="D189" s="17"/>
      <c r="E189" s="17"/>
      <c r="F189" s="12"/>
      <c r="G189" s="17"/>
      <c r="H189" s="12"/>
      <c r="I189" s="12"/>
      <c r="J189" s="12"/>
      <c r="K189" s="12"/>
      <c r="L189" s="12"/>
      <c r="M189" s="12"/>
      <c r="N189" s="12"/>
      <c r="O189" s="12"/>
    </row>
    <row r="190" ht="13.5" customHeight="1">
      <c r="A190" s="17"/>
      <c r="B190" s="12"/>
      <c r="C190" s="12"/>
      <c r="D190" s="17"/>
      <c r="E190" s="17"/>
      <c r="F190" s="12"/>
      <c r="G190" s="17"/>
      <c r="H190" s="12"/>
      <c r="I190" s="12"/>
      <c r="J190" s="12"/>
      <c r="K190" s="12"/>
      <c r="L190" s="12"/>
      <c r="M190" s="12"/>
      <c r="N190" s="12"/>
      <c r="O190" s="12"/>
    </row>
    <row r="191" ht="13.5" customHeight="1">
      <c r="A191" s="17"/>
      <c r="B191" s="12"/>
      <c r="C191" s="12"/>
      <c r="D191" s="17"/>
      <c r="E191" s="17"/>
      <c r="F191" s="12"/>
      <c r="G191" s="17"/>
      <c r="H191" s="12"/>
      <c r="I191" s="12"/>
      <c r="J191" s="12"/>
      <c r="K191" s="12"/>
      <c r="L191" s="12"/>
      <c r="M191" s="12"/>
      <c r="N191" s="12"/>
      <c r="O191" s="12"/>
    </row>
    <row r="192" ht="13.5" customHeight="1">
      <c r="A192" s="17"/>
      <c r="B192" s="12"/>
      <c r="C192" s="12"/>
      <c r="D192" s="17"/>
      <c r="E192" s="17"/>
      <c r="F192" s="12"/>
      <c r="G192" s="17"/>
      <c r="H192" s="12"/>
      <c r="I192" s="12"/>
      <c r="J192" s="12"/>
      <c r="K192" s="12"/>
      <c r="L192" s="12"/>
      <c r="M192" s="12"/>
      <c r="N192" s="12"/>
      <c r="O192" s="12"/>
    </row>
    <row r="193" ht="13.5" customHeight="1">
      <c r="A193" s="17"/>
      <c r="B193" s="12"/>
      <c r="C193" s="12"/>
      <c r="D193" s="17"/>
      <c r="E193" s="17"/>
      <c r="F193" s="12"/>
      <c r="G193" s="17"/>
      <c r="H193" s="12"/>
      <c r="I193" s="12"/>
      <c r="J193" s="12"/>
      <c r="K193" s="12"/>
      <c r="L193" s="12"/>
      <c r="M193" s="12"/>
      <c r="N193" s="12"/>
      <c r="O193" s="12"/>
    </row>
    <row r="194" ht="13.5" customHeight="1">
      <c r="A194" s="17"/>
      <c r="B194" s="12"/>
      <c r="C194" s="12"/>
      <c r="D194" s="17"/>
      <c r="E194" s="17"/>
      <c r="F194" s="12"/>
      <c r="G194" s="17"/>
      <c r="H194" s="12"/>
      <c r="I194" s="12"/>
      <c r="J194" s="12"/>
      <c r="K194" s="12"/>
      <c r="L194" s="12"/>
      <c r="M194" s="12"/>
      <c r="N194" s="12"/>
      <c r="O194" s="12"/>
    </row>
    <row r="195" ht="13.5" customHeight="1">
      <c r="A195" s="17"/>
      <c r="B195" s="12"/>
      <c r="C195" s="12"/>
      <c r="D195" s="17"/>
      <c r="E195" s="17"/>
      <c r="F195" s="12"/>
      <c r="G195" s="17"/>
      <c r="H195" s="12"/>
      <c r="I195" s="12"/>
      <c r="J195" s="12"/>
      <c r="K195" s="12"/>
      <c r="L195" s="12"/>
      <c r="M195" s="12"/>
      <c r="N195" s="12"/>
      <c r="O195" s="12"/>
    </row>
    <row r="196" ht="13.5" customHeight="1">
      <c r="A196" s="17"/>
      <c r="B196" s="12"/>
      <c r="C196" s="12"/>
      <c r="D196" s="17"/>
      <c r="E196" s="17"/>
      <c r="F196" s="12"/>
      <c r="G196" s="17"/>
      <c r="H196" s="12"/>
      <c r="I196" s="12"/>
      <c r="J196" s="12"/>
      <c r="K196" s="12"/>
      <c r="L196" s="12"/>
      <c r="M196" s="12"/>
      <c r="N196" s="12"/>
      <c r="O196" s="12"/>
    </row>
    <row r="197" ht="13.5" customHeight="1">
      <c r="A197" s="17"/>
      <c r="B197" s="12"/>
      <c r="C197" s="12"/>
      <c r="D197" s="17"/>
      <c r="E197" s="17"/>
      <c r="F197" s="12"/>
      <c r="G197" s="17"/>
      <c r="H197" s="12"/>
      <c r="I197" s="12"/>
      <c r="J197" s="12"/>
      <c r="K197" s="12"/>
      <c r="L197" s="12"/>
      <c r="M197" s="12"/>
      <c r="N197" s="12"/>
      <c r="O197" s="12"/>
    </row>
    <row r="198" ht="13.5" customHeight="1">
      <c r="A198" s="17"/>
      <c r="B198" s="12"/>
      <c r="C198" s="12"/>
      <c r="D198" s="17"/>
      <c r="E198" s="17"/>
      <c r="F198" s="12"/>
      <c r="G198" s="17"/>
      <c r="H198" s="12"/>
      <c r="I198" s="12"/>
      <c r="J198" s="12"/>
      <c r="K198" s="12"/>
      <c r="L198" s="12"/>
      <c r="M198" s="12"/>
      <c r="N198" s="12"/>
      <c r="O198" s="12"/>
    </row>
    <row r="199" ht="13.5" customHeight="1">
      <c r="A199" s="17"/>
      <c r="B199" s="12"/>
      <c r="C199" s="12"/>
      <c r="D199" s="17"/>
      <c r="E199" s="17"/>
      <c r="F199" s="12"/>
      <c r="G199" s="17"/>
      <c r="H199" s="12"/>
      <c r="I199" s="12"/>
      <c r="J199" s="12"/>
      <c r="K199" s="12"/>
      <c r="L199" s="12"/>
      <c r="M199" s="12"/>
      <c r="N199" s="12"/>
      <c r="O199" s="12"/>
    </row>
    <row r="200" ht="13.5" customHeight="1">
      <c r="A200" s="17"/>
      <c r="B200" s="12"/>
      <c r="C200" s="12"/>
      <c r="D200" s="17"/>
      <c r="E200" s="17"/>
      <c r="F200" s="12"/>
      <c r="G200" s="17"/>
      <c r="H200" s="12"/>
      <c r="I200" s="12"/>
      <c r="J200" s="12"/>
      <c r="K200" s="12"/>
      <c r="L200" s="12"/>
      <c r="M200" s="12"/>
      <c r="N200" s="12"/>
      <c r="O200" s="12"/>
    </row>
    <row r="201" ht="13.5" customHeight="1">
      <c r="A201" s="17"/>
      <c r="B201" s="12"/>
      <c r="C201" s="12"/>
      <c r="D201" s="17"/>
      <c r="E201" s="17"/>
      <c r="F201" s="12"/>
      <c r="G201" s="17"/>
      <c r="H201" s="12"/>
      <c r="I201" s="12"/>
      <c r="J201" s="12"/>
      <c r="K201" s="12"/>
      <c r="L201" s="12"/>
      <c r="M201" s="12"/>
      <c r="N201" s="12"/>
      <c r="O201" s="12"/>
    </row>
    <row r="202" ht="13.5" customHeight="1">
      <c r="A202" s="17"/>
      <c r="B202" s="12"/>
      <c r="C202" s="12"/>
      <c r="D202" s="17"/>
      <c r="E202" s="17"/>
      <c r="F202" s="12"/>
      <c r="G202" s="17"/>
      <c r="H202" s="12"/>
      <c r="I202" s="12"/>
      <c r="J202" s="12"/>
      <c r="K202" s="12"/>
      <c r="L202" s="12"/>
      <c r="M202" s="12"/>
      <c r="N202" s="12"/>
      <c r="O202" s="12"/>
    </row>
    <row r="203" ht="13.5" customHeight="1">
      <c r="A203" s="17"/>
      <c r="B203" s="12"/>
      <c r="C203" s="12"/>
      <c r="D203" s="17"/>
      <c r="E203" s="17"/>
      <c r="F203" s="12"/>
      <c r="G203" s="17"/>
      <c r="H203" s="12"/>
      <c r="I203" s="12"/>
      <c r="J203" s="12"/>
      <c r="K203" s="12"/>
      <c r="L203" s="12"/>
      <c r="M203" s="12"/>
      <c r="N203" s="12"/>
      <c r="O203" s="12"/>
    </row>
    <row r="204" ht="13.5" customHeight="1">
      <c r="A204" s="17"/>
      <c r="B204" s="12"/>
      <c r="C204" s="12"/>
      <c r="D204" s="17"/>
      <c r="E204" s="17"/>
      <c r="F204" s="12"/>
      <c r="G204" s="17"/>
      <c r="H204" s="12"/>
      <c r="I204" s="12"/>
      <c r="J204" s="12"/>
      <c r="K204" s="12"/>
      <c r="L204" s="12"/>
      <c r="M204" s="12"/>
      <c r="N204" s="12"/>
      <c r="O204" s="12"/>
    </row>
    <row r="205" ht="13.5" customHeight="1">
      <c r="A205" s="17"/>
      <c r="B205" s="12"/>
      <c r="C205" s="12"/>
      <c r="D205" s="17"/>
      <c r="E205" s="17"/>
      <c r="F205" s="12"/>
      <c r="G205" s="17"/>
      <c r="H205" s="12"/>
      <c r="I205" s="12"/>
      <c r="J205" s="12"/>
      <c r="K205" s="12"/>
      <c r="L205" s="12"/>
      <c r="M205" s="12"/>
      <c r="N205" s="12"/>
      <c r="O205" s="12"/>
    </row>
    <row r="206" ht="13.5" customHeight="1">
      <c r="A206" s="17"/>
      <c r="B206" s="12"/>
      <c r="C206" s="12"/>
      <c r="D206" s="17"/>
      <c r="E206" s="17"/>
      <c r="F206" s="12"/>
      <c r="G206" s="17"/>
      <c r="H206" s="12"/>
      <c r="I206" s="12"/>
      <c r="J206" s="12"/>
      <c r="K206" s="12"/>
      <c r="L206" s="12"/>
      <c r="M206" s="12"/>
      <c r="N206" s="12"/>
      <c r="O206" s="12"/>
    </row>
    <row r="207" ht="13.5" customHeight="1">
      <c r="A207" s="17"/>
      <c r="B207" s="12"/>
      <c r="C207" s="12"/>
      <c r="D207" s="17"/>
      <c r="E207" s="17"/>
      <c r="F207" s="12"/>
      <c r="G207" s="17"/>
      <c r="H207" s="12"/>
      <c r="I207" s="12"/>
      <c r="J207" s="12"/>
      <c r="K207" s="12"/>
      <c r="L207" s="12"/>
      <c r="M207" s="12"/>
      <c r="N207" s="12"/>
      <c r="O207" s="12"/>
    </row>
    <row r="208" ht="13.5" customHeight="1">
      <c r="A208" s="17"/>
      <c r="B208" s="12"/>
      <c r="C208" s="12"/>
      <c r="D208" s="17"/>
      <c r="E208" s="17"/>
      <c r="F208" s="12"/>
      <c r="G208" s="17"/>
      <c r="H208" s="12"/>
      <c r="I208" s="12"/>
      <c r="J208" s="12"/>
      <c r="K208" s="12"/>
      <c r="L208" s="12"/>
      <c r="M208" s="12"/>
      <c r="N208" s="12"/>
      <c r="O208" s="12"/>
    </row>
    <row r="209" ht="13.5" customHeight="1">
      <c r="A209" s="17"/>
      <c r="B209" s="12"/>
      <c r="C209" s="12"/>
      <c r="D209" s="17"/>
      <c r="E209" s="17"/>
      <c r="F209" s="12"/>
      <c r="G209" s="17"/>
      <c r="H209" s="12"/>
      <c r="I209" s="12"/>
      <c r="J209" s="12"/>
      <c r="K209" s="12"/>
      <c r="L209" s="12"/>
      <c r="M209" s="12"/>
      <c r="N209" s="12"/>
      <c r="O209" s="12"/>
    </row>
    <row r="210" ht="13.5" customHeight="1">
      <c r="A210" s="17"/>
      <c r="B210" s="12"/>
      <c r="C210" s="12"/>
      <c r="D210" s="17"/>
      <c r="E210" s="17"/>
      <c r="F210" s="12"/>
      <c r="G210" s="17"/>
      <c r="H210" s="12"/>
      <c r="I210" s="12"/>
      <c r="J210" s="12"/>
      <c r="K210" s="12"/>
      <c r="L210" s="12"/>
      <c r="M210" s="12"/>
      <c r="N210" s="12"/>
      <c r="O210" s="12"/>
    </row>
    <row r="211" ht="13.5" customHeight="1">
      <c r="A211" s="17"/>
      <c r="B211" s="12"/>
      <c r="C211" s="12"/>
      <c r="D211" s="17"/>
      <c r="E211" s="17"/>
      <c r="F211" s="12"/>
      <c r="G211" s="17"/>
      <c r="H211" s="12"/>
      <c r="I211" s="12"/>
      <c r="J211" s="12"/>
      <c r="K211" s="12"/>
      <c r="L211" s="12"/>
      <c r="M211" s="12"/>
      <c r="N211" s="12"/>
      <c r="O211" s="12"/>
    </row>
    <row r="212" ht="13.5" customHeight="1">
      <c r="A212" s="17"/>
      <c r="B212" s="12"/>
      <c r="C212" s="12"/>
      <c r="D212" s="17"/>
      <c r="E212" s="17"/>
      <c r="F212" s="12"/>
      <c r="G212" s="17"/>
      <c r="H212" s="12"/>
      <c r="I212" s="12"/>
      <c r="J212" s="12"/>
      <c r="K212" s="12"/>
      <c r="L212" s="12"/>
      <c r="M212" s="12"/>
      <c r="N212" s="12"/>
      <c r="O212" s="12"/>
    </row>
    <row r="213" ht="13.5" customHeight="1">
      <c r="A213" s="17"/>
      <c r="B213" s="12"/>
      <c r="C213" s="12"/>
      <c r="D213" s="17"/>
      <c r="E213" s="17"/>
      <c r="F213" s="12"/>
      <c r="G213" s="17"/>
      <c r="H213" s="12"/>
      <c r="I213" s="12"/>
      <c r="J213" s="12"/>
      <c r="K213" s="12"/>
      <c r="L213" s="12"/>
      <c r="M213" s="12"/>
      <c r="N213" s="12"/>
      <c r="O213" s="12"/>
    </row>
    <row r="214" ht="13.5" customHeight="1">
      <c r="A214" s="17"/>
      <c r="B214" s="12"/>
      <c r="C214" s="12"/>
      <c r="D214" s="17"/>
      <c r="E214" s="17"/>
      <c r="F214" s="12"/>
      <c r="G214" s="17"/>
      <c r="H214" s="12"/>
      <c r="I214" s="12"/>
      <c r="J214" s="12"/>
      <c r="K214" s="12"/>
      <c r="L214" s="12"/>
      <c r="M214" s="12"/>
      <c r="N214" s="12"/>
      <c r="O214" s="12"/>
    </row>
    <row r="215" ht="13.5" customHeight="1">
      <c r="A215" s="17"/>
      <c r="B215" s="12"/>
      <c r="C215" s="12"/>
      <c r="D215" s="17"/>
      <c r="E215" s="17"/>
      <c r="F215" s="12"/>
      <c r="G215" s="17"/>
      <c r="H215" s="12"/>
      <c r="I215" s="12"/>
      <c r="J215" s="12"/>
      <c r="K215" s="12"/>
      <c r="L215" s="12"/>
      <c r="M215" s="12"/>
      <c r="N215" s="12"/>
      <c r="O215" s="12"/>
    </row>
    <row r="216" ht="13.5" customHeight="1">
      <c r="A216" s="17"/>
      <c r="B216" s="12"/>
      <c r="C216" s="12"/>
      <c r="D216" s="17"/>
      <c r="E216" s="17"/>
      <c r="F216" s="12"/>
      <c r="G216" s="17"/>
      <c r="H216" s="12"/>
      <c r="I216" s="12"/>
      <c r="J216" s="12"/>
      <c r="K216" s="12"/>
      <c r="L216" s="12"/>
      <c r="M216" s="12"/>
      <c r="N216" s="12"/>
      <c r="O216" s="12"/>
    </row>
    <row r="217" ht="13.5" customHeight="1">
      <c r="A217" s="17"/>
      <c r="B217" s="12"/>
      <c r="C217" s="12"/>
      <c r="D217" s="17"/>
      <c r="E217" s="17"/>
      <c r="F217" s="12"/>
      <c r="G217" s="17"/>
      <c r="H217" s="12"/>
      <c r="I217" s="12"/>
      <c r="J217" s="12"/>
      <c r="K217" s="12"/>
      <c r="L217" s="12"/>
      <c r="M217" s="12"/>
      <c r="N217" s="12"/>
      <c r="O217" s="12"/>
    </row>
    <row r="218" ht="13.5" customHeight="1">
      <c r="A218" s="17"/>
      <c r="B218" s="12"/>
      <c r="C218" s="12"/>
      <c r="D218" s="17"/>
      <c r="E218" s="17"/>
      <c r="F218" s="12"/>
      <c r="G218" s="17"/>
      <c r="H218" s="12"/>
      <c r="I218" s="12"/>
      <c r="J218" s="12"/>
      <c r="K218" s="12"/>
      <c r="L218" s="12"/>
      <c r="M218" s="12"/>
      <c r="N218" s="12"/>
      <c r="O218" s="12"/>
    </row>
    <row r="219" ht="13.5" customHeight="1">
      <c r="A219" s="17"/>
      <c r="B219" s="12"/>
      <c r="C219" s="12"/>
      <c r="D219" s="17"/>
      <c r="E219" s="17"/>
      <c r="F219" s="12"/>
      <c r="G219" s="17"/>
      <c r="H219" s="12"/>
      <c r="I219" s="12"/>
      <c r="J219" s="12"/>
      <c r="K219" s="12"/>
      <c r="L219" s="12"/>
      <c r="M219" s="12"/>
      <c r="N219" s="12"/>
      <c r="O219" s="12"/>
    </row>
    <row r="220" ht="13.5" customHeight="1">
      <c r="A220" s="17"/>
      <c r="B220" s="12"/>
      <c r="C220" s="12"/>
      <c r="D220" s="17"/>
      <c r="E220" s="17"/>
      <c r="F220" s="12"/>
      <c r="G220" s="17"/>
      <c r="H220" s="12"/>
      <c r="I220" s="12"/>
      <c r="J220" s="12"/>
      <c r="K220" s="12"/>
      <c r="L220" s="12"/>
      <c r="M220" s="12"/>
      <c r="N220" s="12"/>
      <c r="O220" s="12"/>
    </row>
    <row r="221" ht="13.5" customHeight="1">
      <c r="A221" s="17"/>
      <c r="B221" s="12"/>
      <c r="C221" s="12"/>
      <c r="D221" s="17"/>
      <c r="E221" s="17"/>
      <c r="F221" s="12"/>
      <c r="G221" s="17"/>
      <c r="H221" s="12"/>
      <c r="I221" s="12"/>
      <c r="J221" s="12"/>
      <c r="K221" s="12"/>
      <c r="L221" s="12"/>
      <c r="M221" s="12"/>
      <c r="N221" s="12"/>
      <c r="O221" s="12"/>
    </row>
    <row r="222" ht="13.5" customHeight="1">
      <c r="A222" s="17"/>
      <c r="B222" s="12"/>
      <c r="C222" s="12"/>
      <c r="D222" s="17"/>
      <c r="E222" s="17"/>
      <c r="F222" s="12"/>
      <c r="G222" s="17"/>
      <c r="H222" s="12"/>
      <c r="I222" s="12"/>
      <c r="J222" s="12"/>
      <c r="K222" s="12"/>
      <c r="L222" s="12"/>
      <c r="M222" s="12"/>
      <c r="N222" s="12"/>
      <c r="O222" s="12"/>
    </row>
    <row r="223" ht="13.5" customHeight="1">
      <c r="A223" s="17"/>
      <c r="B223" s="12"/>
      <c r="C223" s="12"/>
      <c r="D223" s="17"/>
      <c r="E223" s="17"/>
      <c r="F223" s="12"/>
      <c r="G223" s="17"/>
      <c r="H223" s="12"/>
      <c r="I223" s="12"/>
      <c r="J223" s="12"/>
      <c r="K223" s="12"/>
      <c r="L223" s="12"/>
      <c r="M223" s="12"/>
      <c r="N223" s="12"/>
      <c r="O223" s="12"/>
    </row>
    <row r="224" ht="13.5" customHeight="1">
      <c r="A224" s="17"/>
      <c r="B224" s="12"/>
      <c r="C224" s="12"/>
      <c r="D224" s="17"/>
      <c r="E224" s="17"/>
      <c r="F224" s="12"/>
      <c r="G224" s="17"/>
      <c r="H224" s="12"/>
      <c r="I224" s="12"/>
      <c r="J224" s="12"/>
      <c r="K224" s="12"/>
      <c r="L224" s="12"/>
      <c r="M224" s="12"/>
      <c r="N224" s="12"/>
      <c r="O224" s="12"/>
    </row>
    <row r="225" ht="13.5" customHeight="1">
      <c r="A225" s="17"/>
      <c r="B225" s="12"/>
      <c r="C225" s="12"/>
      <c r="D225" s="17"/>
      <c r="E225" s="17"/>
      <c r="F225" s="12"/>
      <c r="G225" s="17"/>
      <c r="H225" s="12"/>
      <c r="I225" s="12"/>
      <c r="J225" s="12"/>
      <c r="K225" s="12"/>
      <c r="L225" s="12"/>
      <c r="M225" s="12"/>
      <c r="N225" s="12"/>
      <c r="O225" s="12"/>
    </row>
    <row r="226" ht="13.5" customHeight="1">
      <c r="A226" s="17"/>
      <c r="B226" s="12"/>
      <c r="C226" s="12"/>
      <c r="D226" s="17"/>
      <c r="E226" s="17"/>
      <c r="F226" s="12"/>
      <c r="G226" s="17"/>
      <c r="H226" s="12"/>
      <c r="I226" s="12"/>
      <c r="J226" s="12"/>
      <c r="K226" s="12"/>
      <c r="L226" s="12"/>
      <c r="M226" s="12"/>
      <c r="N226" s="12"/>
      <c r="O226" s="12"/>
    </row>
    <row r="227" ht="13.5" customHeight="1">
      <c r="A227" s="17"/>
      <c r="B227" s="12"/>
      <c r="C227" s="12"/>
      <c r="D227" s="17"/>
      <c r="E227" s="17"/>
      <c r="F227" s="12"/>
      <c r="G227" s="17"/>
      <c r="H227" s="12"/>
      <c r="I227" s="12"/>
      <c r="J227" s="12"/>
      <c r="K227" s="12"/>
      <c r="L227" s="12"/>
      <c r="M227" s="12"/>
      <c r="N227" s="12"/>
      <c r="O227" s="12"/>
    </row>
    <row r="228" ht="13.5" customHeight="1">
      <c r="A228" s="17"/>
      <c r="B228" s="12"/>
      <c r="C228" s="12"/>
      <c r="D228" s="17"/>
      <c r="E228" s="17"/>
      <c r="F228" s="12"/>
      <c r="G228" s="17"/>
      <c r="H228" s="12"/>
      <c r="I228" s="12"/>
      <c r="J228" s="12"/>
      <c r="K228" s="12"/>
      <c r="L228" s="12"/>
      <c r="M228" s="12"/>
      <c r="N228" s="12"/>
      <c r="O228" s="12"/>
    </row>
    <row r="229" ht="13.5" customHeight="1">
      <c r="A229" s="17"/>
      <c r="B229" s="12"/>
      <c r="C229" s="12"/>
      <c r="D229" s="17"/>
      <c r="E229" s="17"/>
      <c r="F229" s="12"/>
      <c r="G229" s="17"/>
      <c r="H229" s="12"/>
      <c r="I229" s="12"/>
      <c r="J229" s="12"/>
      <c r="K229" s="12"/>
      <c r="L229" s="12"/>
      <c r="M229" s="12"/>
      <c r="N229" s="12"/>
      <c r="O229" s="12"/>
    </row>
    <row r="230" ht="13.5" customHeight="1">
      <c r="A230" s="17"/>
      <c r="B230" s="12"/>
      <c r="C230" s="12"/>
      <c r="D230" s="17"/>
      <c r="E230" s="17"/>
      <c r="F230" s="12"/>
      <c r="G230" s="17"/>
      <c r="H230" s="12"/>
      <c r="I230" s="12"/>
      <c r="J230" s="12"/>
      <c r="K230" s="12"/>
      <c r="L230" s="12"/>
      <c r="M230" s="12"/>
      <c r="N230" s="12"/>
      <c r="O230" s="12"/>
    </row>
    <row r="231" ht="13.5" customHeight="1">
      <c r="A231" s="17"/>
      <c r="B231" s="12"/>
      <c r="C231" s="12"/>
      <c r="D231" s="17"/>
      <c r="E231" s="17"/>
      <c r="F231" s="12"/>
      <c r="G231" s="17"/>
      <c r="H231" s="12"/>
      <c r="I231" s="12"/>
      <c r="J231" s="12"/>
      <c r="K231" s="12"/>
      <c r="L231" s="12"/>
      <c r="M231" s="12"/>
      <c r="N231" s="12"/>
      <c r="O231" s="12"/>
    </row>
    <row r="232" ht="13.5" customHeight="1">
      <c r="A232" s="17"/>
      <c r="B232" s="12"/>
      <c r="C232" s="12"/>
      <c r="D232" s="17"/>
      <c r="E232" s="17"/>
      <c r="F232" s="12"/>
      <c r="G232" s="17"/>
      <c r="H232" s="12"/>
      <c r="I232" s="12"/>
      <c r="J232" s="12"/>
      <c r="K232" s="12"/>
      <c r="L232" s="12"/>
      <c r="M232" s="12"/>
      <c r="N232" s="12"/>
      <c r="O232" s="12"/>
    </row>
    <row r="233" ht="13.5" customHeight="1">
      <c r="A233" s="17"/>
      <c r="B233" s="12"/>
      <c r="C233" s="12"/>
      <c r="D233" s="17"/>
      <c r="E233" s="17"/>
      <c r="F233" s="12"/>
      <c r="G233" s="17"/>
      <c r="H233" s="12"/>
      <c r="I233" s="12"/>
      <c r="J233" s="12"/>
      <c r="K233" s="12"/>
      <c r="L233" s="12"/>
      <c r="M233" s="12"/>
      <c r="N233" s="12"/>
      <c r="O233" s="12"/>
    </row>
    <row r="234" ht="13.5" customHeight="1">
      <c r="A234" s="17"/>
      <c r="B234" s="12"/>
      <c r="C234" s="12"/>
      <c r="D234" s="17"/>
      <c r="E234" s="17"/>
      <c r="F234" s="12"/>
      <c r="G234" s="17"/>
      <c r="H234" s="12"/>
      <c r="I234" s="12"/>
      <c r="J234" s="12"/>
      <c r="K234" s="12"/>
      <c r="L234" s="12"/>
      <c r="M234" s="12"/>
      <c r="N234" s="12"/>
      <c r="O234" s="12"/>
    </row>
    <row r="235" ht="13.5" customHeight="1">
      <c r="A235" s="17"/>
      <c r="B235" s="12"/>
      <c r="C235" s="12"/>
      <c r="D235" s="17"/>
      <c r="E235" s="17"/>
      <c r="F235" s="12"/>
      <c r="G235" s="17"/>
      <c r="H235" s="12"/>
      <c r="I235" s="12"/>
      <c r="J235" s="12"/>
      <c r="K235" s="12"/>
      <c r="L235" s="12"/>
      <c r="M235" s="12"/>
      <c r="N235" s="12"/>
      <c r="O235" s="12"/>
    </row>
    <row r="236" ht="13.5" customHeight="1">
      <c r="A236" s="17"/>
      <c r="B236" s="12"/>
      <c r="C236" s="12"/>
      <c r="D236" s="17"/>
      <c r="E236" s="17"/>
      <c r="F236" s="12"/>
      <c r="G236" s="17"/>
      <c r="H236" s="12"/>
      <c r="I236" s="12"/>
      <c r="J236" s="12"/>
      <c r="K236" s="12"/>
      <c r="L236" s="12"/>
      <c r="M236" s="12"/>
      <c r="N236" s="12"/>
      <c r="O236" s="12"/>
    </row>
    <row r="237" ht="13.5" customHeight="1">
      <c r="A237" s="17"/>
      <c r="B237" s="12"/>
      <c r="C237" s="12"/>
      <c r="D237" s="17"/>
      <c r="E237" s="17"/>
      <c r="F237" s="12"/>
      <c r="G237" s="17"/>
      <c r="H237" s="12"/>
      <c r="I237" s="12"/>
      <c r="J237" s="12"/>
      <c r="K237" s="12"/>
      <c r="L237" s="12"/>
      <c r="M237" s="12"/>
      <c r="N237" s="12"/>
      <c r="O237" s="12"/>
    </row>
    <row r="238" ht="13.5" customHeight="1">
      <c r="A238" s="17"/>
      <c r="B238" s="12"/>
      <c r="C238" s="12"/>
      <c r="D238" s="17"/>
      <c r="E238" s="17"/>
      <c r="F238" s="12"/>
      <c r="G238" s="17"/>
      <c r="H238" s="12"/>
      <c r="I238" s="12"/>
      <c r="J238" s="12"/>
      <c r="K238" s="12"/>
      <c r="L238" s="12"/>
      <c r="M238" s="12"/>
      <c r="N238" s="12"/>
      <c r="O238" s="12"/>
    </row>
    <row r="239" ht="13.5" customHeight="1">
      <c r="A239" s="17"/>
      <c r="B239" s="12"/>
      <c r="C239" s="12"/>
      <c r="D239" s="17"/>
      <c r="E239" s="17"/>
      <c r="F239" s="12"/>
      <c r="G239" s="17"/>
      <c r="H239" s="12"/>
      <c r="I239" s="12"/>
      <c r="J239" s="12"/>
      <c r="K239" s="12"/>
      <c r="L239" s="12"/>
      <c r="M239" s="12"/>
      <c r="N239" s="12"/>
      <c r="O239" s="12"/>
    </row>
    <row r="240" ht="13.5" customHeight="1">
      <c r="A240" s="17"/>
      <c r="B240" s="12"/>
      <c r="C240" s="12"/>
      <c r="D240" s="17"/>
      <c r="E240" s="17"/>
      <c r="F240" s="12"/>
      <c r="G240" s="17"/>
      <c r="H240" s="12"/>
      <c r="I240" s="12"/>
      <c r="J240" s="12"/>
      <c r="K240" s="12"/>
      <c r="L240" s="12"/>
      <c r="M240" s="12"/>
      <c r="N240" s="12"/>
      <c r="O240" s="12"/>
    </row>
    <row r="241" ht="13.5" customHeight="1">
      <c r="A241" s="17"/>
      <c r="B241" s="12"/>
      <c r="C241" s="12"/>
      <c r="D241" s="17"/>
      <c r="E241" s="17"/>
      <c r="F241" s="12"/>
      <c r="G241" s="17"/>
      <c r="H241" s="12"/>
      <c r="I241" s="12"/>
      <c r="J241" s="12"/>
      <c r="K241" s="12"/>
      <c r="L241" s="12"/>
      <c r="M241" s="12"/>
      <c r="N241" s="12"/>
      <c r="O241" s="12"/>
    </row>
    <row r="242" ht="13.5" customHeight="1">
      <c r="A242" s="17"/>
      <c r="B242" s="12"/>
      <c r="C242" s="12"/>
      <c r="D242" s="17"/>
      <c r="E242" s="17"/>
      <c r="F242" s="12"/>
      <c r="G242" s="17"/>
      <c r="H242" s="12"/>
      <c r="I242" s="12"/>
      <c r="J242" s="12"/>
      <c r="K242" s="12"/>
      <c r="L242" s="12"/>
      <c r="M242" s="12"/>
      <c r="N242" s="12"/>
      <c r="O242" s="12"/>
    </row>
    <row r="243" ht="13.5" customHeight="1">
      <c r="A243" s="17"/>
      <c r="B243" s="12"/>
      <c r="C243" s="12"/>
      <c r="D243" s="17"/>
      <c r="E243" s="17"/>
      <c r="F243" s="12"/>
      <c r="G243" s="17"/>
      <c r="H243" s="12"/>
      <c r="I243" s="12"/>
      <c r="J243" s="12"/>
      <c r="K243" s="12"/>
      <c r="L243" s="12"/>
      <c r="M243" s="12"/>
      <c r="N243" s="12"/>
      <c r="O243" s="12"/>
    </row>
    <row r="244" ht="13.5" customHeight="1">
      <c r="A244" s="17"/>
      <c r="B244" s="12"/>
      <c r="C244" s="12"/>
      <c r="D244" s="17"/>
      <c r="E244" s="17"/>
      <c r="F244" s="12"/>
      <c r="G244" s="17"/>
      <c r="H244" s="12"/>
      <c r="I244" s="12"/>
      <c r="J244" s="12"/>
      <c r="K244" s="12"/>
      <c r="L244" s="12"/>
      <c r="M244" s="12"/>
      <c r="N244" s="12"/>
      <c r="O244" s="12"/>
    </row>
    <row r="245" ht="13.5" customHeight="1">
      <c r="A245" s="17"/>
      <c r="B245" s="12"/>
      <c r="C245" s="12"/>
      <c r="D245" s="17"/>
      <c r="E245" s="17"/>
      <c r="F245" s="12"/>
      <c r="G245" s="17"/>
      <c r="H245" s="12"/>
      <c r="I245" s="12"/>
      <c r="J245" s="12"/>
      <c r="K245" s="12"/>
      <c r="L245" s="12"/>
      <c r="M245" s="12"/>
      <c r="N245" s="12"/>
      <c r="O245" s="12"/>
    </row>
    <row r="246" ht="13.5" customHeight="1">
      <c r="A246" s="17"/>
      <c r="B246" s="12"/>
      <c r="C246" s="12"/>
      <c r="D246" s="17"/>
      <c r="E246" s="17"/>
      <c r="F246" s="12"/>
      <c r="G246" s="17"/>
      <c r="H246" s="12"/>
      <c r="I246" s="12"/>
      <c r="J246" s="12"/>
      <c r="K246" s="12"/>
      <c r="L246" s="12"/>
      <c r="M246" s="12"/>
      <c r="N246" s="12"/>
      <c r="O246" s="12"/>
    </row>
    <row r="247" ht="13.5" customHeight="1">
      <c r="A247" s="17"/>
      <c r="B247" s="12"/>
      <c r="C247" s="12"/>
      <c r="D247" s="17"/>
      <c r="E247" s="17"/>
      <c r="F247" s="12"/>
      <c r="G247" s="17"/>
      <c r="H247" s="12"/>
      <c r="I247" s="12"/>
      <c r="J247" s="12"/>
      <c r="K247" s="12"/>
      <c r="L247" s="12"/>
      <c r="M247" s="12"/>
      <c r="N247" s="12"/>
      <c r="O247" s="12"/>
    </row>
    <row r="248" ht="13.5" customHeight="1">
      <c r="A248" s="17"/>
      <c r="B248" s="12"/>
      <c r="C248" s="12"/>
      <c r="D248" s="17"/>
      <c r="E248" s="17"/>
      <c r="F248" s="12"/>
      <c r="G248" s="17"/>
      <c r="H248" s="12"/>
      <c r="I248" s="12"/>
      <c r="J248" s="12"/>
      <c r="K248" s="12"/>
      <c r="L248" s="12"/>
      <c r="M248" s="12"/>
      <c r="N248" s="12"/>
      <c r="O248" s="12"/>
    </row>
    <row r="249" ht="13.5" customHeight="1">
      <c r="A249" s="17"/>
      <c r="B249" s="12"/>
      <c r="C249" s="12"/>
      <c r="D249" s="17"/>
      <c r="E249" s="17"/>
      <c r="F249" s="12"/>
      <c r="G249" s="17"/>
      <c r="H249" s="12"/>
      <c r="I249" s="12"/>
      <c r="J249" s="12"/>
      <c r="K249" s="12"/>
      <c r="L249" s="12"/>
      <c r="M249" s="12"/>
      <c r="N249" s="12"/>
      <c r="O249" s="12"/>
    </row>
    <row r="250" ht="13.5" customHeight="1">
      <c r="A250" s="17"/>
      <c r="B250" s="12"/>
      <c r="C250" s="12"/>
      <c r="D250" s="17"/>
      <c r="E250" s="17"/>
      <c r="F250" s="12"/>
      <c r="G250" s="17"/>
      <c r="H250" s="12"/>
      <c r="I250" s="12"/>
      <c r="J250" s="12"/>
      <c r="K250" s="12"/>
      <c r="L250" s="12"/>
      <c r="M250" s="12"/>
      <c r="N250" s="12"/>
      <c r="O250" s="12"/>
    </row>
    <row r="251" ht="13.5" customHeight="1">
      <c r="A251" s="17"/>
      <c r="B251" s="12"/>
      <c r="C251" s="12"/>
      <c r="D251" s="17"/>
      <c r="E251" s="17"/>
      <c r="F251" s="12"/>
      <c r="G251" s="17"/>
      <c r="H251" s="12"/>
      <c r="I251" s="12"/>
      <c r="J251" s="12"/>
      <c r="K251" s="12"/>
      <c r="L251" s="12"/>
      <c r="M251" s="12"/>
      <c r="N251" s="12"/>
      <c r="O251" s="12"/>
    </row>
    <row r="252" ht="13.5" customHeight="1">
      <c r="A252" s="17"/>
      <c r="B252" s="12"/>
      <c r="C252" s="12"/>
      <c r="D252" s="17"/>
      <c r="E252" s="17"/>
      <c r="F252" s="12"/>
      <c r="G252" s="17"/>
      <c r="H252" s="12"/>
      <c r="I252" s="12"/>
      <c r="J252" s="12"/>
      <c r="K252" s="12"/>
      <c r="L252" s="12"/>
      <c r="M252" s="12"/>
      <c r="N252" s="12"/>
      <c r="O252" s="12"/>
    </row>
    <row r="253" ht="13.5" customHeight="1">
      <c r="A253" s="17"/>
      <c r="B253" s="12"/>
      <c r="C253" s="12"/>
      <c r="D253" s="17"/>
      <c r="E253" s="17"/>
      <c r="F253" s="12"/>
      <c r="G253" s="17"/>
      <c r="H253" s="12"/>
      <c r="I253" s="12"/>
      <c r="J253" s="12"/>
      <c r="K253" s="12"/>
      <c r="L253" s="12"/>
      <c r="M253" s="12"/>
      <c r="N253" s="12"/>
      <c r="O253" s="12"/>
    </row>
    <row r="254" ht="13.5" customHeight="1">
      <c r="A254" s="17"/>
      <c r="B254" s="12"/>
      <c r="C254" s="12"/>
      <c r="D254" s="17"/>
      <c r="E254" s="17"/>
      <c r="F254" s="12"/>
      <c r="G254" s="17"/>
      <c r="H254" s="12"/>
      <c r="I254" s="12"/>
      <c r="J254" s="12"/>
      <c r="K254" s="12"/>
      <c r="L254" s="12"/>
      <c r="M254" s="12"/>
      <c r="N254" s="12"/>
      <c r="O254" s="12"/>
    </row>
    <row r="255" ht="13.5" customHeight="1">
      <c r="A255" s="17"/>
      <c r="B255" s="12"/>
      <c r="C255" s="12"/>
      <c r="D255" s="17"/>
      <c r="E255" s="17"/>
      <c r="F255" s="12"/>
      <c r="G255" s="17"/>
      <c r="H255" s="12"/>
      <c r="I255" s="12"/>
      <c r="J255" s="12"/>
      <c r="K255" s="12"/>
      <c r="L255" s="12"/>
      <c r="M255" s="12"/>
      <c r="N255" s="12"/>
      <c r="O255" s="12"/>
    </row>
    <row r="256" ht="13.5" customHeight="1">
      <c r="A256" s="17"/>
      <c r="B256" s="12"/>
      <c r="C256" s="12"/>
      <c r="D256" s="17"/>
      <c r="E256" s="17"/>
      <c r="F256" s="12"/>
      <c r="G256" s="17"/>
      <c r="H256" s="12"/>
      <c r="I256" s="12"/>
      <c r="J256" s="12"/>
      <c r="K256" s="12"/>
      <c r="L256" s="12"/>
      <c r="M256" s="12"/>
      <c r="N256" s="12"/>
      <c r="O256" s="12"/>
    </row>
    <row r="257" ht="13.5" customHeight="1">
      <c r="A257" s="17"/>
      <c r="B257" s="12"/>
      <c r="C257" s="12"/>
      <c r="D257" s="17"/>
      <c r="E257" s="17"/>
      <c r="F257" s="12"/>
      <c r="G257" s="17"/>
      <c r="H257" s="12"/>
      <c r="I257" s="12"/>
      <c r="J257" s="12"/>
      <c r="K257" s="12"/>
      <c r="L257" s="12"/>
      <c r="M257" s="12"/>
      <c r="N257" s="12"/>
      <c r="O257" s="12"/>
    </row>
    <row r="258" ht="13.5" customHeight="1">
      <c r="A258" s="17"/>
      <c r="B258" s="12"/>
      <c r="C258" s="12"/>
      <c r="D258" s="17"/>
      <c r="E258" s="17"/>
      <c r="F258" s="12"/>
      <c r="G258" s="17"/>
      <c r="H258" s="12"/>
      <c r="I258" s="12"/>
      <c r="J258" s="12"/>
      <c r="K258" s="12"/>
      <c r="L258" s="12"/>
      <c r="M258" s="12"/>
      <c r="N258" s="12"/>
      <c r="O258" s="12"/>
    </row>
    <row r="259" ht="13.5" customHeight="1">
      <c r="A259" s="17"/>
      <c r="B259" s="12"/>
      <c r="C259" s="12"/>
      <c r="D259" s="17"/>
      <c r="E259" s="17"/>
      <c r="F259" s="12"/>
      <c r="G259" s="17"/>
      <c r="H259" s="12"/>
      <c r="I259" s="12"/>
      <c r="J259" s="12"/>
      <c r="K259" s="12"/>
      <c r="L259" s="12"/>
      <c r="M259" s="12"/>
      <c r="N259" s="12"/>
      <c r="O259" s="12"/>
    </row>
    <row r="260" ht="13.5" customHeight="1">
      <c r="A260" s="17"/>
      <c r="B260" s="12"/>
      <c r="C260" s="12"/>
      <c r="D260" s="17"/>
      <c r="E260" s="17"/>
      <c r="F260" s="12"/>
      <c r="G260" s="17"/>
      <c r="H260" s="12"/>
      <c r="I260" s="12"/>
      <c r="J260" s="12"/>
      <c r="K260" s="12"/>
      <c r="L260" s="12"/>
      <c r="M260" s="12"/>
      <c r="N260" s="12"/>
      <c r="O260" s="12"/>
    </row>
    <row r="261" ht="13.5" customHeight="1">
      <c r="A261" s="17"/>
      <c r="B261" s="12"/>
      <c r="C261" s="12"/>
      <c r="D261" s="17"/>
      <c r="E261" s="17"/>
      <c r="F261" s="12"/>
      <c r="G261" s="17"/>
      <c r="H261" s="12"/>
      <c r="I261" s="12"/>
      <c r="J261" s="12"/>
      <c r="K261" s="12"/>
      <c r="L261" s="12"/>
      <c r="M261" s="12"/>
      <c r="N261" s="12"/>
      <c r="O261" s="12"/>
    </row>
    <row r="262" ht="13.5" customHeight="1">
      <c r="A262" s="17"/>
      <c r="B262" s="12"/>
      <c r="C262" s="12"/>
      <c r="D262" s="17"/>
      <c r="E262" s="17"/>
      <c r="F262" s="12"/>
      <c r="G262" s="17"/>
      <c r="H262" s="12"/>
      <c r="I262" s="12"/>
      <c r="J262" s="12"/>
      <c r="K262" s="12"/>
      <c r="L262" s="12"/>
      <c r="M262" s="12"/>
      <c r="N262" s="12"/>
      <c r="O262" s="12"/>
    </row>
    <row r="263" ht="13.5" customHeight="1">
      <c r="A263" s="17"/>
      <c r="B263" s="12"/>
      <c r="C263" s="12"/>
      <c r="D263" s="17"/>
      <c r="E263" s="17"/>
      <c r="F263" s="12"/>
      <c r="G263" s="17"/>
      <c r="H263" s="12"/>
      <c r="I263" s="12"/>
      <c r="J263" s="12"/>
      <c r="K263" s="12"/>
      <c r="L263" s="12"/>
      <c r="M263" s="12"/>
      <c r="N263" s="12"/>
      <c r="O263" s="12"/>
    </row>
    <row r="264" ht="13.5" customHeight="1">
      <c r="A264" s="17"/>
      <c r="B264" s="12"/>
      <c r="C264" s="12"/>
      <c r="D264" s="17"/>
      <c r="E264" s="17"/>
      <c r="F264" s="12"/>
      <c r="G264" s="17"/>
      <c r="H264" s="12"/>
      <c r="I264" s="12"/>
      <c r="J264" s="12"/>
      <c r="K264" s="12"/>
      <c r="L264" s="12"/>
      <c r="M264" s="12"/>
      <c r="N264" s="12"/>
      <c r="O264" s="12"/>
    </row>
    <row r="265" ht="13.5" customHeight="1">
      <c r="A265" s="17"/>
      <c r="B265" s="12"/>
      <c r="C265" s="12"/>
      <c r="D265" s="17"/>
      <c r="E265" s="17"/>
      <c r="F265" s="12"/>
      <c r="G265" s="17"/>
      <c r="H265" s="12"/>
      <c r="I265" s="12"/>
      <c r="J265" s="12"/>
      <c r="K265" s="12"/>
      <c r="L265" s="12"/>
      <c r="M265" s="12"/>
      <c r="N265" s="12"/>
      <c r="O265" s="12"/>
    </row>
    <row r="266" ht="13.5" customHeight="1">
      <c r="A266" s="17"/>
      <c r="B266" s="12"/>
      <c r="C266" s="12"/>
      <c r="D266" s="17"/>
      <c r="E266" s="17"/>
      <c r="F266" s="12"/>
      <c r="G266" s="17"/>
      <c r="H266" s="12"/>
      <c r="I266" s="12"/>
      <c r="J266" s="12"/>
      <c r="K266" s="12"/>
      <c r="L266" s="12"/>
      <c r="M266" s="12"/>
      <c r="N266" s="12"/>
      <c r="O266" s="12"/>
    </row>
    <row r="267" ht="13.5" customHeight="1">
      <c r="A267" s="17"/>
      <c r="B267" s="12"/>
      <c r="C267" s="12"/>
      <c r="D267" s="17"/>
      <c r="E267" s="17"/>
      <c r="F267" s="12"/>
      <c r="G267" s="17"/>
      <c r="H267" s="12"/>
      <c r="I267" s="12"/>
      <c r="J267" s="12"/>
      <c r="K267" s="12"/>
      <c r="L267" s="12"/>
      <c r="M267" s="12"/>
      <c r="N267" s="12"/>
      <c r="O267" s="12"/>
    </row>
    <row r="268" ht="13.5" customHeight="1">
      <c r="A268" s="17"/>
      <c r="B268" s="12"/>
      <c r="C268" s="12"/>
      <c r="D268" s="17"/>
      <c r="E268" s="17"/>
      <c r="F268" s="12"/>
      <c r="G268" s="17"/>
      <c r="H268" s="12"/>
      <c r="I268" s="12"/>
      <c r="J268" s="12"/>
      <c r="K268" s="12"/>
      <c r="L268" s="12"/>
      <c r="M268" s="12"/>
      <c r="N268" s="12"/>
      <c r="O268" s="12"/>
    </row>
    <row r="269" ht="13.5" customHeight="1">
      <c r="A269" s="17"/>
      <c r="B269" s="12"/>
      <c r="C269" s="12"/>
      <c r="D269" s="17"/>
      <c r="E269" s="17"/>
      <c r="F269" s="12"/>
      <c r="G269" s="17"/>
      <c r="H269" s="12"/>
      <c r="I269" s="12"/>
      <c r="J269" s="12"/>
      <c r="K269" s="12"/>
      <c r="L269" s="12"/>
      <c r="M269" s="12"/>
      <c r="N269" s="12"/>
      <c r="O269" s="12"/>
    </row>
    <row r="270" ht="13.5" customHeight="1">
      <c r="A270" s="17"/>
      <c r="B270" s="12"/>
      <c r="C270" s="12"/>
      <c r="D270" s="17"/>
      <c r="E270" s="17"/>
      <c r="F270" s="12"/>
      <c r="G270" s="17"/>
      <c r="H270" s="12"/>
      <c r="I270" s="12"/>
      <c r="J270" s="12"/>
      <c r="K270" s="12"/>
      <c r="L270" s="12"/>
      <c r="M270" s="12"/>
      <c r="N270" s="12"/>
      <c r="O270" s="12"/>
    </row>
    <row r="271" ht="13.5" customHeight="1">
      <c r="A271" s="17"/>
      <c r="B271" s="12"/>
      <c r="C271" s="12"/>
      <c r="D271" s="17"/>
      <c r="E271" s="17"/>
      <c r="F271" s="12"/>
      <c r="G271" s="17"/>
      <c r="H271" s="12"/>
      <c r="I271" s="12"/>
      <c r="J271" s="12"/>
      <c r="K271" s="12"/>
      <c r="L271" s="12"/>
      <c r="M271" s="12"/>
      <c r="N271" s="12"/>
      <c r="O271" s="12"/>
    </row>
    <row r="272" ht="13.5" customHeight="1">
      <c r="A272" s="17"/>
      <c r="B272" s="12"/>
      <c r="C272" s="12"/>
      <c r="D272" s="17"/>
      <c r="E272" s="17"/>
      <c r="F272" s="12"/>
      <c r="G272" s="17"/>
      <c r="H272" s="12"/>
      <c r="I272" s="12"/>
      <c r="J272" s="12"/>
      <c r="K272" s="12"/>
      <c r="L272" s="12"/>
      <c r="M272" s="12"/>
      <c r="N272" s="12"/>
      <c r="O272" s="12"/>
    </row>
    <row r="273" ht="13.5" customHeight="1">
      <c r="A273" s="17"/>
      <c r="B273" s="12"/>
      <c r="C273" s="12"/>
      <c r="D273" s="17"/>
      <c r="E273" s="17"/>
      <c r="F273" s="12"/>
      <c r="G273" s="17"/>
      <c r="H273" s="12"/>
      <c r="I273" s="12"/>
      <c r="J273" s="12"/>
      <c r="K273" s="12"/>
      <c r="L273" s="12"/>
      <c r="M273" s="12"/>
      <c r="N273" s="12"/>
      <c r="O273" s="12"/>
    </row>
    <row r="274" ht="13.5" customHeight="1">
      <c r="A274" s="17"/>
      <c r="B274" s="12"/>
      <c r="C274" s="12"/>
      <c r="D274" s="17"/>
      <c r="E274" s="17"/>
      <c r="F274" s="12"/>
      <c r="G274" s="17"/>
      <c r="H274" s="12"/>
      <c r="I274" s="12"/>
      <c r="J274" s="12"/>
      <c r="K274" s="12"/>
      <c r="L274" s="12"/>
      <c r="M274" s="12"/>
      <c r="N274" s="12"/>
      <c r="O274" s="12"/>
    </row>
    <row r="275" ht="13.5" customHeight="1">
      <c r="A275" s="17"/>
      <c r="B275" s="12"/>
      <c r="C275" s="12"/>
      <c r="D275" s="17"/>
      <c r="E275" s="17"/>
      <c r="F275" s="12"/>
      <c r="G275" s="17"/>
      <c r="H275" s="12"/>
      <c r="I275" s="12"/>
      <c r="J275" s="12"/>
      <c r="K275" s="12"/>
      <c r="L275" s="12"/>
      <c r="M275" s="12"/>
      <c r="N275" s="12"/>
      <c r="O275" s="12"/>
    </row>
    <row r="276" ht="13.5" customHeight="1">
      <c r="A276" s="17"/>
      <c r="B276" s="12"/>
      <c r="C276" s="12"/>
      <c r="D276" s="17"/>
      <c r="E276" s="17"/>
      <c r="F276" s="12"/>
      <c r="G276" s="17"/>
      <c r="H276" s="12"/>
      <c r="I276" s="12"/>
      <c r="J276" s="12"/>
      <c r="K276" s="12"/>
      <c r="L276" s="12"/>
      <c r="M276" s="12"/>
      <c r="N276" s="12"/>
      <c r="O276" s="12"/>
    </row>
    <row r="277" ht="13.5" customHeight="1">
      <c r="A277" s="17"/>
      <c r="B277" s="12"/>
      <c r="C277" s="12"/>
      <c r="D277" s="17"/>
      <c r="E277" s="17"/>
      <c r="F277" s="12"/>
      <c r="G277" s="17"/>
      <c r="H277" s="12"/>
      <c r="I277" s="12"/>
      <c r="J277" s="12"/>
      <c r="K277" s="12"/>
      <c r="L277" s="12"/>
      <c r="M277" s="12"/>
      <c r="N277" s="12"/>
      <c r="O277" s="12"/>
    </row>
    <row r="278" ht="13.5" customHeight="1">
      <c r="A278" s="17"/>
      <c r="B278" s="12"/>
      <c r="C278" s="12"/>
      <c r="D278" s="17"/>
      <c r="E278" s="17"/>
      <c r="F278" s="12"/>
      <c r="G278" s="17"/>
      <c r="H278" s="12"/>
      <c r="I278" s="12"/>
      <c r="J278" s="12"/>
      <c r="K278" s="12"/>
      <c r="L278" s="12"/>
      <c r="M278" s="12"/>
      <c r="N278" s="12"/>
      <c r="O278" s="12"/>
    </row>
    <row r="279" ht="13.5" customHeight="1">
      <c r="A279" s="17"/>
      <c r="B279" s="12"/>
      <c r="C279" s="12"/>
      <c r="D279" s="17"/>
      <c r="E279" s="17"/>
      <c r="F279" s="12"/>
      <c r="G279" s="17"/>
      <c r="H279" s="12"/>
      <c r="I279" s="12"/>
      <c r="J279" s="12"/>
      <c r="K279" s="12"/>
      <c r="L279" s="12"/>
      <c r="M279" s="12"/>
      <c r="N279" s="12"/>
      <c r="O279" s="12"/>
    </row>
    <row r="280" ht="13.5" customHeight="1">
      <c r="A280" s="17"/>
      <c r="B280" s="12"/>
      <c r="C280" s="12"/>
      <c r="D280" s="17"/>
      <c r="E280" s="17"/>
      <c r="F280" s="12"/>
      <c r="G280" s="17"/>
      <c r="H280" s="12"/>
      <c r="I280" s="12"/>
      <c r="J280" s="12"/>
      <c r="K280" s="12"/>
      <c r="L280" s="12"/>
      <c r="M280" s="12"/>
      <c r="N280" s="12"/>
      <c r="O280" s="12"/>
    </row>
    <row r="281" ht="13.5" customHeight="1">
      <c r="A281" s="17"/>
      <c r="B281" s="12"/>
      <c r="C281" s="12"/>
      <c r="D281" s="17"/>
      <c r="E281" s="17"/>
      <c r="F281" s="12"/>
      <c r="G281" s="17"/>
      <c r="H281" s="12"/>
      <c r="I281" s="12"/>
      <c r="J281" s="12"/>
      <c r="K281" s="12"/>
      <c r="L281" s="12"/>
      <c r="M281" s="12"/>
      <c r="N281" s="12"/>
      <c r="O281" s="12"/>
    </row>
    <row r="282" ht="13.5" customHeight="1">
      <c r="A282" s="17"/>
      <c r="B282" s="12"/>
      <c r="C282" s="12"/>
      <c r="D282" s="17"/>
      <c r="E282" s="17"/>
      <c r="F282" s="12"/>
      <c r="G282" s="17"/>
      <c r="H282" s="12"/>
      <c r="I282" s="12"/>
      <c r="J282" s="12"/>
      <c r="K282" s="12"/>
      <c r="L282" s="12"/>
      <c r="M282" s="12"/>
      <c r="N282" s="12"/>
      <c r="O282" s="12"/>
    </row>
    <row r="283" ht="13.5" customHeight="1">
      <c r="A283" s="17"/>
      <c r="B283" s="12"/>
      <c r="C283" s="12"/>
      <c r="D283" s="17"/>
      <c r="E283" s="17"/>
      <c r="F283" s="12"/>
      <c r="G283" s="17"/>
      <c r="H283" s="12"/>
      <c r="I283" s="12"/>
      <c r="J283" s="12"/>
      <c r="K283" s="12"/>
      <c r="L283" s="12"/>
      <c r="M283" s="12"/>
      <c r="N283" s="12"/>
      <c r="O283" s="12"/>
    </row>
    <row r="284" ht="13.5" customHeight="1">
      <c r="A284" s="17"/>
      <c r="B284" s="12"/>
      <c r="C284" s="12"/>
      <c r="D284" s="17"/>
      <c r="E284" s="17"/>
      <c r="F284" s="12"/>
      <c r="G284" s="17"/>
      <c r="H284" s="12"/>
      <c r="I284" s="12"/>
      <c r="J284" s="12"/>
      <c r="K284" s="12"/>
      <c r="L284" s="12"/>
      <c r="M284" s="12"/>
      <c r="N284" s="12"/>
      <c r="O284" s="12"/>
    </row>
    <row r="285" ht="13.5" customHeight="1">
      <c r="A285" s="17"/>
      <c r="B285" s="12"/>
      <c r="C285" s="12"/>
      <c r="D285" s="17"/>
      <c r="E285" s="17"/>
      <c r="F285" s="12"/>
      <c r="G285" s="17"/>
      <c r="H285" s="12"/>
      <c r="I285" s="12"/>
      <c r="J285" s="12"/>
      <c r="K285" s="12"/>
      <c r="L285" s="12"/>
      <c r="M285" s="12"/>
      <c r="N285" s="12"/>
      <c r="O285" s="12"/>
    </row>
    <row r="286" ht="13.5" customHeight="1">
      <c r="A286" s="17"/>
      <c r="B286" s="12"/>
      <c r="C286" s="12"/>
      <c r="D286" s="17"/>
      <c r="E286" s="17"/>
      <c r="F286" s="12"/>
      <c r="G286" s="17"/>
      <c r="H286" s="12"/>
      <c r="I286" s="12"/>
      <c r="J286" s="12"/>
      <c r="K286" s="12"/>
      <c r="L286" s="12"/>
      <c r="M286" s="12"/>
      <c r="N286" s="12"/>
      <c r="O286" s="12"/>
    </row>
    <row r="287" ht="13.5" customHeight="1">
      <c r="A287" s="17"/>
      <c r="B287" s="12"/>
      <c r="C287" s="12"/>
      <c r="D287" s="17"/>
      <c r="E287" s="17"/>
      <c r="F287" s="12"/>
      <c r="G287" s="17"/>
      <c r="H287" s="12"/>
      <c r="I287" s="12"/>
      <c r="J287" s="12"/>
      <c r="K287" s="12"/>
      <c r="L287" s="12"/>
      <c r="M287" s="12"/>
      <c r="N287" s="12"/>
      <c r="O287" s="12"/>
    </row>
    <row r="288" ht="13.5" customHeight="1">
      <c r="A288" s="17"/>
      <c r="B288" s="12"/>
      <c r="C288" s="12"/>
      <c r="D288" s="17"/>
      <c r="E288" s="17"/>
      <c r="F288" s="12"/>
      <c r="G288" s="17"/>
      <c r="H288" s="12"/>
      <c r="I288" s="12"/>
      <c r="J288" s="12"/>
      <c r="K288" s="12"/>
      <c r="L288" s="12"/>
      <c r="M288" s="12"/>
      <c r="N288" s="12"/>
      <c r="O288" s="12"/>
    </row>
    <row r="289" ht="13.5" customHeight="1">
      <c r="A289" s="17"/>
      <c r="B289" s="12"/>
      <c r="C289" s="12"/>
      <c r="D289" s="17"/>
      <c r="E289" s="17"/>
      <c r="F289" s="12"/>
      <c r="G289" s="17"/>
      <c r="H289" s="12"/>
      <c r="I289" s="12"/>
      <c r="J289" s="12"/>
      <c r="K289" s="12"/>
      <c r="L289" s="12"/>
      <c r="M289" s="12"/>
      <c r="N289" s="12"/>
      <c r="O289" s="12"/>
    </row>
    <row r="290" ht="13.5" customHeight="1">
      <c r="A290" s="17"/>
      <c r="B290" s="12"/>
      <c r="C290" s="12"/>
      <c r="D290" s="17"/>
      <c r="E290" s="17"/>
      <c r="F290" s="12"/>
      <c r="G290" s="17"/>
      <c r="H290" s="12"/>
      <c r="I290" s="12"/>
      <c r="J290" s="12"/>
      <c r="K290" s="12"/>
      <c r="L290" s="12"/>
      <c r="M290" s="12"/>
      <c r="N290" s="12"/>
      <c r="O290" s="12"/>
    </row>
    <row r="291" ht="13.5" customHeight="1">
      <c r="A291" s="17"/>
      <c r="B291" s="12"/>
      <c r="C291" s="12"/>
      <c r="D291" s="17"/>
      <c r="E291" s="17"/>
      <c r="F291" s="12"/>
      <c r="G291" s="17"/>
      <c r="H291" s="12"/>
      <c r="I291" s="12"/>
      <c r="J291" s="12"/>
      <c r="K291" s="12"/>
      <c r="L291" s="12"/>
      <c r="M291" s="12"/>
      <c r="N291" s="12"/>
      <c r="O291" s="12"/>
    </row>
    <row r="292" ht="13.5" customHeight="1">
      <c r="A292" s="17"/>
      <c r="B292" s="12"/>
      <c r="C292" s="12"/>
      <c r="D292" s="17"/>
      <c r="E292" s="17"/>
      <c r="F292" s="12"/>
      <c r="G292" s="17"/>
      <c r="H292" s="12"/>
      <c r="I292" s="12"/>
      <c r="J292" s="12"/>
      <c r="K292" s="12"/>
      <c r="L292" s="12"/>
      <c r="M292" s="12"/>
      <c r="N292" s="12"/>
      <c r="O292" s="12"/>
    </row>
    <row r="293" ht="13.5" customHeight="1">
      <c r="A293" s="17"/>
      <c r="B293" s="12"/>
      <c r="C293" s="12"/>
      <c r="D293" s="17"/>
      <c r="E293" s="17"/>
      <c r="F293" s="12"/>
      <c r="G293" s="17"/>
      <c r="H293" s="12"/>
      <c r="I293" s="12"/>
      <c r="J293" s="12"/>
      <c r="K293" s="12"/>
      <c r="L293" s="12"/>
      <c r="M293" s="12"/>
      <c r="N293" s="12"/>
      <c r="O293" s="12"/>
    </row>
    <row r="294" ht="13.5" customHeight="1">
      <c r="A294" s="17"/>
      <c r="B294" s="12"/>
      <c r="C294" s="12"/>
      <c r="D294" s="17"/>
      <c r="E294" s="17"/>
      <c r="F294" s="12"/>
      <c r="G294" s="17"/>
      <c r="H294" s="12"/>
      <c r="I294" s="12"/>
      <c r="J294" s="12"/>
      <c r="K294" s="12"/>
      <c r="L294" s="12"/>
      <c r="M294" s="12"/>
      <c r="N294" s="12"/>
      <c r="O294" s="12"/>
    </row>
    <row r="295" ht="13.5" customHeight="1">
      <c r="A295" s="17"/>
      <c r="B295" s="12"/>
      <c r="C295" s="12"/>
      <c r="D295" s="17"/>
      <c r="E295" s="17"/>
      <c r="F295" s="12"/>
      <c r="G295" s="17"/>
      <c r="H295" s="12"/>
      <c r="I295" s="12"/>
      <c r="J295" s="12"/>
      <c r="K295" s="12"/>
      <c r="L295" s="12"/>
      <c r="M295" s="12"/>
      <c r="N295" s="12"/>
      <c r="O295" s="12"/>
    </row>
    <row r="296" ht="13.5" customHeight="1">
      <c r="A296" s="17"/>
      <c r="B296" s="12"/>
      <c r="C296" s="12"/>
      <c r="D296" s="17"/>
      <c r="E296" s="17"/>
      <c r="F296" s="12"/>
      <c r="G296" s="17"/>
      <c r="H296" s="12"/>
      <c r="I296" s="12"/>
      <c r="J296" s="12"/>
      <c r="K296" s="12"/>
      <c r="L296" s="12"/>
      <c r="M296" s="12"/>
      <c r="N296" s="12"/>
      <c r="O296" s="12"/>
    </row>
    <row r="297" ht="13.5" customHeight="1">
      <c r="A297" s="17"/>
      <c r="B297" s="12"/>
      <c r="C297" s="12"/>
      <c r="D297" s="17"/>
      <c r="E297" s="17"/>
      <c r="F297" s="12"/>
      <c r="G297" s="17"/>
      <c r="H297" s="12"/>
      <c r="I297" s="12"/>
      <c r="J297" s="12"/>
      <c r="K297" s="12"/>
      <c r="L297" s="12"/>
      <c r="M297" s="12"/>
      <c r="N297" s="12"/>
      <c r="O297" s="12"/>
    </row>
    <row r="298" ht="13.5" customHeight="1">
      <c r="A298" s="17"/>
      <c r="B298" s="12"/>
      <c r="C298" s="12"/>
      <c r="D298" s="17"/>
      <c r="E298" s="17"/>
      <c r="F298" s="12"/>
      <c r="G298" s="17"/>
      <c r="H298" s="12"/>
      <c r="I298" s="12"/>
      <c r="J298" s="12"/>
      <c r="K298" s="12"/>
      <c r="L298" s="12"/>
      <c r="M298" s="12"/>
      <c r="N298" s="12"/>
      <c r="O298" s="12"/>
    </row>
    <row r="299" ht="13.5" customHeight="1">
      <c r="A299" s="17"/>
      <c r="B299" s="12"/>
      <c r="C299" s="12"/>
      <c r="D299" s="17"/>
      <c r="E299" s="17"/>
      <c r="F299" s="12"/>
      <c r="G299" s="17"/>
      <c r="H299" s="12"/>
      <c r="I299" s="12"/>
      <c r="J299" s="12"/>
      <c r="K299" s="12"/>
      <c r="L299" s="12"/>
      <c r="M299" s="12"/>
      <c r="N299" s="12"/>
      <c r="O299" s="12"/>
    </row>
    <row r="300" ht="13.5" customHeight="1">
      <c r="A300" s="17"/>
      <c r="B300" s="12"/>
      <c r="C300" s="12"/>
      <c r="D300" s="17"/>
      <c r="E300" s="17"/>
      <c r="F300" s="12"/>
      <c r="G300" s="17"/>
      <c r="H300" s="12"/>
      <c r="I300" s="12"/>
      <c r="J300" s="12"/>
      <c r="K300" s="12"/>
      <c r="L300" s="12"/>
      <c r="M300" s="12"/>
      <c r="N300" s="12"/>
      <c r="O300" s="12"/>
    </row>
    <row r="301" ht="13.5" customHeight="1">
      <c r="A301" s="17"/>
      <c r="B301" s="12"/>
      <c r="C301" s="12"/>
      <c r="D301" s="17"/>
      <c r="E301" s="17"/>
      <c r="F301" s="12"/>
      <c r="G301" s="17"/>
      <c r="H301" s="12"/>
      <c r="I301" s="12"/>
      <c r="J301" s="12"/>
      <c r="K301" s="12"/>
      <c r="L301" s="12"/>
      <c r="M301" s="12"/>
      <c r="N301" s="12"/>
      <c r="O301" s="12"/>
    </row>
    <row r="302" ht="13.5" customHeight="1">
      <c r="A302" s="17"/>
      <c r="B302" s="12"/>
      <c r="C302" s="12"/>
      <c r="D302" s="17"/>
      <c r="E302" s="17"/>
      <c r="F302" s="12"/>
      <c r="G302" s="17"/>
      <c r="H302" s="12"/>
      <c r="I302" s="12"/>
      <c r="J302" s="12"/>
      <c r="K302" s="12"/>
      <c r="L302" s="12"/>
      <c r="M302" s="12"/>
      <c r="N302" s="12"/>
      <c r="O302" s="12"/>
    </row>
    <row r="303" ht="13.5" customHeight="1">
      <c r="A303" s="17"/>
      <c r="B303" s="12"/>
      <c r="C303" s="12"/>
      <c r="D303" s="17"/>
      <c r="E303" s="17"/>
      <c r="F303" s="12"/>
      <c r="G303" s="17"/>
      <c r="H303" s="12"/>
      <c r="I303" s="12"/>
      <c r="J303" s="12"/>
      <c r="K303" s="12"/>
      <c r="L303" s="12"/>
      <c r="M303" s="12"/>
      <c r="N303" s="12"/>
      <c r="O303" s="12"/>
    </row>
    <row r="304" ht="13.5" customHeight="1">
      <c r="A304" s="17"/>
      <c r="B304" s="12"/>
      <c r="C304" s="12"/>
      <c r="D304" s="17"/>
      <c r="E304" s="17"/>
      <c r="F304" s="12"/>
      <c r="G304" s="17"/>
      <c r="H304" s="12"/>
      <c r="I304" s="12"/>
      <c r="J304" s="12"/>
      <c r="K304" s="12"/>
      <c r="L304" s="12"/>
      <c r="M304" s="12"/>
      <c r="N304" s="12"/>
      <c r="O304" s="12"/>
    </row>
    <row r="305" ht="13.5" customHeight="1">
      <c r="A305" s="17"/>
      <c r="B305" s="12"/>
      <c r="C305" s="12"/>
      <c r="D305" s="17"/>
      <c r="E305" s="17"/>
      <c r="F305" s="12"/>
      <c r="G305" s="17"/>
      <c r="H305" s="12"/>
      <c r="I305" s="12"/>
      <c r="J305" s="12"/>
      <c r="K305" s="12"/>
      <c r="L305" s="12"/>
      <c r="M305" s="12"/>
      <c r="N305" s="12"/>
      <c r="O305" s="12"/>
    </row>
    <row r="306" ht="13.5" customHeight="1">
      <c r="A306" s="17"/>
      <c r="B306" s="12"/>
      <c r="C306" s="12"/>
      <c r="D306" s="17"/>
      <c r="E306" s="17"/>
      <c r="F306" s="12"/>
      <c r="G306" s="17"/>
      <c r="H306" s="12"/>
      <c r="I306" s="12"/>
      <c r="J306" s="12"/>
      <c r="K306" s="12"/>
      <c r="L306" s="12"/>
      <c r="M306" s="12"/>
      <c r="N306" s="12"/>
      <c r="O306" s="12"/>
    </row>
    <row r="307" ht="13.5" customHeight="1">
      <c r="A307" s="17"/>
      <c r="B307" s="12"/>
      <c r="C307" s="12"/>
      <c r="D307" s="17"/>
      <c r="E307" s="17"/>
      <c r="F307" s="12"/>
      <c r="G307" s="17"/>
      <c r="H307" s="12"/>
      <c r="I307" s="12"/>
      <c r="J307" s="12"/>
      <c r="K307" s="12"/>
      <c r="L307" s="12"/>
      <c r="M307" s="12"/>
      <c r="N307" s="12"/>
      <c r="O307" s="12"/>
    </row>
    <row r="308" ht="13.5" customHeight="1">
      <c r="A308" s="17"/>
      <c r="B308" s="12"/>
      <c r="C308" s="12"/>
      <c r="D308" s="17"/>
      <c r="E308" s="17"/>
      <c r="F308" s="12"/>
      <c r="G308" s="17"/>
      <c r="H308" s="12"/>
      <c r="I308" s="12"/>
      <c r="J308" s="12"/>
      <c r="K308" s="12"/>
      <c r="L308" s="12"/>
      <c r="M308" s="12"/>
      <c r="N308" s="12"/>
      <c r="O308" s="12"/>
    </row>
    <row r="309" ht="13.5" customHeight="1">
      <c r="A309" s="17"/>
      <c r="B309" s="12"/>
      <c r="C309" s="12"/>
      <c r="D309" s="17"/>
      <c r="E309" s="17"/>
      <c r="F309" s="12"/>
      <c r="G309" s="17"/>
      <c r="H309" s="12"/>
      <c r="I309" s="12"/>
      <c r="J309" s="12"/>
      <c r="K309" s="12"/>
      <c r="L309" s="12"/>
      <c r="M309" s="12"/>
      <c r="N309" s="12"/>
      <c r="O309" s="12"/>
    </row>
    <row r="310" ht="13.5" customHeight="1">
      <c r="A310" s="17"/>
      <c r="B310" s="12"/>
      <c r="C310" s="12"/>
      <c r="D310" s="17"/>
      <c r="E310" s="17"/>
      <c r="F310" s="12"/>
      <c r="G310" s="17"/>
      <c r="H310" s="12"/>
      <c r="I310" s="12"/>
      <c r="J310" s="12"/>
      <c r="K310" s="12"/>
      <c r="L310" s="12"/>
      <c r="M310" s="12"/>
      <c r="N310" s="12"/>
      <c r="O310" s="12"/>
    </row>
    <row r="311" ht="13.5" customHeight="1">
      <c r="A311" s="17"/>
      <c r="B311" s="12"/>
      <c r="C311" s="12"/>
      <c r="D311" s="17"/>
      <c r="E311" s="17"/>
      <c r="F311" s="12"/>
      <c r="G311" s="17"/>
      <c r="H311" s="12"/>
      <c r="I311" s="12"/>
      <c r="J311" s="12"/>
      <c r="K311" s="12"/>
      <c r="L311" s="12"/>
      <c r="M311" s="12"/>
      <c r="N311" s="12"/>
      <c r="O311" s="12"/>
    </row>
    <row r="312" ht="13.5" customHeight="1">
      <c r="A312" s="17"/>
      <c r="B312" s="12"/>
      <c r="C312" s="12"/>
      <c r="D312" s="17"/>
      <c r="E312" s="17"/>
      <c r="F312" s="12"/>
      <c r="G312" s="17"/>
      <c r="H312" s="12"/>
      <c r="I312" s="12"/>
      <c r="J312" s="12"/>
      <c r="K312" s="12"/>
      <c r="L312" s="12"/>
      <c r="M312" s="12"/>
      <c r="N312" s="12"/>
      <c r="O312" s="12"/>
    </row>
    <row r="313" ht="13.5" customHeight="1">
      <c r="A313" s="17"/>
      <c r="B313" s="12"/>
      <c r="C313" s="12"/>
      <c r="D313" s="17"/>
      <c r="E313" s="17"/>
      <c r="F313" s="12"/>
      <c r="G313" s="17"/>
      <c r="H313" s="12"/>
      <c r="I313" s="12"/>
      <c r="J313" s="12"/>
      <c r="K313" s="12"/>
      <c r="L313" s="12"/>
      <c r="M313" s="12"/>
      <c r="N313" s="12"/>
      <c r="O313" s="12"/>
    </row>
    <row r="314" ht="13.5" customHeight="1">
      <c r="A314" s="17"/>
      <c r="B314" s="12"/>
      <c r="C314" s="12"/>
      <c r="D314" s="17"/>
      <c r="E314" s="17"/>
      <c r="F314" s="12"/>
      <c r="G314" s="17"/>
      <c r="H314" s="12"/>
      <c r="I314" s="12"/>
      <c r="J314" s="12"/>
      <c r="K314" s="12"/>
      <c r="L314" s="12"/>
      <c r="M314" s="12"/>
      <c r="N314" s="12"/>
      <c r="O314" s="12"/>
    </row>
    <row r="315" ht="13.5" customHeight="1">
      <c r="A315" s="17"/>
      <c r="B315" s="12"/>
      <c r="C315" s="12"/>
      <c r="D315" s="17"/>
      <c r="E315" s="17"/>
      <c r="F315" s="12"/>
      <c r="G315" s="17"/>
      <c r="H315" s="12"/>
      <c r="I315" s="12"/>
      <c r="J315" s="12"/>
      <c r="K315" s="12"/>
      <c r="L315" s="12"/>
      <c r="M315" s="12"/>
      <c r="N315" s="12"/>
      <c r="O315" s="12"/>
    </row>
    <row r="316" ht="13.5" customHeight="1">
      <c r="A316" s="17"/>
      <c r="B316" s="12"/>
      <c r="C316" s="12"/>
      <c r="D316" s="17"/>
      <c r="E316" s="17"/>
      <c r="F316" s="12"/>
      <c r="G316" s="17"/>
      <c r="H316" s="12"/>
      <c r="I316" s="12"/>
      <c r="J316" s="12"/>
      <c r="K316" s="12"/>
      <c r="L316" s="12"/>
      <c r="M316" s="12"/>
      <c r="N316" s="12"/>
      <c r="O316" s="12"/>
    </row>
    <row r="317" ht="13.5" customHeight="1">
      <c r="A317" s="17"/>
      <c r="B317" s="12"/>
      <c r="C317" s="12"/>
      <c r="D317" s="17"/>
      <c r="E317" s="17"/>
      <c r="F317" s="12"/>
      <c r="G317" s="17"/>
      <c r="H317" s="12"/>
      <c r="I317" s="12"/>
      <c r="J317" s="12"/>
      <c r="K317" s="12"/>
      <c r="L317" s="12"/>
      <c r="M317" s="12"/>
      <c r="N317" s="12"/>
      <c r="O317" s="12"/>
    </row>
    <row r="318" ht="13.5" customHeight="1">
      <c r="A318" s="17"/>
      <c r="B318" s="12"/>
      <c r="C318" s="12"/>
      <c r="D318" s="17"/>
      <c r="E318" s="17"/>
      <c r="F318" s="12"/>
      <c r="G318" s="17"/>
      <c r="H318" s="12"/>
      <c r="I318" s="12"/>
      <c r="J318" s="12"/>
      <c r="K318" s="12"/>
      <c r="L318" s="12"/>
      <c r="M318" s="12"/>
      <c r="N318" s="12"/>
      <c r="O318" s="12"/>
    </row>
    <row r="319" ht="13.5" customHeight="1">
      <c r="A319" s="17"/>
      <c r="B319" s="12"/>
      <c r="C319" s="12"/>
      <c r="D319" s="17"/>
      <c r="E319" s="17"/>
      <c r="F319" s="12"/>
      <c r="G319" s="17"/>
      <c r="H319" s="12"/>
      <c r="I319" s="12"/>
      <c r="J319" s="12"/>
      <c r="K319" s="12"/>
      <c r="L319" s="12"/>
      <c r="M319" s="12"/>
      <c r="N319" s="12"/>
      <c r="O319" s="12"/>
    </row>
    <row r="320" ht="13.5" customHeight="1">
      <c r="A320" s="17"/>
      <c r="B320" s="12"/>
      <c r="C320" s="12"/>
      <c r="D320" s="17"/>
      <c r="E320" s="17"/>
      <c r="F320" s="12"/>
      <c r="G320" s="17"/>
      <c r="H320" s="12"/>
      <c r="I320" s="12"/>
      <c r="J320" s="12"/>
      <c r="K320" s="12"/>
      <c r="L320" s="12"/>
      <c r="M320" s="12"/>
      <c r="N320" s="12"/>
      <c r="O320" s="12"/>
    </row>
    <row r="321" ht="13.5" customHeight="1">
      <c r="A321" s="17"/>
      <c r="B321" s="12"/>
      <c r="C321" s="12"/>
      <c r="D321" s="17"/>
      <c r="E321" s="17"/>
      <c r="F321" s="12"/>
      <c r="G321" s="17"/>
      <c r="H321" s="12"/>
      <c r="I321" s="12"/>
      <c r="J321" s="12"/>
      <c r="K321" s="12"/>
      <c r="L321" s="12"/>
      <c r="M321" s="12"/>
      <c r="N321" s="12"/>
      <c r="O321" s="12"/>
    </row>
    <row r="322" ht="13.5" customHeight="1">
      <c r="A322" s="17"/>
      <c r="B322" s="12"/>
      <c r="C322" s="12"/>
      <c r="D322" s="17"/>
      <c r="E322" s="17"/>
      <c r="F322" s="12"/>
      <c r="G322" s="17"/>
      <c r="H322" s="12"/>
      <c r="I322" s="12"/>
      <c r="J322" s="12"/>
      <c r="K322" s="12"/>
      <c r="L322" s="12"/>
      <c r="M322" s="12"/>
      <c r="N322" s="12"/>
      <c r="O322" s="12"/>
    </row>
    <row r="323" ht="13.5" customHeight="1">
      <c r="A323" s="17"/>
      <c r="B323" s="12"/>
      <c r="C323" s="12"/>
      <c r="D323" s="17"/>
      <c r="E323" s="17"/>
      <c r="F323" s="12"/>
      <c r="G323" s="17"/>
      <c r="H323" s="12"/>
      <c r="I323" s="12"/>
      <c r="J323" s="12"/>
      <c r="K323" s="12"/>
      <c r="L323" s="12"/>
      <c r="M323" s="12"/>
      <c r="N323" s="12"/>
      <c r="O323" s="12"/>
    </row>
    <row r="324" ht="13.5" customHeight="1">
      <c r="A324" s="17"/>
      <c r="B324" s="12"/>
      <c r="C324" s="12"/>
      <c r="D324" s="17"/>
      <c r="E324" s="17"/>
      <c r="F324" s="12"/>
      <c r="G324" s="17"/>
      <c r="H324" s="12"/>
      <c r="I324" s="12"/>
      <c r="J324" s="12"/>
      <c r="K324" s="12"/>
      <c r="L324" s="12"/>
      <c r="M324" s="12"/>
      <c r="N324" s="12"/>
      <c r="O324" s="12"/>
    </row>
    <row r="325" ht="13.5" customHeight="1">
      <c r="A325" s="17"/>
      <c r="B325" s="12"/>
      <c r="C325" s="12"/>
      <c r="D325" s="17"/>
      <c r="E325" s="17"/>
      <c r="F325" s="12"/>
      <c r="G325" s="17"/>
      <c r="H325" s="12"/>
      <c r="I325" s="12"/>
      <c r="J325" s="12"/>
      <c r="K325" s="12"/>
      <c r="L325" s="12"/>
      <c r="M325" s="12"/>
      <c r="N325" s="12"/>
      <c r="O325" s="12"/>
    </row>
    <row r="326" ht="13.5" customHeight="1">
      <c r="A326" s="17"/>
      <c r="B326" s="12"/>
      <c r="C326" s="12"/>
      <c r="D326" s="17"/>
      <c r="E326" s="17"/>
      <c r="F326" s="12"/>
      <c r="G326" s="17"/>
      <c r="H326" s="12"/>
      <c r="I326" s="12"/>
      <c r="J326" s="12"/>
      <c r="K326" s="12"/>
      <c r="L326" s="12"/>
      <c r="M326" s="12"/>
      <c r="N326" s="12"/>
      <c r="O326" s="12"/>
    </row>
    <row r="327" ht="13.5" customHeight="1">
      <c r="A327" s="17"/>
      <c r="B327" s="12"/>
      <c r="C327" s="12"/>
      <c r="D327" s="17"/>
      <c r="E327" s="17"/>
      <c r="F327" s="12"/>
      <c r="G327" s="17"/>
      <c r="H327" s="12"/>
      <c r="I327" s="12"/>
      <c r="J327" s="12"/>
      <c r="K327" s="12"/>
      <c r="L327" s="12"/>
      <c r="M327" s="12"/>
      <c r="N327" s="12"/>
      <c r="O327" s="12"/>
    </row>
    <row r="328" ht="13.5" customHeight="1">
      <c r="A328" s="17"/>
      <c r="B328" s="12"/>
      <c r="C328" s="12"/>
      <c r="D328" s="17"/>
      <c r="E328" s="17"/>
      <c r="F328" s="12"/>
      <c r="G328" s="17"/>
      <c r="H328" s="12"/>
      <c r="I328" s="12"/>
      <c r="J328" s="12"/>
      <c r="K328" s="12"/>
      <c r="L328" s="12"/>
      <c r="M328" s="12"/>
      <c r="N328" s="12"/>
      <c r="O328" s="12"/>
    </row>
    <row r="329" ht="13.5" customHeight="1">
      <c r="A329" s="17"/>
      <c r="B329" s="12"/>
      <c r="C329" s="12"/>
      <c r="D329" s="17"/>
      <c r="E329" s="17"/>
      <c r="F329" s="12"/>
      <c r="G329" s="17"/>
      <c r="H329" s="12"/>
      <c r="I329" s="12"/>
      <c r="J329" s="12"/>
      <c r="K329" s="12"/>
      <c r="L329" s="12"/>
      <c r="M329" s="12"/>
      <c r="N329" s="12"/>
      <c r="O329" s="12"/>
    </row>
    <row r="330" ht="13.5" customHeight="1">
      <c r="A330" s="17"/>
      <c r="B330" s="12"/>
      <c r="C330" s="12"/>
      <c r="D330" s="17"/>
      <c r="E330" s="17"/>
      <c r="F330" s="12"/>
      <c r="G330" s="17"/>
      <c r="H330" s="12"/>
      <c r="I330" s="12"/>
      <c r="J330" s="12"/>
      <c r="K330" s="12"/>
      <c r="L330" s="12"/>
      <c r="M330" s="12"/>
      <c r="N330" s="12"/>
      <c r="O330" s="12"/>
    </row>
    <row r="331" ht="13.5" customHeight="1">
      <c r="A331" s="17"/>
      <c r="B331" s="12"/>
      <c r="C331" s="12"/>
      <c r="D331" s="17"/>
      <c r="E331" s="17"/>
      <c r="F331" s="12"/>
      <c r="G331" s="17"/>
      <c r="H331" s="12"/>
      <c r="I331" s="12"/>
      <c r="J331" s="12"/>
      <c r="K331" s="12"/>
      <c r="L331" s="12"/>
      <c r="M331" s="12"/>
      <c r="N331" s="12"/>
      <c r="O331" s="12"/>
    </row>
    <row r="332" ht="13.5" customHeight="1">
      <c r="A332" s="17"/>
      <c r="B332" s="12"/>
      <c r="C332" s="12"/>
      <c r="D332" s="17"/>
      <c r="E332" s="17"/>
      <c r="F332" s="12"/>
      <c r="G332" s="17"/>
      <c r="H332" s="12"/>
      <c r="I332" s="12"/>
      <c r="J332" s="12"/>
      <c r="K332" s="12"/>
      <c r="L332" s="12"/>
      <c r="M332" s="12"/>
      <c r="N332" s="12"/>
      <c r="O332" s="12"/>
    </row>
    <row r="333" ht="13.5" customHeight="1">
      <c r="A333" s="17"/>
      <c r="B333" s="12"/>
      <c r="C333" s="12"/>
      <c r="D333" s="17"/>
      <c r="E333" s="17"/>
      <c r="F333" s="12"/>
      <c r="G333" s="17"/>
      <c r="H333" s="12"/>
      <c r="I333" s="12"/>
      <c r="J333" s="12"/>
      <c r="K333" s="12"/>
      <c r="L333" s="12"/>
      <c r="M333" s="12"/>
      <c r="N333" s="12"/>
      <c r="O333" s="12"/>
    </row>
    <row r="334" ht="13.5" customHeight="1">
      <c r="A334" s="17"/>
      <c r="B334" s="12"/>
      <c r="C334" s="12"/>
      <c r="D334" s="17"/>
      <c r="E334" s="17"/>
      <c r="F334" s="12"/>
      <c r="G334" s="17"/>
      <c r="H334" s="12"/>
      <c r="I334" s="12"/>
      <c r="J334" s="12"/>
      <c r="K334" s="12"/>
      <c r="L334" s="12"/>
      <c r="M334" s="12"/>
      <c r="N334" s="12"/>
      <c r="O334" s="12"/>
    </row>
    <row r="335" ht="13.5" customHeight="1">
      <c r="A335" s="17"/>
      <c r="B335" s="12"/>
      <c r="C335" s="12"/>
      <c r="D335" s="17"/>
      <c r="E335" s="17"/>
      <c r="F335" s="12"/>
      <c r="G335" s="17"/>
      <c r="H335" s="12"/>
      <c r="I335" s="12"/>
      <c r="J335" s="12"/>
      <c r="K335" s="12"/>
      <c r="L335" s="12"/>
      <c r="M335" s="12"/>
      <c r="N335" s="12"/>
      <c r="O335" s="12"/>
    </row>
    <row r="336" ht="13.5" customHeight="1">
      <c r="A336" s="17"/>
      <c r="B336" s="12"/>
      <c r="C336" s="12"/>
      <c r="D336" s="17"/>
      <c r="E336" s="17"/>
      <c r="F336" s="12"/>
      <c r="G336" s="17"/>
      <c r="H336" s="12"/>
      <c r="I336" s="12"/>
      <c r="J336" s="12"/>
      <c r="K336" s="12"/>
      <c r="L336" s="12"/>
      <c r="M336" s="12"/>
      <c r="N336" s="12"/>
      <c r="O336" s="12"/>
    </row>
    <row r="337" ht="13.5" customHeight="1">
      <c r="A337" s="17"/>
      <c r="B337" s="12"/>
      <c r="C337" s="12"/>
      <c r="D337" s="17"/>
      <c r="E337" s="17"/>
      <c r="F337" s="12"/>
      <c r="G337" s="17"/>
      <c r="H337" s="12"/>
      <c r="I337" s="12"/>
      <c r="J337" s="12"/>
      <c r="K337" s="12"/>
      <c r="L337" s="12"/>
      <c r="M337" s="12"/>
      <c r="N337" s="12"/>
      <c r="O337" s="12"/>
    </row>
    <row r="338" ht="13.5" customHeight="1">
      <c r="A338" s="17"/>
      <c r="B338" s="12"/>
      <c r="C338" s="12"/>
      <c r="D338" s="17"/>
      <c r="E338" s="17"/>
      <c r="F338" s="12"/>
      <c r="G338" s="17"/>
      <c r="H338" s="12"/>
      <c r="I338" s="12"/>
      <c r="J338" s="12"/>
      <c r="K338" s="12"/>
      <c r="L338" s="12"/>
      <c r="M338" s="12"/>
      <c r="N338" s="12"/>
      <c r="O338" s="12"/>
    </row>
    <row r="339" ht="13.5" customHeight="1">
      <c r="A339" s="17"/>
      <c r="B339" s="12"/>
      <c r="C339" s="12"/>
      <c r="D339" s="17"/>
      <c r="E339" s="17"/>
      <c r="F339" s="12"/>
      <c r="G339" s="17"/>
      <c r="H339" s="12"/>
      <c r="I339" s="12"/>
      <c r="J339" s="12"/>
      <c r="K339" s="12"/>
      <c r="L339" s="12"/>
      <c r="M339" s="12"/>
      <c r="N339" s="12"/>
      <c r="O339" s="12"/>
    </row>
    <row r="340" ht="13.5" customHeight="1">
      <c r="A340" s="17"/>
      <c r="B340" s="12"/>
      <c r="C340" s="12"/>
      <c r="D340" s="17"/>
      <c r="E340" s="17"/>
      <c r="F340" s="12"/>
      <c r="G340" s="17"/>
      <c r="H340" s="12"/>
      <c r="I340" s="12"/>
      <c r="J340" s="12"/>
      <c r="K340" s="12"/>
      <c r="L340" s="12"/>
      <c r="M340" s="12"/>
      <c r="N340" s="12"/>
      <c r="O340" s="12"/>
    </row>
    <row r="341" ht="13.5" customHeight="1">
      <c r="A341" s="17"/>
      <c r="B341" s="12"/>
      <c r="C341" s="12"/>
      <c r="D341" s="17"/>
      <c r="E341" s="17"/>
      <c r="F341" s="12"/>
      <c r="G341" s="17"/>
      <c r="H341" s="12"/>
      <c r="I341" s="12"/>
      <c r="J341" s="12"/>
      <c r="K341" s="12"/>
      <c r="L341" s="12"/>
      <c r="M341" s="12"/>
      <c r="N341" s="12"/>
      <c r="O341" s="12"/>
    </row>
    <row r="342" ht="13.5" customHeight="1">
      <c r="A342" s="17"/>
      <c r="B342" s="12"/>
      <c r="C342" s="12"/>
      <c r="D342" s="17"/>
      <c r="E342" s="17"/>
      <c r="F342" s="12"/>
      <c r="G342" s="17"/>
      <c r="H342" s="12"/>
      <c r="I342" s="12"/>
      <c r="J342" s="12"/>
      <c r="K342" s="12"/>
      <c r="L342" s="12"/>
      <c r="M342" s="12"/>
      <c r="N342" s="12"/>
      <c r="O342" s="12"/>
    </row>
    <row r="343" ht="13.5" customHeight="1">
      <c r="A343" s="17"/>
      <c r="B343" s="12"/>
      <c r="C343" s="12"/>
      <c r="D343" s="17"/>
      <c r="E343" s="17"/>
      <c r="F343" s="12"/>
      <c r="G343" s="17"/>
      <c r="H343" s="12"/>
      <c r="I343" s="12"/>
      <c r="J343" s="12"/>
      <c r="K343" s="12"/>
      <c r="L343" s="12"/>
      <c r="M343" s="12"/>
      <c r="N343" s="12"/>
      <c r="O343" s="12"/>
    </row>
    <row r="344" ht="13.5" customHeight="1">
      <c r="A344" s="17"/>
      <c r="B344" s="12"/>
      <c r="C344" s="12"/>
      <c r="D344" s="17"/>
      <c r="E344" s="17"/>
      <c r="F344" s="12"/>
      <c r="G344" s="17"/>
      <c r="H344" s="12"/>
      <c r="I344" s="12"/>
      <c r="J344" s="12"/>
      <c r="K344" s="12"/>
      <c r="L344" s="12"/>
      <c r="M344" s="12"/>
      <c r="N344" s="12"/>
      <c r="O344" s="12"/>
    </row>
    <row r="345" ht="13.5" customHeight="1">
      <c r="A345" s="17"/>
      <c r="B345" s="12"/>
      <c r="C345" s="12"/>
      <c r="D345" s="17"/>
      <c r="E345" s="17"/>
      <c r="F345" s="12"/>
      <c r="G345" s="17"/>
      <c r="H345" s="12"/>
      <c r="I345" s="12"/>
      <c r="J345" s="12"/>
      <c r="K345" s="12"/>
      <c r="L345" s="12"/>
      <c r="M345" s="12"/>
      <c r="N345" s="12"/>
      <c r="O345" s="12"/>
    </row>
    <row r="346" ht="13.5" customHeight="1">
      <c r="A346" s="17"/>
      <c r="B346" s="12"/>
      <c r="C346" s="12"/>
      <c r="D346" s="17"/>
      <c r="E346" s="17"/>
      <c r="F346" s="12"/>
      <c r="G346" s="17"/>
      <c r="H346" s="12"/>
      <c r="I346" s="12"/>
      <c r="J346" s="12"/>
      <c r="K346" s="12"/>
      <c r="L346" s="12"/>
      <c r="M346" s="12"/>
      <c r="N346" s="12"/>
      <c r="O346" s="12"/>
    </row>
    <row r="347" ht="13.5" customHeight="1">
      <c r="A347" s="17"/>
      <c r="B347" s="12"/>
      <c r="C347" s="12"/>
      <c r="D347" s="17"/>
      <c r="E347" s="17"/>
      <c r="F347" s="12"/>
      <c r="G347" s="17"/>
      <c r="H347" s="12"/>
      <c r="I347" s="12"/>
      <c r="J347" s="12"/>
      <c r="K347" s="12"/>
      <c r="L347" s="12"/>
      <c r="M347" s="12"/>
      <c r="N347" s="12"/>
      <c r="O347" s="12"/>
    </row>
    <row r="348" ht="13.5" customHeight="1">
      <c r="A348" s="17"/>
      <c r="B348" s="12"/>
      <c r="C348" s="12"/>
      <c r="D348" s="17"/>
      <c r="E348" s="17"/>
      <c r="F348" s="12"/>
      <c r="G348" s="17"/>
      <c r="H348" s="12"/>
      <c r="I348" s="12"/>
      <c r="J348" s="12"/>
      <c r="K348" s="12"/>
      <c r="L348" s="12"/>
      <c r="M348" s="12"/>
      <c r="N348" s="12"/>
      <c r="O348" s="12"/>
    </row>
    <row r="349" ht="13.5" customHeight="1">
      <c r="A349" s="17"/>
      <c r="B349" s="12"/>
      <c r="C349" s="12"/>
      <c r="D349" s="17"/>
      <c r="E349" s="17"/>
      <c r="F349" s="12"/>
      <c r="G349" s="17"/>
      <c r="H349" s="12"/>
      <c r="I349" s="12"/>
      <c r="J349" s="12"/>
      <c r="K349" s="12"/>
      <c r="L349" s="12"/>
      <c r="M349" s="12"/>
      <c r="N349" s="12"/>
      <c r="O349" s="12"/>
    </row>
    <row r="350" ht="13.5" customHeight="1">
      <c r="A350" s="17"/>
      <c r="B350" s="12"/>
      <c r="C350" s="12"/>
      <c r="D350" s="17"/>
      <c r="E350" s="17"/>
      <c r="F350" s="12"/>
      <c r="G350" s="17"/>
      <c r="H350" s="12"/>
      <c r="I350" s="12"/>
      <c r="J350" s="12"/>
      <c r="K350" s="12"/>
      <c r="L350" s="12"/>
      <c r="M350" s="12"/>
      <c r="N350" s="12"/>
      <c r="O350" s="12"/>
    </row>
    <row r="351" ht="13.5" customHeight="1">
      <c r="A351" s="17"/>
      <c r="B351" s="12"/>
      <c r="C351" s="12"/>
      <c r="D351" s="17"/>
      <c r="E351" s="17"/>
      <c r="F351" s="12"/>
      <c r="G351" s="17"/>
      <c r="H351" s="12"/>
      <c r="I351" s="12"/>
      <c r="J351" s="12"/>
      <c r="K351" s="12"/>
      <c r="L351" s="12"/>
      <c r="M351" s="12"/>
      <c r="N351" s="12"/>
      <c r="O351" s="12"/>
    </row>
    <row r="352" ht="13.5" customHeight="1">
      <c r="A352" s="17"/>
      <c r="B352" s="12"/>
      <c r="C352" s="12"/>
      <c r="D352" s="17"/>
      <c r="E352" s="17"/>
      <c r="F352" s="12"/>
      <c r="G352" s="17"/>
      <c r="H352" s="12"/>
      <c r="I352" s="12"/>
      <c r="J352" s="12"/>
      <c r="K352" s="12"/>
      <c r="L352" s="12"/>
      <c r="M352" s="12"/>
      <c r="N352" s="12"/>
      <c r="O352" s="12"/>
    </row>
    <row r="353" ht="13.5" customHeight="1">
      <c r="A353" s="17"/>
      <c r="B353" s="12"/>
      <c r="C353" s="12"/>
      <c r="D353" s="17"/>
      <c r="E353" s="17"/>
      <c r="F353" s="12"/>
      <c r="G353" s="17"/>
      <c r="H353" s="12"/>
      <c r="I353" s="12"/>
      <c r="J353" s="12"/>
      <c r="K353" s="12"/>
      <c r="L353" s="12"/>
      <c r="M353" s="12"/>
      <c r="N353" s="12"/>
      <c r="O353" s="12"/>
    </row>
    <row r="354" ht="13.5" customHeight="1">
      <c r="A354" s="17"/>
      <c r="B354" s="12"/>
      <c r="C354" s="12"/>
      <c r="D354" s="17"/>
      <c r="E354" s="17"/>
      <c r="F354" s="12"/>
      <c r="G354" s="17"/>
      <c r="H354" s="12"/>
      <c r="I354" s="12"/>
      <c r="J354" s="12"/>
      <c r="K354" s="12"/>
      <c r="L354" s="12"/>
      <c r="M354" s="12"/>
      <c r="N354" s="12"/>
      <c r="O354" s="12"/>
    </row>
    <row r="355" ht="13.5" customHeight="1">
      <c r="A355" s="17"/>
      <c r="B355" s="12"/>
      <c r="C355" s="12"/>
      <c r="D355" s="17"/>
      <c r="E355" s="17"/>
      <c r="F355" s="12"/>
      <c r="G355" s="17"/>
      <c r="H355" s="12"/>
      <c r="I355" s="12"/>
      <c r="J355" s="12"/>
      <c r="K355" s="12"/>
      <c r="L355" s="12"/>
      <c r="M355" s="12"/>
      <c r="N355" s="12"/>
      <c r="O355" s="12"/>
    </row>
    <row r="356" ht="13.5" customHeight="1">
      <c r="A356" s="17"/>
      <c r="B356" s="12"/>
      <c r="C356" s="12"/>
      <c r="D356" s="17"/>
      <c r="E356" s="17"/>
      <c r="F356" s="12"/>
      <c r="G356" s="17"/>
      <c r="H356" s="12"/>
      <c r="I356" s="12"/>
      <c r="J356" s="12"/>
      <c r="K356" s="12"/>
      <c r="L356" s="12"/>
      <c r="M356" s="12"/>
      <c r="N356" s="12"/>
      <c r="O356" s="12"/>
    </row>
    <row r="357" ht="13.5" customHeight="1">
      <c r="A357" s="17"/>
      <c r="B357" s="12"/>
      <c r="C357" s="12"/>
      <c r="D357" s="17"/>
      <c r="E357" s="17"/>
      <c r="F357" s="12"/>
      <c r="G357" s="17"/>
      <c r="H357" s="12"/>
      <c r="I357" s="12"/>
      <c r="J357" s="12"/>
      <c r="K357" s="12"/>
      <c r="L357" s="12"/>
      <c r="M357" s="12"/>
      <c r="N357" s="12"/>
      <c r="O357" s="12"/>
    </row>
    <row r="358" ht="13.5" customHeight="1">
      <c r="A358" s="17"/>
      <c r="B358" s="12"/>
      <c r="C358" s="12"/>
      <c r="D358" s="17"/>
      <c r="E358" s="17"/>
      <c r="F358" s="12"/>
      <c r="G358" s="17"/>
      <c r="H358" s="12"/>
      <c r="I358" s="12"/>
      <c r="J358" s="12"/>
      <c r="K358" s="12"/>
      <c r="L358" s="12"/>
      <c r="M358" s="12"/>
      <c r="N358" s="12"/>
      <c r="O358" s="12"/>
    </row>
    <row r="359" ht="13.5" customHeight="1">
      <c r="A359" s="17"/>
      <c r="B359" s="12"/>
      <c r="C359" s="12"/>
      <c r="D359" s="17"/>
      <c r="E359" s="17"/>
      <c r="F359" s="12"/>
      <c r="G359" s="17"/>
      <c r="H359" s="12"/>
      <c r="I359" s="12"/>
      <c r="J359" s="12"/>
      <c r="K359" s="12"/>
      <c r="L359" s="12"/>
      <c r="M359" s="12"/>
      <c r="N359" s="12"/>
      <c r="O359" s="12"/>
    </row>
    <row r="360" ht="13.5" customHeight="1">
      <c r="A360" s="17"/>
      <c r="B360" s="12"/>
      <c r="C360" s="12"/>
      <c r="D360" s="17"/>
      <c r="E360" s="17"/>
      <c r="F360" s="12"/>
      <c r="G360" s="17"/>
      <c r="H360" s="12"/>
      <c r="I360" s="12"/>
      <c r="J360" s="12"/>
      <c r="K360" s="12"/>
      <c r="L360" s="12"/>
      <c r="M360" s="12"/>
      <c r="N360" s="12"/>
      <c r="O360" s="12"/>
    </row>
    <row r="361" ht="13.5" customHeight="1">
      <c r="A361" s="17"/>
      <c r="B361" s="12"/>
      <c r="C361" s="12"/>
      <c r="D361" s="17"/>
      <c r="E361" s="17"/>
      <c r="F361" s="12"/>
      <c r="G361" s="17"/>
      <c r="H361" s="12"/>
      <c r="I361" s="12"/>
      <c r="J361" s="12"/>
      <c r="K361" s="12"/>
      <c r="L361" s="12"/>
      <c r="M361" s="12"/>
      <c r="N361" s="12"/>
      <c r="O361" s="12"/>
    </row>
    <row r="362" ht="13.5" customHeight="1">
      <c r="A362" s="17"/>
      <c r="B362" s="12"/>
      <c r="C362" s="12"/>
      <c r="D362" s="17"/>
      <c r="E362" s="17"/>
      <c r="F362" s="12"/>
      <c r="G362" s="17"/>
      <c r="H362" s="12"/>
      <c r="I362" s="12"/>
      <c r="J362" s="12"/>
      <c r="K362" s="12"/>
      <c r="L362" s="12"/>
      <c r="M362" s="12"/>
      <c r="N362" s="12"/>
      <c r="O362" s="12"/>
    </row>
    <row r="363" ht="13.5" customHeight="1">
      <c r="A363" s="17"/>
      <c r="B363" s="12"/>
      <c r="C363" s="12"/>
      <c r="D363" s="17"/>
      <c r="E363" s="17"/>
      <c r="F363" s="12"/>
      <c r="G363" s="17"/>
      <c r="H363" s="12"/>
      <c r="I363" s="12"/>
      <c r="J363" s="12"/>
      <c r="K363" s="12"/>
      <c r="L363" s="12"/>
      <c r="M363" s="12"/>
      <c r="N363" s="12"/>
      <c r="O363" s="12"/>
    </row>
    <row r="364" ht="13.5" customHeight="1">
      <c r="A364" s="17"/>
      <c r="B364" s="12"/>
      <c r="C364" s="12"/>
      <c r="D364" s="17"/>
      <c r="E364" s="17"/>
      <c r="F364" s="12"/>
      <c r="G364" s="17"/>
      <c r="H364" s="12"/>
      <c r="I364" s="12"/>
      <c r="J364" s="12"/>
      <c r="K364" s="12"/>
      <c r="L364" s="12"/>
      <c r="M364" s="12"/>
      <c r="N364" s="12"/>
      <c r="O364" s="12"/>
    </row>
    <row r="365" ht="13.5" customHeight="1">
      <c r="A365" s="17"/>
      <c r="B365" s="12"/>
      <c r="C365" s="12"/>
      <c r="D365" s="17"/>
      <c r="E365" s="17"/>
      <c r="F365" s="12"/>
      <c r="G365" s="17"/>
      <c r="H365" s="12"/>
      <c r="I365" s="12"/>
      <c r="J365" s="12"/>
      <c r="K365" s="12"/>
      <c r="L365" s="12"/>
      <c r="M365" s="12"/>
      <c r="N365" s="12"/>
      <c r="O365" s="12"/>
    </row>
    <row r="366" ht="13.5" customHeight="1">
      <c r="A366" s="17"/>
      <c r="B366" s="12"/>
      <c r="C366" s="12"/>
      <c r="D366" s="17"/>
      <c r="E366" s="17"/>
      <c r="F366" s="12"/>
      <c r="G366" s="17"/>
      <c r="H366" s="12"/>
      <c r="I366" s="12"/>
      <c r="J366" s="12"/>
      <c r="K366" s="12"/>
      <c r="L366" s="12"/>
      <c r="M366" s="12"/>
      <c r="N366" s="12"/>
      <c r="O366" s="12"/>
    </row>
    <row r="367" ht="13.5" customHeight="1">
      <c r="A367" s="17"/>
      <c r="B367" s="12"/>
      <c r="C367" s="12"/>
      <c r="D367" s="17"/>
      <c r="E367" s="17"/>
      <c r="F367" s="12"/>
      <c r="G367" s="17"/>
      <c r="H367" s="12"/>
      <c r="I367" s="12"/>
      <c r="J367" s="12"/>
      <c r="K367" s="12"/>
      <c r="L367" s="12"/>
      <c r="M367" s="12"/>
      <c r="N367" s="12"/>
      <c r="O367" s="12"/>
    </row>
    <row r="368" ht="13.5" customHeight="1">
      <c r="A368" s="17"/>
      <c r="B368" s="12"/>
      <c r="C368" s="12"/>
      <c r="D368" s="17"/>
      <c r="E368" s="17"/>
      <c r="F368" s="12"/>
      <c r="G368" s="17"/>
      <c r="H368" s="12"/>
      <c r="I368" s="12"/>
      <c r="J368" s="12"/>
      <c r="K368" s="12"/>
      <c r="L368" s="12"/>
      <c r="M368" s="12"/>
      <c r="N368" s="12"/>
      <c r="O368" s="12"/>
    </row>
    <row r="369" ht="13.5" customHeight="1">
      <c r="A369" s="17"/>
      <c r="B369" s="12"/>
      <c r="C369" s="12"/>
      <c r="D369" s="17"/>
      <c r="E369" s="17"/>
      <c r="F369" s="12"/>
      <c r="G369" s="17"/>
      <c r="H369" s="12"/>
      <c r="I369" s="12"/>
      <c r="J369" s="12"/>
      <c r="K369" s="12"/>
      <c r="L369" s="12"/>
      <c r="M369" s="12"/>
      <c r="N369" s="12"/>
      <c r="O369" s="12"/>
    </row>
    <row r="370" ht="13.5" customHeight="1">
      <c r="A370" s="17"/>
      <c r="B370" s="12"/>
      <c r="C370" s="12"/>
      <c r="D370" s="17"/>
      <c r="E370" s="17"/>
      <c r="F370" s="12"/>
      <c r="G370" s="17"/>
      <c r="H370" s="12"/>
      <c r="I370" s="12"/>
      <c r="J370" s="12"/>
      <c r="K370" s="12"/>
      <c r="L370" s="12"/>
      <c r="M370" s="12"/>
      <c r="N370" s="12"/>
      <c r="O370" s="12"/>
    </row>
    <row r="371" ht="13.5" customHeight="1">
      <c r="A371" s="17"/>
      <c r="B371" s="12"/>
      <c r="C371" s="12"/>
      <c r="D371" s="17"/>
      <c r="E371" s="17"/>
      <c r="F371" s="12"/>
      <c r="G371" s="17"/>
      <c r="H371" s="12"/>
      <c r="I371" s="12"/>
      <c r="J371" s="12"/>
      <c r="K371" s="12"/>
      <c r="L371" s="12"/>
      <c r="M371" s="12"/>
      <c r="N371" s="12"/>
      <c r="O371" s="12"/>
    </row>
    <row r="372" ht="13.5" customHeight="1">
      <c r="A372" s="17"/>
      <c r="B372" s="12"/>
      <c r="C372" s="12"/>
      <c r="D372" s="17"/>
      <c r="E372" s="17"/>
      <c r="F372" s="12"/>
      <c r="G372" s="17"/>
      <c r="H372" s="12"/>
      <c r="I372" s="12"/>
      <c r="J372" s="12"/>
      <c r="K372" s="12"/>
      <c r="L372" s="12"/>
      <c r="M372" s="12"/>
      <c r="N372" s="12"/>
      <c r="O372" s="12"/>
    </row>
    <row r="373" ht="13.5" customHeight="1">
      <c r="A373" s="17"/>
      <c r="B373" s="12"/>
      <c r="C373" s="12"/>
      <c r="D373" s="17"/>
      <c r="E373" s="17"/>
      <c r="F373" s="12"/>
      <c r="G373" s="17"/>
      <c r="H373" s="12"/>
      <c r="I373" s="12"/>
      <c r="J373" s="12"/>
      <c r="K373" s="12"/>
      <c r="L373" s="12"/>
      <c r="M373" s="12"/>
      <c r="N373" s="12"/>
      <c r="O373" s="12"/>
    </row>
    <row r="374" ht="13.5" customHeight="1">
      <c r="A374" s="17"/>
      <c r="B374" s="12"/>
      <c r="C374" s="12"/>
      <c r="D374" s="17"/>
      <c r="E374" s="17"/>
      <c r="F374" s="12"/>
      <c r="G374" s="17"/>
      <c r="H374" s="12"/>
      <c r="I374" s="12"/>
      <c r="J374" s="12"/>
      <c r="K374" s="12"/>
      <c r="L374" s="12"/>
      <c r="M374" s="12"/>
      <c r="N374" s="12"/>
      <c r="O374" s="12"/>
    </row>
    <row r="375" ht="13.5" customHeight="1">
      <c r="A375" s="17"/>
      <c r="B375" s="12"/>
      <c r="C375" s="12"/>
      <c r="D375" s="17"/>
      <c r="E375" s="17"/>
      <c r="F375" s="12"/>
      <c r="G375" s="17"/>
      <c r="H375" s="12"/>
      <c r="I375" s="12"/>
      <c r="J375" s="12"/>
      <c r="K375" s="12"/>
      <c r="L375" s="12"/>
      <c r="M375" s="12"/>
      <c r="N375" s="12"/>
      <c r="O375" s="12"/>
    </row>
    <row r="376" ht="13.5" customHeight="1">
      <c r="A376" s="17"/>
      <c r="B376" s="12"/>
      <c r="C376" s="12"/>
      <c r="D376" s="17"/>
      <c r="E376" s="17"/>
      <c r="F376" s="12"/>
      <c r="G376" s="17"/>
      <c r="H376" s="12"/>
      <c r="I376" s="12"/>
      <c r="J376" s="12"/>
      <c r="K376" s="12"/>
      <c r="L376" s="12"/>
      <c r="M376" s="12"/>
      <c r="N376" s="12"/>
      <c r="O376" s="12"/>
    </row>
    <row r="377" ht="13.5" customHeight="1">
      <c r="A377" s="17"/>
      <c r="B377" s="12"/>
      <c r="C377" s="12"/>
      <c r="D377" s="17"/>
      <c r="E377" s="17"/>
      <c r="F377" s="12"/>
      <c r="G377" s="17"/>
      <c r="H377" s="12"/>
      <c r="I377" s="12"/>
      <c r="J377" s="12"/>
      <c r="K377" s="12"/>
      <c r="L377" s="12"/>
      <c r="M377" s="12"/>
      <c r="N377" s="12"/>
      <c r="O377" s="12"/>
    </row>
    <row r="378" ht="13.5" customHeight="1">
      <c r="A378" s="17"/>
      <c r="B378" s="12"/>
      <c r="C378" s="12"/>
      <c r="D378" s="17"/>
      <c r="E378" s="17"/>
      <c r="F378" s="12"/>
      <c r="G378" s="17"/>
      <c r="H378" s="12"/>
      <c r="I378" s="12"/>
      <c r="J378" s="12"/>
      <c r="K378" s="12"/>
      <c r="L378" s="12"/>
      <c r="M378" s="12"/>
      <c r="N378" s="12"/>
      <c r="O378" s="12"/>
    </row>
    <row r="379" ht="13.5" customHeight="1">
      <c r="A379" s="17"/>
      <c r="B379" s="12"/>
      <c r="C379" s="12"/>
      <c r="D379" s="17"/>
      <c r="E379" s="17"/>
      <c r="F379" s="12"/>
      <c r="G379" s="17"/>
      <c r="H379" s="12"/>
      <c r="I379" s="12"/>
      <c r="J379" s="12"/>
      <c r="K379" s="12"/>
      <c r="L379" s="12"/>
      <c r="M379" s="12"/>
      <c r="N379" s="12"/>
      <c r="O379" s="12"/>
    </row>
    <row r="380" ht="13.5" customHeight="1">
      <c r="A380" s="17"/>
      <c r="B380" s="12"/>
      <c r="C380" s="12"/>
      <c r="D380" s="17"/>
      <c r="E380" s="17"/>
      <c r="F380" s="12"/>
      <c r="G380" s="17"/>
      <c r="H380" s="12"/>
      <c r="I380" s="12"/>
      <c r="J380" s="12"/>
      <c r="K380" s="12"/>
      <c r="L380" s="12"/>
      <c r="M380" s="12"/>
      <c r="N380" s="12"/>
      <c r="O380" s="12"/>
    </row>
    <row r="381" ht="13.5" customHeight="1">
      <c r="A381" s="17"/>
      <c r="B381" s="12"/>
      <c r="C381" s="12"/>
      <c r="D381" s="17"/>
      <c r="E381" s="17"/>
      <c r="F381" s="12"/>
      <c r="G381" s="17"/>
      <c r="H381" s="12"/>
      <c r="I381" s="12"/>
      <c r="J381" s="12"/>
      <c r="K381" s="12"/>
      <c r="L381" s="12"/>
      <c r="M381" s="12"/>
      <c r="N381" s="12"/>
      <c r="O381" s="12"/>
    </row>
    <row r="382" ht="13.5" customHeight="1">
      <c r="A382" s="17"/>
      <c r="B382" s="12"/>
      <c r="C382" s="12"/>
      <c r="D382" s="17"/>
      <c r="E382" s="17"/>
      <c r="F382" s="12"/>
      <c r="G382" s="17"/>
      <c r="H382" s="12"/>
      <c r="I382" s="12"/>
      <c r="J382" s="12"/>
      <c r="K382" s="12"/>
      <c r="L382" s="12"/>
      <c r="M382" s="12"/>
      <c r="N382" s="12"/>
      <c r="O382" s="12"/>
    </row>
    <row r="383" ht="13.5" customHeight="1">
      <c r="A383" s="17"/>
      <c r="B383" s="12"/>
      <c r="C383" s="12"/>
      <c r="D383" s="17"/>
      <c r="E383" s="17"/>
      <c r="F383" s="12"/>
      <c r="G383" s="17"/>
      <c r="H383" s="12"/>
      <c r="I383" s="12"/>
      <c r="J383" s="12"/>
      <c r="K383" s="12"/>
      <c r="L383" s="12"/>
      <c r="M383" s="12"/>
      <c r="N383" s="12"/>
      <c r="O383" s="12"/>
    </row>
    <row r="384" ht="13.5" customHeight="1">
      <c r="A384" s="17"/>
      <c r="B384" s="12"/>
      <c r="C384" s="12"/>
      <c r="D384" s="17"/>
      <c r="E384" s="17"/>
      <c r="F384" s="12"/>
      <c r="G384" s="17"/>
      <c r="H384" s="12"/>
      <c r="I384" s="12"/>
      <c r="J384" s="12"/>
      <c r="K384" s="12"/>
      <c r="L384" s="12"/>
      <c r="M384" s="12"/>
      <c r="N384" s="12"/>
      <c r="O384" s="12"/>
    </row>
    <row r="385" ht="13.5" customHeight="1">
      <c r="A385" s="17"/>
      <c r="B385" s="12"/>
      <c r="C385" s="12"/>
      <c r="D385" s="17"/>
      <c r="E385" s="17"/>
      <c r="F385" s="12"/>
      <c r="G385" s="17"/>
      <c r="H385" s="12"/>
      <c r="I385" s="12"/>
      <c r="J385" s="12"/>
      <c r="K385" s="12"/>
      <c r="L385" s="12"/>
      <c r="M385" s="12"/>
      <c r="N385" s="12"/>
      <c r="O385" s="12"/>
    </row>
    <row r="386" ht="13.5" customHeight="1">
      <c r="A386" s="17"/>
      <c r="B386" s="12"/>
      <c r="C386" s="12"/>
      <c r="D386" s="17"/>
      <c r="E386" s="17"/>
      <c r="F386" s="12"/>
      <c r="G386" s="17"/>
      <c r="H386" s="12"/>
      <c r="I386" s="12"/>
      <c r="J386" s="12"/>
      <c r="K386" s="12"/>
      <c r="L386" s="12"/>
      <c r="M386" s="12"/>
      <c r="N386" s="12"/>
      <c r="O386" s="12"/>
    </row>
    <row r="387" ht="13.5" customHeight="1">
      <c r="A387" s="17"/>
      <c r="B387" s="12"/>
      <c r="C387" s="12"/>
      <c r="D387" s="17"/>
      <c r="E387" s="17"/>
      <c r="F387" s="12"/>
      <c r="G387" s="17"/>
      <c r="H387" s="12"/>
      <c r="I387" s="12"/>
      <c r="J387" s="12"/>
      <c r="K387" s="12"/>
      <c r="L387" s="12"/>
      <c r="M387" s="12"/>
      <c r="N387" s="12"/>
      <c r="O387" s="12"/>
    </row>
    <row r="388" ht="13.5" customHeight="1">
      <c r="A388" s="17"/>
      <c r="B388" s="12"/>
      <c r="C388" s="12"/>
      <c r="D388" s="17"/>
      <c r="E388" s="17"/>
      <c r="F388" s="12"/>
      <c r="G388" s="17"/>
      <c r="H388" s="12"/>
      <c r="I388" s="12"/>
      <c r="J388" s="12"/>
      <c r="K388" s="12"/>
      <c r="L388" s="12"/>
      <c r="M388" s="12"/>
      <c r="N388" s="12"/>
      <c r="O388" s="12"/>
    </row>
    <row r="389" ht="13.5" customHeight="1">
      <c r="A389" s="17"/>
      <c r="B389" s="12"/>
      <c r="C389" s="12"/>
      <c r="D389" s="17"/>
      <c r="E389" s="17"/>
      <c r="F389" s="12"/>
      <c r="G389" s="17"/>
      <c r="H389" s="12"/>
      <c r="I389" s="12"/>
      <c r="J389" s="12"/>
      <c r="K389" s="12"/>
      <c r="L389" s="12"/>
      <c r="M389" s="12"/>
      <c r="N389" s="12"/>
      <c r="O389" s="12"/>
    </row>
    <row r="390" ht="13.5" customHeight="1">
      <c r="A390" s="17"/>
      <c r="B390" s="12"/>
      <c r="C390" s="12"/>
      <c r="D390" s="17"/>
      <c r="E390" s="17"/>
      <c r="F390" s="12"/>
      <c r="G390" s="17"/>
      <c r="H390" s="12"/>
      <c r="I390" s="12"/>
      <c r="J390" s="12"/>
      <c r="K390" s="12"/>
      <c r="L390" s="12"/>
      <c r="M390" s="12"/>
      <c r="N390" s="12"/>
      <c r="O390" s="12"/>
    </row>
    <row r="391" ht="13.5" customHeight="1">
      <c r="A391" s="17"/>
      <c r="B391" s="12"/>
      <c r="C391" s="12"/>
      <c r="D391" s="17"/>
      <c r="E391" s="17"/>
      <c r="F391" s="12"/>
      <c r="G391" s="17"/>
      <c r="H391" s="12"/>
      <c r="I391" s="12"/>
      <c r="J391" s="12"/>
      <c r="K391" s="12"/>
      <c r="L391" s="12"/>
      <c r="M391" s="12"/>
      <c r="N391" s="12"/>
      <c r="O391" s="12"/>
    </row>
    <row r="392" ht="13.5" customHeight="1">
      <c r="A392" s="17"/>
      <c r="B392" s="12"/>
      <c r="C392" s="12"/>
      <c r="D392" s="17"/>
      <c r="E392" s="17"/>
      <c r="F392" s="12"/>
      <c r="G392" s="17"/>
      <c r="H392" s="12"/>
      <c r="I392" s="12"/>
      <c r="J392" s="12"/>
      <c r="K392" s="12"/>
      <c r="L392" s="12"/>
      <c r="M392" s="12"/>
      <c r="N392" s="12"/>
      <c r="O392" s="12"/>
    </row>
    <row r="393" ht="13.5" customHeight="1">
      <c r="A393" s="17"/>
      <c r="B393" s="12"/>
      <c r="C393" s="12"/>
      <c r="D393" s="17"/>
      <c r="E393" s="17"/>
      <c r="F393" s="12"/>
      <c r="G393" s="17"/>
      <c r="H393" s="12"/>
      <c r="I393" s="12"/>
      <c r="J393" s="12"/>
      <c r="K393" s="12"/>
      <c r="L393" s="12"/>
      <c r="M393" s="12"/>
      <c r="N393" s="12"/>
      <c r="O393" s="12"/>
    </row>
    <row r="394" ht="13.5" customHeight="1">
      <c r="A394" s="17"/>
      <c r="B394" s="12"/>
      <c r="C394" s="12"/>
      <c r="D394" s="17"/>
      <c r="E394" s="17"/>
      <c r="F394" s="12"/>
      <c r="G394" s="17"/>
      <c r="H394" s="12"/>
      <c r="I394" s="12"/>
      <c r="J394" s="12"/>
      <c r="K394" s="12"/>
      <c r="L394" s="12"/>
      <c r="M394" s="12"/>
      <c r="N394" s="12"/>
      <c r="O394" s="12"/>
    </row>
    <row r="395" ht="13.5" customHeight="1">
      <c r="A395" s="17"/>
      <c r="B395" s="12"/>
      <c r="C395" s="12"/>
      <c r="D395" s="17"/>
      <c r="E395" s="17"/>
      <c r="F395" s="12"/>
      <c r="G395" s="17"/>
      <c r="H395" s="12"/>
      <c r="I395" s="12"/>
      <c r="J395" s="12"/>
      <c r="K395" s="12"/>
      <c r="L395" s="12"/>
      <c r="M395" s="12"/>
      <c r="N395" s="12"/>
      <c r="O395" s="12"/>
    </row>
    <row r="396" ht="13.5" customHeight="1">
      <c r="A396" s="17"/>
      <c r="B396" s="12"/>
      <c r="C396" s="12"/>
      <c r="D396" s="17"/>
      <c r="E396" s="17"/>
      <c r="F396" s="12"/>
      <c r="G396" s="17"/>
      <c r="H396" s="12"/>
      <c r="I396" s="12"/>
      <c r="J396" s="12"/>
      <c r="K396" s="12"/>
      <c r="L396" s="12"/>
      <c r="M396" s="12"/>
      <c r="N396" s="12"/>
      <c r="O396" s="12"/>
    </row>
    <row r="397" ht="13.5" customHeight="1">
      <c r="A397" s="17"/>
      <c r="B397" s="12"/>
      <c r="C397" s="12"/>
      <c r="D397" s="17"/>
      <c r="E397" s="17"/>
      <c r="F397" s="12"/>
      <c r="G397" s="17"/>
      <c r="H397" s="12"/>
      <c r="I397" s="12"/>
      <c r="J397" s="12"/>
      <c r="K397" s="12"/>
      <c r="L397" s="12"/>
      <c r="M397" s="12"/>
      <c r="N397" s="12"/>
      <c r="O397" s="12"/>
    </row>
    <row r="398" ht="13.5" customHeight="1">
      <c r="A398" s="17"/>
      <c r="B398" s="12"/>
      <c r="C398" s="12"/>
      <c r="D398" s="17"/>
      <c r="E398" s="17"/>
      <c r="F398" s="12"/>
      <c r="G398" s="17"/>
      <c r="H398" s="12"/>
      <c r="I398" s="12"/>
      <c r="J398" s="12"/>
      <c r="K398" s="12"/>
      <c r="L398" s="12"/>
      <c r="M398" s="12"/>
      <c r="N398" s="12"/>
      <c r="O398" s="12"/>
    </row>
    <row r="399" ht="13.5" customHeight="1">
      <c r="A399" s="17"/>
      <c r="B399" s="12"/>
      <c r="C399" s="12"/>
      <c r="D399" s="17"/>
      <c r="E399" s="17"/>
      <c r="F399" s="12"/>
      <c r="G399" s="17"/>
      <c r="H399" s="12"/>
      <c r="I399" s="12"/>
      <c r="J399" s="12"/>
      <c r="K399" s="12"/>
      <c r="L399" s="12"/>
      <c r="M399" s="12"/>
      <c r="N399" s="12"/>
      <c r="O399" s="12"/>
    </row>
    <row r="400" ht="13.5" customHeight="1">
      <c r="A400" s="17"/>
      <c r="B400" s="12"/>
      <c r="C400" s="12"/>
      <c r="D400" s="17"/>
      <c r="E400" s="17"/>
      <c r="F400" s="12"/>
      <c r="G400" s="17"/>
      <c r="H400" s="12"/>
      <c r="I400" s="12"/>
      <c r="J400" s="12"/>
      <c r="K400" s="12"/>
      <c r="L400" s="12"/>
      <c r="M400" s="12"/>
      <c r="N400" s="12"/>
      <c r="O400" s="12"/>
    </row>
    <row r="401" ht="13.5" customHeight="1">
      <c r="A401" s="17"/>
      <c r="B401" s="12"/>
      <c r="C401" s="12"/>
      <c r="D401" s="17"/>
      <c r="E401" s="17"/>
      <c r="F401" s="12"/>
      <c r="G401" s="17"/>
      <c r="H401" s="12"/>
      <c r="I401" s="12"/>
      <c r="J401" s="12"/>
      <c r="K401" s="12"/>
      <c r="L401" s="12"/>
      <c r="M401" s="12"/>
      <c r="N401" s="12"/>
      <c r="O401" s="12"/>
    </row>
    <row r="402" ht="13.5" customHeight="1">
      <c r="A402" s="17"/>
      <c r="B402" s="12"/>
      <c r="C402" s="12"/>
      <c r="D402" s="17"/>
      <c r="E402" s="17"/>
      <c r="F402" s="12"/>
      <c r="G402" s="17"/>
      <c r="H402" s="12"/>
      <c r="I402" s="12"/>
      <c r="J402" s="12"/>
      <c r="K402" s="12"/>
      <c r="L402" s="12"/>
      <c r="M402" s="12"/>
      <c r="N402" s="12"/>
      <c r="O402" s="12"/>
    </row>
    <row r="403" ht="13.5" customHeight="1">
      <c r="A403" s="17"/>
      <c r="B403" s="12"/>
      <c r="C403" s="12"/>
      <c r="D403" s="17"/>
      <c r="E403" s="17"/>
      <c r="F403" s="12"/>
      <c r="G403" s="17"/>
      <c r="H403" s="12"/>
      <c r="I403" s="12"/>
      <c r="J403" s="12"/>
      <c r="K403" s="12"/>
      <c r="L403" s="12"/>
      <c r="M403" s="12"/>
      <c r="N403" s="12"/>
      <c r="O403" s="12"/>
    </row>
    <row r="404" ht="13.5" customHeight="1">
      <c r="A404" s="17"/>
      <c r="B404" s="12"/>
      <c r="C404" s="12"/>
      <c r="D404" s="17"/>
      <c r="E404" s="17"/>
      <c r="F404" s="12"/>
      <c r="G404" s="17"/>
      <c r="H404" s="12"/>
      <c r="I404" s="12"/>
      <c r="J404" s="12"/>
      <c r="K404" s="12"/>
      <c r="L404" s="12"/>
      <c r="M404" s="12"/>
      <c r="N404" s="12"/>
      <c r="O404" s="12"/>
    </row>
    <row r="405" ht="13.5" customHeight="1">
      <c r="A405" s="17"/>
      <c r="B405" s="12"/>
      <c r="C405" s="12"/>
      <c r="D405" s="17"/>
      <c r="E405" s="17"/>
      <c r="F405" s="12"/>
      <c r="G405" s="17"/>
      <c r="H405" s="12"/>
      <c r="I405" s="12"/>
      <c r="J405" s="12"/>
      <c r="K405" s="12"/>
      <c r="L405" s="12"/>
      <c r="M405" s="12"/>
      <c r="N405" s="12"/>
      <c r="O405" s="12"/>
    </row>
    <row r="406" ht="13.5" customHeight="1">
      <c r="A406" s="17"/>
      <c r="B406" s="12"/>
      <c r="C406" s="12"/>
      <c r="D406" s="17"/>
      <c r="E406" s="17"/>
      <c r="F406" s="12"/>
      <c r="G406" s="17"/>
      <c r="H406" s="12"/>
      <c r="I406" s="12"/>
      <c r="J406" s="12"/>
      <c r="K406" s="12"/>
      <c r="L406" s="12"/>
      <c r="M406" s="12"/>
      <c r="N406" s="12"/>
      <c r="O406" s="12"/>
    </row>
    <row r="407" ht="13.5" customHeight="1">
      <c r="A407" s="17"/>
      <c r="B407" s="12"/>
      <c r="C407" s="12"/>
      <c r="D407" s="17"/>
      <c r="E407" s="17"/>
      <c r="F407" s="12"/>
      <c r="G407" s="17"/>
      <c r="H407" s="12"/>
      <c r="I407" s="12"/>
      <c r="J407" s="12"/>
      <c r="K407" s="12"/>
      <c r="L407" s="12"/>
      <c r="M407" s="12"/>
      <c r="N407" s="12"/>
      <c r="O407" s="12"/>
    </row>
    <row r="408" ht="13.5" customHeight="1">
      <c r="A408" s="17"/>
      <c r="B408" s="12"/>
      <c r="C408" s="12"/>
      <c r="D408" s="17"/>
      <c r="E408" s="17"/>
      <c r="F408" s="12"/>
      <c r="G408" s="17"/>
      <c r="H408" s="12"/>
      <c r="I408" s="12"/>
      <c r="J408" s="12"/>
      <c r="K408" s="12"/>
      <c r="L408" s="12"/>
      <c r="M408" s="12"/>
      <c r="N408" s="12"/>
      <c r="O408" s="12"/>
    </row>
    <row r="409" ht="13.5" customHeight="1">
      <c r="A409" s="17"/>
      <c r="B409" s="12"/>
      <c r="C409" s="12"/>
      <c r="D409" s="17"/>
      <c r="E409" s="17"/>
      <c r="F409" s="12"/>
      <c r="G409" s="17"/>
      <c r="H409" s="12"/>
      <c r="I409" s="12"/>
      <c r="J409" s="12"/>
      <c r="K409" s="12"/>
      <c r="L409" s="12"/>
      <c r="M409" s="12"/>
      <c r="N409" s="12"/>
      <c r="O409" s="12"/>
    </row>
    <row r="410" ht="13.5" customHeight="1">
      <c r="A410" s="17"/>
      <c r="B410" s="12"/>
      <c r="C410" s="12"/>
      <c r="D410" s="17"/>
      <c r="E410" s="17"/>
      <c r="F410" s="12"/>
      <c r="G410" s="17"/>
      <c r="H410" s="12"/>
      <c r="I410" s="12"/>
      <c r="J410" s="12"/>
      <c r="K410" s="12"/>
      <c r="L410" s="12"/>
      <c r="M410" s="12"/>
      <c r="N410" s="12"/>
      <c r="O410" s="12"/>
    </row>
    <row r="411" ht="13.5" customHeight="1">
      <c r="A411" s="17"/>
      <c r="B411" s="12"/>
      <c r="C411" s="12"/>
      <c r="D411" s="17"/>
      <c r="E411" s="17"/>
      <c r="F411" s="12"/>
      <c r="G411" s="17"/>
      <c r="H411" s="12"/>
      <c r="I411" s="12"/>
      <c r="J411" s="12"/>
      <c r="K411" s="12"/>
      <c r="L411" s="12"/>
      <c r="M411" s="12"/>
      <c r="N411" s="12"/>
      <c r="O411" s="12"/>
    </row>
    <row r="412" ht="13.5" customHeight="1">
      <c r="A412" s="17"/>
      <c r="B412" s="12"/>
      <c r="C412" s="12"/>
      <c r="D412" s="17"/>
      <c r="E412" s="17"/>
      <c r="F412" s="12"/>
      <c r="G412" s="17"/>
      <c r="H412" s="12"/>
      <c r="I412" s="12"/>
      <c r="J412" s="12"/>
      <c r="K412" s="12"/>
      <c r="L412" s="12"/>
      <c r="M412" s="12"/>
      <c r="N412" s="12"/>
      <c r="O412" s="12"/>
    </row>
    <row r="413" ht="13.5" customHeight="1">
      <c r="A413" s="17"/>
      <c r="B413" s="12"/>
      <c r="C413" s="12"/>
      <c r="D413" s="17"/>
      <c r="E413" s="17"/>
      <c r="F413" s="12"/>
      <c r="G413" s="17"/>
      <c r="H413" s="12"/>
      <c r="I413" s="12"/>
      <c r="J413" s="12"/>
      <c r="K413" s="12"/>
      <c r="L413" s="12"/>
      <c r="M413" s="12"/>
      <c r="N413" s="12"/>
      <c r="O413" s="12"/>
    </row>
    <row r="414" ht="13.5" customHeight="1">
      <c r="A414" s="17"/>
      <c r="B414" s="12"/>
      <c r="C414" s="12"/>
      <c r="D414" s="17"/>
      <c r="E414" s="17"/>
      <c r="F414" s="12"/>
      <c r="G414" s="17"/>
      <c r="H414" s="12"/>
      <c r="I414" s="12"/>
      <c r="J414" s="12"/>
      <c r="K414" s="12"/>
      <c r="L414" s="12"/>
      <c r="M414" s="12"/>
      <c r="N414" s="12"/>
      <c r="O414" s="12"/>
    </row>
    <row r="415" ht="13.5" customHeight="1">
      <c r="A415" s="17"/>
      <c r="B415" s="12"/>
      <c r="C415" s="12"/>
      <c r="D415" s="17"/>
      <c r="E415" s="17"/>
      <c r="F415" s="12"/>
      <c r="G415" s="17"/>
      <c r="H415" s="12"/>
      <c r="I415" s="12"/>
      <c r="J415" s="12"/>
      <c r="K415" s="12"/>
      <c r="L415" s="12"/>
      <c r="M415" s="12"/>
      <c r="N415" s="12"/>
      <c r="O415" s="12"/>
    </row>
    <row r="416" ht="13.5" customHeight="1">
      <c r="A416" s="17"/>
      <c r="B416" s="12"/>
      <c r="C416" s="12"/>
      <c r="D416" s="17"/>
      <c r="E416" s="17"/>
      <c r="F416" s="12"/>
      <c r="G416" s="17"/>
      <c r="H416" s="12"/>
      <c r="I416" s="12"/>
      <c r="J416" s="12"/>
      <c r="K416" s="12"/>
      <c r="L416" s="12"/>
      <c r="M416" s="12"/>
      <c r="N416" s="12"/>
      <c r="O416" s="12"/>
    </row>
    <row r="417" ht="13.5" customHeight="1">
      <c r="A417" s="17"/>
      <c r="B417" s="12"/>
      <c r="C417" s="12"/>
      <c r="D417" s="17"/>
      <c r="E417" s="17"/>
      <c r="F417" s="12"/>
      <c r="G417" s="17"/>
      <c r="H417" s="12"/>
      <c r="I417" s="12"/>
      <c r="J417" s="12"/>
      <c r="K417" s="12"/>
      <c r="L417" s="12"/>
      <c r="M417" s="12"/>
      <c r="N417" s="12"/>
      <c r="O417" s="12"/>
    </row>
    <row r="418" ht="13.5" customHeight="1">
      <c r="A418" s="17"/>
      <c r="B418" s="12"/>
      <c r="C418" s="12"/>
      <c r="D418" s="17"/>
      <c r="E418" s="17"/>
      <c r="F418" s="12"/>
      <c r="G418" s="17"/>
      <c r="H418" s="12"/>
      <c r="I418" s="12"/>
      <c r="J418" s="12"/>
      <c r="K418" s="12"/>
      <c r="L418" s="12"/>
      <c r="M418" s="12"/>
      <c r="N418" s="12"/>
      <c r="O418" s="12"/>
    </row>
    <row r="419" ht="13.5" customHeight="1">
      <c r="A419" s="17"/>
      <c r="B419" s="12"/>
      <c r="C419" s="12"/>
      <c r="D419" s="17"/>
      <c r="E419" s="17"/>
      <c r="F419" s="12"/>
      <c r="G419" s="17"/>
      <c r="H419" s="12"/>
      <c r="I419" s="12"/>
      <c r="J419" s="12"/>
      <c r="K419" s="12"/>
      <c r="L419" s="12"/>
      <c r="M419" s="12"/>
      <c r="N419" s="12"/>
      <c r="O419" s="12"/>
    </row>
    <row r="420" ht="13.5" customHeight="1">
      <c r="A420" s="17"/>
      <c r="B420" s="12"/>
      <c r="C420" s="12"/>
      <c r="D420" s="17"/>
      <c r="E420" s="17"/>
      <c r="F420" s="12"/>
      <c r="G420" s="17"/>
      <c r="H420" s="12"/>
      <c r="I420" s="12"/>
      <c r="J420" s="12"/>
      <c r="K420" s="12"/>
      <c r="L420" s="12"/>
      <c r="M420" s="12"/>
      <c r="N420" s="12"/>
      <c r="O420" s="12"/>
    </row>
    <row r="421" ht="13.5" customHeight="1">
      <c r="A421" s="17"/>
      <c r="B421" s="12"/>
      <c r="C421" s="12"/>
      <c r="D421" s="17"/>
      <c r="E421" s="17"/>
      <c r="F421" s="12"/>
      <c r="G421" s="17"/>
      <c r="H421" s="12"/>
      <c r="I421" s="12"/>
      <c r="J421" s="12"/>
      <c r="K421" s="12"/>
      <c r="L421" s="12"/>
      <c r="M421" s="12"/>
      <c r="N421" s="12"/>
      <c r="O421" s="12"/>
    </row>
    <row r="422" ht="13.5" customHeight="1">
      <c r="A422" s="17"/>
      <c r="B422" s="12"/>
      <c r="C422" s="12"/>
      <c r="D422" s="17"/>
      <c r="E422" s="17"/>
      <c r="F422" s="12"/>
      <c r="G422" s="17"/>
      <c r="H422" s="12"/>
      <c r="I422" s="12"/>
      <c r="J422" s="12"/>
      <c r="K422" s="12"/>
      <c r="L422" s="12"/>
      <c r="M422" s="12"/>
      <c r="N422" s="12"/>
      <c r="O422" s="12"/>
    </row>
    <row r="423" ht="13.5" customHeight="1">
      <c r="A423" s="17"/>
      <c r="B423" s="12"/>
      <c r="C423" s="12"/>
      <c r="D423" s="17"/>
      <c r="E423" s="17"/>
      <c r="F423" s="12"/>
      <c r="G423" s="17"/>
      <c r="H423" s="12"/>
      <c r="I423" s="12"/>
      <c r="J423" s="12"/>
      <c r="K423" s="12"/>
      <c r="L423" s="12"/>
      <c r="M423" s="12"/>
      <c r="N423" s="12"/>
      <c r="O423" s="12"/>
    </row>
    <row r="424" ht="13.5" customHeight="1">
      <c r="A424" s="17"/>
      <c r="B424" s="12"/>
      <c r="C424" s="12"/>
      <c r="D424" s="17"/>
      <c r="E424" s="17"/>
      <c r="F424" s="12"/>
      <c r="G424" s="17"/>
      <c r="H424" s="12"/>
      <c r="I424" s="12"/>
      <c r="J424" s="12"/>
      <c r="K424" s="12"/>
      <c r="L424" s="12"/>
      <c r="M424" s="12"/>
      <c r="N424" s="12"/>
      <c r="O424" s="12"/>
    </row>
    <row r="425" ht="13.5" customHeight="1">
      <c r="A425" s="17"/>
      <c r="B425" s="12"/>
      <c r="C425" s="12"/>
      <c r="D425" s="17"/>
      <c r="E425" s="17"/>
      <c r="F425" s="12"/>
      <c r="G425" s="17"/>
      <c r="H425" s="12"/>
      <c r="I425" s="12"/>
      <c r="J425" s="12"/>
      <c r="K425" s="12"/>
      <c r="L425" s="12"/>
      <c r="M425" s="12"/>
      <c r="N425" s="12"/>
      <c r="O425" s="12"/>
    </row>
    <row r="426" ht="13.5" customHeight="1">
      <c r="A426" s="17"/>
      <c r="B426" s="12"/>
      <c r="C426" s="12"/>
      <c r="D426" s="17"/>
      <c r="E426" s="17"/>
      <c r="F426" s="12"/>
      <c r="G426" s="17"/>
      <c r="H426" s="12"/>
      <c r="I426" s="12"/>
      <c r="J426" s="12"/>
      <c r="K426" s="12"/>
      <c r="L426" s="12"/>
      <c r="M426" s="12"/>
      <c r="N426" s="12"/>
      <c r="O426" s="12"/>
    </row>
    <row r="427" ht="13.5" customHeight="1">
      <c r="A427" s="17"/>
      <c r="B427" s="12"/>
      <c r="C427" s="12"/>
      <c r="D427" s="17"/>
      <c r="E427" s="17"/>
      <c r="F427" s="12"/>
      <c r="G427" s="17"/>
      <c r="H427" s="12"/>
      <c r="I427" s="12"/>
      <c r="J427" s="12"/>
      <c r="K427" s="12"/>
      <c r="L427" s="12"/>
      <c r="M427" s="12"/>
      <c r="N427" s="12"/>
      <c r="O427" s="12"/>
    </row>
    <row r="428" ht="13.5" customHeight="1">
      <c r="A428" s="17"/>
      <c r="B428" s="12"/>
      <c r="C428" s="12"/>
      <c r="D428" s="17"/>
      <c r="E428" s="17"/>
      <c r="F428" s="12"/>
      <c r="G428" s="17"/>
      <c r="H428" s="12"/>
      <c r="I428" s="12"/>
      <c r="J428" s="12"/>
      <c r="K428" s="12"/>
      <c r="L428" s="12"/>
      <c r="M428" s="12"/>
      <c r="N428" s="12"/>
      <c r="O428" s="12"/>
    </row>
    <row r="429" ht="13.5" customHeight="1">
      <c r="A429" s="17"/>
      <c r="B429" s="12"/>
      <c r="C429" s="12"/>
      <c r="D429" s="17"/>
      <c r="E429" s="17"/>
      <c r="F429" s="12"/>
      <c r="G429" s="17"/>
      <c r="H429" s="12"/>
      <c r="I429" s="12"/>
      <c r="J429" s="12"/>
      <c r="K429" s="12"/>
      <c r="L429" s="12"/>
      <c r="M429" s="12"/>
      <c r="N429" s="12"/>
      <c r="O429" s="12"/>
    </row>
    <row r="430" ht="13.5" customHeight="1">
      <c r="A430" s="17"/>
      <c r="B430" s="12"/>
      <c r="C430" s="12"/>
      <c r="D430" s="17"/>
      <c r="E430" s="17"/>
      <c r="F430" s="12"/>
      <c r="G430" s="17"/>
      <c r="H430" s="12"/>
      <c r="I430" s="12"/>
      <c r="J430" s="12"/>
      <c r="K430" s="12"/>
      <c r="L430" s="12"/>
      <c r="M430" s="12"/>
      <c r="N430" s="12"/>
      <c r="O430" s="12"/>
    </row>
    <row r="431" ht="13.5" customHeight="1">
      <c r="A431" s="17"/>
      <c r="B431" s="12"/>
      <c r="C431" s="12"/>
      <c r="D431" s="17"/>
      <c r="E431" s="17"/>
      <c r="F431" s="12"/>
      <c r="G431" s="17"/>
      <c r="H431" s="12"/>
      <c r="I431" s="12"/>
      <c r="J431" s="12"/>
      <c r="K431" s="12"/>
      <c r="L431" s="12"/>
      <c r="M431" s="12"/>
      <c r="N431" s="12"/>
      <c r="O431" s="12"/>
    </row>
    <row r="432" ht="13.5" customHeight="1">
      <c r="A432" s="17"/>
      <c r="B432" s="12"/>
      <c r="C432" s="12"/>
      <c r="D432" s="17"/>
      <c r="E432" s="17"/>
      <c r="F432" s="12"/>
      <c r="G432" s="17"/>
      <c r="H432" s="12"/>
      <c r="I432" s="12"/>
      <c r="J432" s="12"/>
      <c r="K432" s="12"/>
      <c r="L432" s="12"/>
      <c r="M432" s="12"/>
      <c r="N432" s="12"/>
      <c r="O432" s="12"/>
    </row>
    <row r="433" ht="13.5" customHeight="1">
      <c r="A433" s="17"/>
      <c r="B433" s="12"/>
      <c r="C433" s="12"/>
      <c r="D433" s="17"/>
      <c r="E433" s="17"/>
      <c r="F433" s="12"/>
      <c r="G433" s="17"/>
      <c r="H433" s="12"/>
      <c r="I433" s="12"/>
      <c r="J433" s="12"/>
      <c r="K433" s="12"/>
      <c r="L433" s="12"/>
      <c r="M433" s="12"/>
      <c r="N433" s="12"/>
      <c r="O433" s="12"/>
    </row>
    <row r="434" ht="13.5" customHeight="1">
      <c r="A434" s="17"/>
      <c r="B434" s="12"/>
      <c r="C434" s="12"/>
      <c r="D434" s="17"/>
      <c r="E434" s="17"/>
      <c r="F434" s="12"/>
      <c r="G434" s="17"/>
      <c r="H434" s="12"/>
      <c r="I434" s="12"/>
      <c r="J434" s="12"/>
      <c r="K434" s="12"/>
      <c r="L434" s="12"/>
      <c r="M434" s="12"/>
      <c r="N434" s="12"/>
      <c r="O434" s="12"/>
    </row>
    <row r="435" ht="13.5" customHeight="1">
      <c r="A435" s="17"/>
      <c r="B435" s="12"/>
      <c r="C435" s="12"/>
      <c r="D435" s="17"/>
      <c r="E435" s="17"/>
      <c r="F435" s="12"/>
      <c r="G435" s="17"/>
      <c r="H435" s="12"/>
      <c r="I435" s="12"/>
      <c r="J435" s="12"/>
      <c r="K435" s="12"/>
      <c r="L435" s="12"/>
      <c r="M435" s="12"/>
      <c r="N435" s="12"/>
      <c r="O435" s="12"/>
    </row>
    <row r="436" ht="13.5" customHeight="1">
      <c r="A436" s="17"/>
      <c r="B436" s="12"/>
      <c r="C436" s="12"/>
      <c r="D436" s="17"/>
      <c r="E436" s="17"/>
      <c r="F436" s="12"/>
      <c r="G436" s="17"/>
      <c r="H436" s="12"/>
      <c r="I436" s="12"/>
      <c r="J436" s="12"/>
      <c r="K436" s="12"/>
      <c r="L436" s="12"/>
      <c r="M436" s="12"/>
      <c r="N436" s="12"/>
      <c r="O436" s="12"/>
    </row>
    <row r="437" ht="13.5" customHeight="1">
      <c r="A437" s="17"/>
      <c r="B437" s="12"/>
      <c r="C437" s="12"/>
      <c r="D437" s="17"/>
      <c r="E437" s="17"/>
      <c r="F437" s="12"/>
      <c r="G437" s="17"/>
      <c r="H437" s="12"/>
      <c r="I437" s="12"/>
      <c r="J437" s="12"/>
      <c r="K437" s="12"/>
      <c r="L437" s="12"/>
      <c r="M437" s="12"/>
      <c r="N437" s="12"/>
      <c r="O437" s="12"/>
    </row>
    <row r="438" ht="13.5" customHeight="1">
      <c r="A438" s="17"/>
      <c r="B438" s="12"/>
      <c r="C438" s="12"/>
      <c r="D438" s="17"/>
      <c r="E438" s="17"/>
      <c r="F438" s="12"/>
      <c r="G438" s="17"/>
      <c r="H438" s="12"/>
      <c r="I438" s="12"/>
      <c r="J438" s="12"/>
      <c r="K438" s="12"/>
      <c r="L438" s="12"/>
      <c r="M438" s="12"/>
      <c r="N438" s="12"/>
      <c r="O438" s="12"/>
    </row>
    <row r="439" ht="13.5" customHeight="1">
      <c r="A439" s="17"/>
      <c r="B439" s="12"/>
      <c r="C439" s="12"/>
      <c r="D439" s="17"/>
      <c r="E439" s="17"/>
      <c r="F439" s="12"/>
      <c r="G439" s="17"/>
      <c r="H439" s="12"/>
      <c r="I439" s="12"/>
      <c r="J439" s="12"/>
      <c r="K439" s="12"/>
      <c r="L439" s="12"/>
      <c r="M439" s="12"/>
      <c r="N439" s="12"/>
      <c r="O439" s="12"/>
    </row>
    <row r="440" ht="13.5" customHeight="1">
      <c r="A440" s="17"/>
      <c r="B440" s="12"/>
      <c r="C440" s="12"/>
      <c r="D440" s="17"/>
      <c r="E440" s="17"/>
      <c r="F440" s="12"/>
      <c r="G440" s="17"/>
      <c r="H440" s="12"/>
      <c r="I440" s="12"/>
      <c r="J440" s="12"/>
      <c r="K440" s="12"/>
      <c r="L440" s="12"/>
      <c r="M440" s="12"/>
      <c r="N440" s="12"/>
      <c r="O440" s="12"/>
    </row>
    <row r="441" ht="13.5" customHeight="1">
      <c r="A441" s="17"/>
      <c r="B441" s="12"/>
      <c r="C441" s="12"/>
      <c r="D441" s="17"/>
      <c r="E441" s="17"/>
      <c r="F441" s="12"/>
      <c r="G441" s="17"/>
      <c r="H441" s="12"/>
      <c r="I441" s="12"/>
      <c r="J441" s="12"/>
      <c r="K441" s="12"/>
      <c r="L441" s="12"/>
      <c r="M441" s="12"/>
      <c r="N441" s="12"/>
      <c r="O441" s="12"/>
    </row>
    <row r="442" ht="13.5" customHeight="1">
      <c r="A442" s="17"/>
      <c r="B442" s="12"/>
      <c r="C442" s="12"/>
      <c r="D442" s="17"/>
      <c r="E442" s="17"/>
      <c r="F442" s="12"/>
      <c r="G442" s="17"/>
      <c r="H442" s="12"/>
      <c r="I442" s="12"/>
      <c r="J442" s="12"/>
      <c r="K442" s="12"/>
      <c r="L442" s="12"/>
      <c r="M442" s="12"/>
      <c r="N442" s="12"/>
      <c r="O442" s="12"/>
    </row>
    <row r="443" ht="13.5" customHeight="1">
      <c r="A443" s="17"/>
      <c r="B443" s="12"/>
      <c r="C443" s="12"/>
      <c r="D443" s="17"/>
      <c r="E443" s="17"/>
      <c r="F443" s="12"/>
      <c r="G443" s="17"/>
      <c r="H443" s="12"/>
      <c r="I443" s="12"/>
      <c r="J443" s="12"/>
      <c r="K443" s="12"/>
      <c r="L443" s="12"/>
      <c r="M443" s="12"/>
      <c r="N443" s="12"/>
      <c r="O443" s="12"/>
    </row>
    <row r="444" ht="13.5" customHeight="1">
      <c r="A444" s="17"/>
      <c r="B444" s="12"/>
      <c r="C444" s="12"/>
      <c r="D444" s="17"/>
      <c r="E444" s="17"/>
      <c r="F444" s="12"/>
      <c r="G444" s="17"/>
      <c r="H444" s="12"/>
      <c r="I444" s="12"/>
      <c r="J444" s="12"/>
      <c r="K444" s="12"/>
      <c r="L444" s="12"/>
      <c r="M444" s="12"/>
      <c r="N444" s="12"/>
      <c r="O444" s="12"/>
    </row>
    <row r="445" ht="13.5" customHeight="1">
      <c r="A445" s="17"/>
      <c r="B445" s="12"/>
      <c r="C445" s="12"/>
      <c r="D445" s="17"/>
      <c r="E445" s="17"/>
      <c r="F445" s="12"/>
      <c r="G445" s="17"/>
      <c r="H445" s="12"/>
      <c r="I445" s="12"/>
      <c r="J445" s="12"/>
      <c r="K445" s="12"/>
      <c r="L445" s="12"/>
      <c r="M445" s="12"/>
      <c r="N445" s="12"/>
      <c r="O445" s="12"/>
    </row>
    <row r="446" ht="13.5" customHeight="1">
      <c r="A446" s="17"/>
      <c r="B446" s="12"/>
      <c r="C446" s="12"/>
      <c r="D446" s="17"/>
      <c r="E446" s="17"/>
      <c r="F446" s="12"/>
      <c r="G446" s="17"/>
      <c r="H446" s="12"/>
      <c r="I446" s="12"/>
      <c r="J446" s="12"/>
      <c r="K446" s="12"/>
      <c r="L446" s="12"/>
      <c r="M446" s="12"/>
      <c r="N446" s="12"/>
      <c r="O446" s="12"/>
    </row>
    <row r="447" ht="13.5" customHeight="1">
      <c r="A447" s="17"/>
      <c r="B447" s="12"/>
      <c r="C447" s="12"/>
      <c r="D447" s="17"/>
      <c r="E447" s="17"/>
      <c r="F447" s="12"/>
      <c r="G447" s="17"/>
      <c r="H447" s="12"/>
      <c r="I447" s="12"/>
      <c r="J447" s="12"/>
      <c r="K447" s="12"/>
      <c r="L447" s="12"/>
      <c r="M447" s="12"/>
      <c r="N447" s="12"/>
      <c r="O447" s="12"/>
    </row>
    <row r="448" ht="13.5" customHeight="1">
      <c r="A448" s="17"/>
      <c r="B448" s="12"/>
      <c r="C448" s="12"/>
      <c r="D448" s="17"/>
      <c r="E448" s="17"/>
      <c r="F448" s="12"/>
      <c r="G448" s="17"/>
      <c r="H448" s="12"/>
      <c r="I448" s="12"/>
      <c r="J448" s="12"/>
      <c r="K448" s="12"/>
      <c r="L448" s="12"/>
      <c r="M448" s="12"/>
      <c r="N448" s="12"/>
      <c r="O448" s="12"/>
    </row>
    <row r="449" ht="13.5" customHeight="1">
      <c r="A449" s="17"/>
      <c r="B449" s="12"/>
      <c r="C449" s="12"/>
      <c r="D449" s="17"/>
      <c r="E449" s="17"/>
      <c r="F449" s="12"/>
      <c r="G449" s="17"/>
      <c r="H449" s="12"/>
      <c r="I449" s="12"/>
      <c r="J449" s="12"/>
      <c r="K449" s="12"/>
      <c r="L449" s="12"/>
      <c r="M449" s="12"/>
      <c r="N449" s="12"/>
      <c r="O449" s="12"/>
    </row>
    <row r="450" ht="13.5" customHeight="1">
      <c r="A450" s="17"/>
      <c r="B450" s="12"/>
      <c r="C450" s="12"/>
      <c r="D450" s="17"/>
      <c r="E450" s="17"/>
      <c r="F450" s="12"/>
      <c r="G450" s="17"/>
      <c r="H450" s="12"/>
      <c r="I450" s="12"/>
      <c r="J450" s="12"/>
      <c r="K450" s="12"/>
      <c r="L450" s="12"/>
      <c r="M450" s="12"/>
      <c r="N450" s="12"/>
      <c r="O450" s="12"/>
    </row>
    <row r="451" ht="13.5" customHeight="1">
      <c r="A451" s="17"/>
      <c r="B451" s="12"/>
      <c r="C451" s="12"/>
      <c r="D451" s="17"/>
      <c r="E451" s="17"/>
      <c r="F451" s="12"/>
      <c r="G451" s="17"/>
      <c r="H451" s="12"/>
      <c r="I451" s="12"/>
      <c r="J451" s="12"/>
      <c r="K451" s="12"/>
      <c r="L451" s="12"/>
      <c r="M451" s="12"/>
      <c r="N451" s="12"/>
      <c r="O451" s="12"/>
    </row>
    <row r="452" ht="13.5" customHeight="1">
      <c r="A452" s="17"/>
      <c r="B452" s="12"/>
      <c r="C452" s="12"/>
      <c r="D452" s="17"/>
      <c r="E452" s="17"/>
      <c r="F452" s="12"/>
      <c r="G452" s="17"/>
      <c r="H452" s="12"/>
      <c r="I452" s="12"/>
      <c r="J452" s="12"/>
      <c r="K452" s="12"/>
      <c r="L452" s="12"/>
      <c r="M452" s="12"/>
      <c r="N452" s="12"/>
      <c r="O452" s="12"/>
    </row>
    <row r="453" ht="13.5" customHeight="1">
      <c r="A453" s="17"/>
      <c r="B453" s="12"/>
      <c r="C453" s="12"/>
      <c r="D453" s="17"/>
      <c r="E453" s="17"/>
      <c r="F453" s="12"/>
      <c r="G453" s="17"/>
      <c r="H453" s="12"/>
      <c r="I453" s="12"/>
      <c r="J453" s="12"/>
      <c r="K453" s="12"/>
      <c r="L453" s="12"/>
      <c r="M453" s="12"/>
      <c r="N453" s="12"/>
      <c r="O453" s="12"/>
    </row>
    <row r="454" ht="13.5" customHeight="1">
      <c r="A454" s="17"/>
      <c r="B454" s="12"/>
      <c r="C454" s="12"/>
      <c r="D454" s="17"/>
      <c r="E454" s="17"/>
      <c r="F454" s="12"/>
      <c r="G454" s="17"/>
      <c r="H454" s="12"/>
      <c r="I454" s="12"/>
      <c r="J454" s="12"/>
      <c r="K454" s="12"/>
      <c r="L454" s="12"/>
      <c r="M454" s="12"/>
      <c r="N454" s="12"/>
      <c r="O454" s="12"/>
    </row>
    <row r="455" ht="13.5" customHeight="1">
      <c r="A455" s="17"/>
      <c r="B455" s="12"/>
      <c r="C455" s="12"/>
      <c r="D455" s="17"/>
      <c r="E455" s="17"/>
      <c r="F455" s="12"/>
      <c r="G455" s="17"/>
      <c r="H455" s="12"/>
      <c r="I455" s="12"/>
      <c r="J455" s="12"/>
      <c r="K455" s="12"/>
      <c r="L455" s="12"/>
      <c r="M455" s="12"/>
      <c r="N455" s="12"/>
      <c r="O455" s="12"/>
    </row>
    <row r="456" ht="13.5" customHeight="1">
      <c r="A456" s="17"/>
      <c r="B456" s="12"/>
      <c r="C456" s="12"/>
      <c r="D456" s="17"/>
      <c r="E456" s="17"/>
      <c r="F456" s="12"/>
      <c r="G456" s="17"/>
      <c r="H456" s="12"/>
      <c r="I456" s="12"/>
      <c r="J456" s="12"/>
      <c r="K456" s="12"/>
      <c r="L456" s="12"/>
      <c r="M456" s="12"/>
      <c r="N456" s="12"/>
      <c r="O456" s="12"/>
    </row>
    <row r="457" ht="13.5" customHeight="1">
      <c r="A457" s="17"/>
      <c r="B457" s="12"/>
      <c r="C457" s="12"/>
      <c r="D457" s="17"/>
      <c r="E457" s="17"/>
      <c r="F457" s="12"/>
      <c r="G457" s="17"/>
      <c r="H457" s="12"/>
      <c r="I457" s="12"/>
      <c r="J457" s="12"/>
      <c r="K457" s="12"/>
      <c r="L457" s="12"/>
      <c r="M457" s="12"/>
      <c r="N457" s="12"/>
      <c r="O457" s="12"/>
    </row>
    <row r="458" ht="13.5" customHeight="1">
      <c r="A458" s="17"/>
      <c r="B458" s="12"/>
      <c r="C458" s="12"/>
      <c r="D458" s="17"/>
      <c r="E458" s="17"/>
      <c r="F458" s="12"/>
      <c r="G458" s="17"/>
      <c r="H458" s="12"/>
      <c r="I458" s="12"/>
      <c r="J458" s="12"/>
      <c r="K458" s="12"/>
      <c r="L458" s="12"/>
      <c r="M458" s="12"/>
      <c r="N458" s="12"/>
      <c r="O458" s="12"/>
    </row>
    <row r="459" ht="13.5" customHeight="1">
      <c r="A459" s="17"/>
      <c r="B459" s="12"/>
      <c r="C459" s="12"/>
      <c r="D459" s="17"/>
      <c r="E459" s="17"/>
      <c r="F459" s="12"/>
      <c r="G459" s="17"/>
      <c r="H459" s="12"/>
      <c r="I459" s="12"/>
      <c r="J459" s="12"/>
      <c r="K459" s="12"/>
      <c r="L459" s="12"/>
      <c r="M459" s="12"/>
      <c r="N459" s="12"/>
      <c r="O459" s="12"/>
    </row>
    <row r="460" ht="13.5" customHeight="1">
      <c r="A460" s="17"/>
      <c r="B460" s="12"/>
      <c r="C460" s="12"/>
      <c r="D460" s="17"/>
      <c r="E460" s="17"/>
      <c r="F460" s="12"/>
      <c r="G460" s="17"/>
      <c r="H460" s="12"/>
      <c r="I460" s="12"/>
      <c r="J460" s="12"/>
      <c r="K460" s="12"/>
      <c r="L460" s="12"/>
      <c r="M460" s="12"/>
      <c r="N460" s="12"/>
      <c r="O460" s="12"/>
    </row>
    <row r="461" ht="13.5" customHeight="1">
      <c r="A461" s="17"/>
      <c r="B461" s="12"/>
      <c r="C461" s="12"/>
      <c r="D461" s="17"/>
      <c r="E461" s="17"/>
      <c r="F461" s="12"/>
      <c r="G461" s="17"/>
      <c r="H461" s="12"/>
      <c r="I461" s="12"/>
      <c r="J461" s="12"/>
      <c r="K461" s="12"/>
      <c r="L461" s="12"/>
      <c r="M461" s="12"/>
      <c r="N461" s="12"/>
      <c r="O461" s="12"/>
    </row>
    <row r="462" ht="13.5" customHeight="1">
      <c r="A462" s="17"/>
      <c r="B462" s="12"/>
      <c r="C462" s="12"/>
      <c r="D462" s="17"/>
      <c r="E462" s="17"/>
      <c r="F462" s="12"/>
      <c r="G462" s="17"/>
      <c r="H462" s="12"/>
      <c r="I462" s="12"/>
      <c r="J462" s="12"/>
      <c r="K462" s="12"/>
      <c r="L462" s="12"/>
      <c r="M462" s="12"/>
      <c r="N462" s="12"/>
      <c r="O462" s="12"/>
    </row>
    <row r="463" ht="13.5" customHeight="1">
      <c r="A463" s="17"/>
      <c r="B463" s="12"/>
      <c r="C463" s="12"/>
      <c r="D463" s="17"/>
      <c r="E463" s="17"/>
      <c r="F463" s="12"/>
      <c r="G463" s="17"/>
      <c r="H463" s="12"/>
      <c r="I463" s="12"/>
      <c r="J463" s="12"/>
      <c r="K463" s="12"/>
      <c r="L463" s="12"/>
      <c r="M463" s="12"/>
      <c r="N463" s="12"/>
      <c r="O463" s="12"/>
    </row>
    <row r="464" ht="13.5" customHeight="1">
      <c r="A464" s="17"/>
      <c r="B464" s="12"/>
      <c r="C464" s="12"/>
      <c r="D464" s="17"/>
      <c r="E464" s="17"/>
      <c r="F464" s="12"/>
      <c r="G464" s="17"/>
      <c r="H464" s="12"/>
      <c r="I464" s="12"/>
      <c r="J464" s="12"/>
      <c r="K464" s="12"/>
      <c r="L464" s="12"/>
      <c r="M464" s="12"/>
      <c r="N464" s="12"/>
      <c r="O464" s="12"/>
    </row>
    <row r="465" ht="13.5" customHeight="1">
      <c r="A465" s="17"/>
      <c r="B465" s="12"/>
      <c r="C465" s="12"/>
      <c r="D465" s="17"/>
      <c r="E465" s="17"/>
      <c r="F465" s="12"/>
      <c r="G465" s="17"/>
      <c r="H465" s="12"/>
      <c r="I465" s="12"/>
      <c r="J465" s="12"/>
      <c r="K465" s="12"/>
      <c r="L465" s="12"/>
      <c r="M465" s="12"/>
      <c r="N465" s="12"/>
      <c r="O465" s="12"/>
    </row>
    <row r="466" ht="13.5" customHeight="1">
      <c r="A466" s="17"/>
      <c r="B466" s="12"/>
      <c r="C466" s="12"/>
      <c r="D466" s="17"/>
      <c r="E466" s="17"/>
      <c r="F466" s="12"/>
      <c r="G466" s="17"/>
      <c r="H466" s="12"/>
      <c r="I466" s="12"/>
      <c r="J466" s="12"/>
      <c r="K466" s="12"/>
      <c r="L466" s="12"/>
      <c r="M466" s="12"/>
      <c r="N466" s="12"/>
      <c r="O466" s="12"/>
    </row>
    <row r="467" ht="13.5" customHeight="1">
      <c r="A467" s="17"/>
      <c r="B467" s="12"/>
      <c r="C467" s="12"/>
      <c r="D467" s="17"/>
      <c r="E467" s="17"/>
      <c r="F467" s="12"/>
      <c r="G467" s="17"/>
      <c r="H467" s="12"/>
      <c r="I467" s="12"/>
      <c r="J467" s="12"/>
      <c r="K467" s="12"/>
      <c r="L467" s="12"/>
      <c r="M467" s="12"/>
      <c r="N467" s="12"/>
      <c r="O467" s="12"/>
    </row>
    <row r="468" ht="13.5" customHeight="1">
      <c r="A468" s="17"/>
      <c r="B468" s="12"/>
      <c r="C468" s="12"/>
      <c r="D468" s="17"/>
      <c r="E468" s="17"/>
      <c r="F468" s="12"/>
      <c r="G468" s="17"/>
      <c r="H468" s="12"/>
      <c r="I468" s="12"/>
      <c r="J468" s="12"/>
      <c r="K468" s="12"/>
      <c r="L468" s="12"/>
      <c r="M468" s="12"/>
      <c r="N468" s="12"/>
      <c r="O468" s="12"/>
    </row>
    <row r="469" ht="13.5" customHeight="1">
      <c r="A469" s="17"/>
      <c r="B469" s="12"/>
      <c r="C469" s="12"/>
      <c r="D469" s="17"/>
      <c r="E469" s="17"/>
      <c r="F469" s="12"/>
      <c r="G469" s="17"/>
      <c r="H469" s="12"/>
      <c r="I469" s="12"/>
      <c r="J469" s="12"/>
      <c r="K469" s="12"/>
      <c r="L469" s="12"/>
      <c r="M469" s="12"/>
      <c r="N469" s="12"/>
      <c r="O469" s="12"/>
    </row>
    <row r="470" ht="13.5" customHeight="1">
      <c r="A470" s="17"/>
      <c r="B470" s="12"/>
      <c r="C470" s="12"/>
      <c r="D470" s="17"/>
      <c r="E470" s="17"/>
      <c r="F470" s="12"/>
      <c r="G470" s="17"/>
      <c r="H470" s="12"/>
      <c r="I470" s="12"/>
      <c r="J470" s="12"/>
      <c r="K470" s="12"/>
      <c r="L470" s="12"/>
      <c r="M470" s="12"/>
      <c r="N470" s="12"/>
      <c r="O470" s="12"/>
    </row>
    <row r="471" ht="13.5" customHeight="1">
      <c r="A471" s="17"/>
      <c r="B471" s="12"/>
      <c r="C471" s="12"/>
      <c r="D471" s="17"/>
      <c r="E471" s="17"/>
      <c r="F471" s="12"/>
      <c r="G471" s="17"/>
      <c r="H471" s="12"/>
      <c r="I471" s="12"/>
      <c r="J471" s="12"/>
      <c r="K471" s="12"/>
      <c r="L471" s="12"/>
      <c r="M471" s="12"/>
      <c r="N471" s="12"/>
      <c r="O471" s="12"/>
    </row>
    <row r="472" ht="13.5" customHeight="1">
      <c r="A472" s="17"/>
      <c r="B472" s="12"/>
      <c r="C472" s="12"/>
      <c r="D472" s="17"/>
      <c r="E472" s="17"/>
      <c r="F472" s="12"/>
      <c r="G472" s="17"/>
      <c r="H472" s="12"/>
      <c r="I472" s="12"/>
      <c r="J472" s="12"/>
      <c r="K472" s="12"/>
      <c r="L472" s="12"/>
      <c r="M472" s="12"/>
      <c r="N472" s="12"/>
      <c r="O472" s="12"/>
    </row>
    <row r="473" ht="13.5" customHeight="1">
      <c r="A473" s="17"/>
      <c r="B473" s="12"/>
      <c r="C473" s="12"/>
      <c r="D473" s="17"/>
      <c r="E473" s="17"/>
      <c r="F473" s="12"/>
      <c r="G473" s="17"/>
      <c r="H473" s="12"/>
      <c r="I473" s="12"/>
      <c r="J473" s="12"/>
      <c r="K473" s="12"/>
      <c r="L473" s="12"/>
      <c r="M473" s="12"/>
      <c r="N473" s="12"/>
      <c r="O473" s="12"/>
    </row>
    <row r="474" ht="13.5" customHeight="1">
      <c r="A474" s="17"/>
      <c r="B474" s="12"/>
      <c r="C474" s="12"/>
      <c r="D474" s="17"/>
      <c r="E474" s="17"/>
      <c r="F474" s="12"/>
      <c r="G474" s="17"/>
      <c r="H474" s="12"/>
      <c r="I474" s="12"/>
      <c r="J474" s="12"/>
      <c r="K474" s="12"/>
      <c r="L474" s="12"/>
      <c r="M474" s="12"/>
      <c r="N474" s="12"/>
      <c r="O474" s="12"/>
    </row>
    <row r="475" ht="13.5" customHeight="1">
      <c r="A475" s="17"/>
      <c r="B475" s="12"/>
      <c r="C475" s="12"/>
      <c r="D475" s="17"/>
      <c r="E475" s="17"/>
      <c r="F475" s="12"/>
      <c r="G475" s="17"/>
      <c r="H475" s="12"/>
      <c r="I475" s="12"/>
      <c r="J475" s="12"/>
      <c r="K475" s="12"/>
      <c r="L475" s="12"/>
      <c r="M475" s="12"/>
      <c r="N475" s="12"/>
      <c r="O475" s="12"/>
    </row>
    <row r="476" ht="13.5" customHeight="1">
      <c r="A476" s="17"/>
      <c r="B476" s="12"/>
      <c r="C476" s="12"/>
      <c r="D476" s="17"/>
      <c r="E476" s="17"/>
      <c r="F476" s="12"/>
      <c r="G476" s="17"/>
      <c r="H476" s="12"/>
      <c r="I476" s="12"/>
      <c r="J476" s="12"/>
      <c r="K476" s="12"/>
      <c r="L476" s="12"/>
      <c r="M476" s="12"/>
      <c r="N476" s="12"/>
      <c r="O476" s="12"/>
    </row>
    <row r="477" ht="13.5" customHeight="1">
      <c r="A477" s="17"/>
      <c r="B477" s="12"/>
      <c r="C477" s="12"/>
      <c r="D477" s="17"/>
      <c r="E477" s="17"/>
      <c r="F477" s="12"/>
      <c r="G477" s="17"/>
      <c r="H477" s="12"/>
      <c r="I477" s="12"/>
      <c r="J477" s="12"/>
      <c r="K477" s="12"/>
      <c r="L477" s="12"/>
      <c r="M477" s="12"/>
      <c r="N477" s="12"/>
      <c r="O477" s="12"/>
    </row>
    <row r="478" ht="13.5" customHeight="1">
      <c r="A478" s="17"/>
      <c r="B478" s="12"/>
      <c r="C478" s="12"/>
      <c r="D478" s="17"/>
      <c r="E478" s="17"/>
      <c r="F478" s="12"/>
      <c r="G478" s="17"/>
      <c r="H478" s="12"/>
      <c r="I478" s="12"/>
      <c r="J478" s="12"/>
      <c r="K478" s="12"/>
      <c r="L478" s="12"/>
      <c r="M478" s="12"/>
      <c r="N478" s="12"/>
      <c r="O478" s="12"/>
    </row>
    <row r="479" ht="13.5" customHeight="1">
      <c r="A479" s="17"/>
      <c r="B479" s="12"/>
      <c r="C479" s="12"/>
      <c r="D479" s="17"/>
      <c r="E479" s="17"/>
      <c r="F479" s="12"/>
      <c r="G479" s="17"/>
      <c r="H479" s="12"/>
      <c r="I479" s="12"/>
      <c r="J479" s="12"/>
      <c r="K479" s="12"/>
      <c r="L479" s="12"/>
      <c r="M479" s="12"/>
      <c r="N479" s="12"/>
      <c r="O479" s="12"/>
    </row>
    <row r="480" ht="13.5" customHeight="1">
      <c r="A480" s="17"/>
      <c r="B480" s="12"/>
      <c r="C480" s="12"/>
      <c r="D480" s="17"/>
      <c r="E480" s="17"/>
      <c r="F480" s="12"/>
      <c r="G480" s="17"/>
      <c r="H480" s="12"/>
      <c r="I480" s="12"/>
      <c r="J480" s="12"/>
      <c r="K480" s="12"/>
      <c r="L480" s="12"/>
      <c r="M480" s="12"/>
      <c r="N480" s="12"/>
      <c r="O480" s="12"/>
    </row>
    <row r="481" ht="13.5" customHeight="1">
      <c r="A481" s="17"/>
      <c r="B481" s="12"/>
      <c r="C481" s="12"/>
      <c r="D481" s="17"/>
      <c r="E481" s="17"/>
      <c r="F481" s="12"/>
      <c r="G481" s="17"/>
      <c r="H481" s="12"/>
      <c r="I481" s="12"/>
      <c r="J481" s="12"/>
      <c r="K481" s="12"/>
      <c r="L481" s="12"/>
      <c r="M481" s="12"/>
      <c r="N481" s="12"/>
      <c r="O481" s="12"/>
    </row>
    <row r="482" ht="13.5" customHeight="1">
      <c r="A482" s="17"/>
      <c r="B482" s="12"/>
      <c r="C482" s="12"/>
      <c r="D482" s="17"/>
      <c r="E482" s="17"/>
      <c r="F482" s="12"/>
      <c r="G482" s="17"/>
      <c r="H482" s="12"/>
      <c r="I482" s="12"/>
      <c r="J482" s="12"/>
      <c r="K482" s="12"/>
      <c r="L482" s="12"/>
      <c r="M482" s="12"/>
      <c r="N482" s="12"/>
      <c r="O482" s="12"/>
    </row>
    <row r="483" ht="13.5" customHeight="1">
      <c r="A483" s="17"/>
      <c r="B483" s="12"/>
      <c r="C483" s="12"/>
      <c r="D483" s="17"/>
      <c r="E483" s="17"/>
      <c r="F483" s="12"/>
      <c r="G483" s="17"/>
      <c r="H483" s="12"/>
      <c r="I483" s="12"/>
      <c r="J483" s="12"/>
      <c r="K483" s="12"/>
      <c r="L483" s="12"/>
      <c r="M483" s="12"/>
      <c r="N483" s="12"/>
      <c r="O483" s="12"/>
    </row>
    <row r="484" ht="13.5" customHeight="1">
      <c r="A484" s="17"/>
      <c r="B484" s="12"/>
      <c r="C484" s="12"/>
      <c r="D484" s="17"/>
      <c r="E484" s="17"/>
      <c r="F484" s="12"/>
      <c r="G484" s="17"/>
      <c r="H484" s="12"/>
      <c r="I484" s="12"/>
      <c r="J484" s="12"/>
      <c r="K484" s="12"/>
      <c r="L484" s="12"/>
      <c r="M484" s="12"/>
      <c r="N484" s="12"/>
      <c r="O484" s="12"/>
    </row>
    <row r="485" ht="13.5" customHeight="1">
      <c r="A485" s="17"/>
      <c r="B485" s="12"/>
      <c r="C485" s="12"/>
      <c r="D485" s="17"/>
      <c r="E485" s="17"/>
      <c r="F485" s="12"/>
      <c r="G485" s="17"/>
      <c r="H485" s="12"/>
      <c r="I485" s="12"/>
      <c r="J485" s="12"/>
      <c r="K485" s="12"/>
      <c r="L485" s="12"/>
      <c r="M485" s="12"/>
      <c r="N485" s="12"/>
      <c r="O485" s="12"/>
    </row>
    <row r="486" ht="13.5" customHeight="1">
      <c r="A486" s="17"/>
      <c r="B486" s="12"/>
      <c r="C486" s="12"/>
      <c r="D486" s="17"/>
      <c r="E486" s="17"/>
      <c r="F486" s="12"/>
      <c r="G486" s="17"/>
      <c r="H486" s="12"/>
      <c r="I486" s="12"/>
      <c r="J486" s="12"/>
      <c r="K486" s="12"/>
      <c r="L486" s="12"/>
      <c r="M486" s="12"/>
      <c r="N486" s="12"/>
      <c r="O486" s="12"/>
    </row>
    <row r="487" ht="13.5" customHeight="1">
      <c r="A487" s="17"/>
      <c r="B487" s="12"/>
      <c r="C487" s="12"/>
      <c r="D487" s="17"/>
      <c r="E487" s="17"/>
      <c r="F487" s="12"/>
      <c r="G487" s="17"/>
      <c r="H487" s="12"/>
      <c r="I487" s="12"/>
      <c r="J487" s="12"/>
      <c r="K487" s="12"/>
      <c r="L487" s="12"/>
      <c r="M487" s="12"/>
      <c r="N487" s="12"/>
      <c r="O487" s="12"/>
    </row>
    <row r="488" ht="13.5" customHeight="1">
      <c r="A488" s="17"/>
      <c r="B488" s="12"/>
      <c r="C488" s="12"/>
      <c r="D488" s="17"/>
      <c r="E488" s="17"/>
      <c r="F488" s="12"/>
      <c r="G488" s="17"/>
      <c r="H488" s="12"/>
      <c r="I488" s="12"/>
      <c r="J488" s="12"/>
      <c r="K488" s="12"/>
      <c r="L488" s="12"/>
      <c r="M488" s="12"/>
      <c r="N488" s="12"/>
      <c r="O488" s="12"/>
    </row>
    <row r="489" ht="13.5" customHeight="1">
      <c r="A489" s="17"/>
      <c r="B489" s="12"/>
      <c r="C489" s="12"/>
      <c r="D489" s="17"/>
      <c r="E489" s="17"/>
      <c r="F489" s="12"/>
      <c r="G489" s="17"/>
      <c r="H489" s="12"/>
      <c r="I489" s="12"/>
      <c r="J489" s="12"/>
      <c r="K489" s="12"/>
      <c r="L489" s="12"/>
      <c r="M489" s="12"/>
      <c r="N489" s="12"/>
      <c r="O489" s="12"/>
    </row>
    <row r="490" ht="13.5" customHeight="1">
      <c r="A490" s="17"/>
      <c r="B490" s="12"/>
      <c r="C490" s="12"/>
      <c r="D490" s="17"/>
      <c r="E490" s="17"/>
      <c r="F490" s="12"/>
      <c r="G490" s="17"/>
      <c r="H490" s="12"/>
      <c r="I490" s="12"/>
      <c r="J490" s="12"/>
      <c r="K490" s="12"/>
      <c r="L490" s="12"/>
      <c r="M490" s="12"/>
      <c r="N490" s="12"/>
      <c r="O490" s="12"/>
    </row>
    <row r="491" ht="13.5" customHeight="1">
      <c r="A491" s="17"/>
      <c r="B491" s="12"/>
      <c r="C491" s="12"/>
      <c r="D491" s="17"/>
      <c r="E491" s="17"/>
      <c r="F491" s="12"/>
      <c r="G491" s="17"/>
      <c r="H491" s="12"/>
      <c r="I491" s="12"/>
      <c r="J491" s="12"/>
      <c r="K491" s="12"/>
      <c r="L491" s="12"/>
      <c r="M491" s="12"/>
      <c r="N491" s="12"/>
      <c r="O491" s="12"/>
    </row>
    <row r="492" ht="13.5" customHeight="1">
      <c r="A492" s="17"/>
      <c r="B492" s="12"/>
      <c r="C492" s="12"/>
      <c r="D492" s="17"/>
      <c r="E492" s="17"/>
      <c r="F492" s="12"/>
      <c r="G492" s="17"/>
      <c r="H492" s="12"/>
      <c r="I492" s="12"/>
      <c r="J492" s="12"/>
      <c r="K492" s="12"/>
      <c r="L492" s="12"/>
      <c r="M492" s="12"/>
      <c r="N492" s="12"/>
      <c r="O492" s="12"/>
    </row>
    <row r="493" ht="13.5" customHeight="1">
      <c r="A493" s="17"/>
      <c r="B493" s="12"/>
      <c r="C493" s="12"/>
      <c r="D493" s="17"/>
      <c r="E493" s="17"/>
      <c r="F493" s="12"/>
      <c r="G493" s="17"/>
      <c r="H493" s="12"/>
      <c r="I493" s="12"/>
      <c r="J493" s="12"/>
      <c r="K493" s="12"/>
      <c r="L493" s="12"/>
      <c r="M493" s="12"/>
      <c r="N493" s="12"/>
      <c r="O493" s="12"/>
    </row>
    <row r="494" ht="13.5" customHeight="1">
      <c r="A494" s="17"/>
      <c r="B494" s="12"/>
      <c r="C494" s="12"/>
      <c r="D494" s="17"/>
      <c r="E494" s="17"/>
      <c r="F494" s="12"/>
      <c r="G494" s="17"/>
      <c r="H494" s="12"/>
      <c r="I494" s="12"/>
      <c r="J494" s="12"/>
      <c r="K494" s="12"/>
      <c r="L494" s="12"/>
      <c r="M494" s="12"/>
      <c r="N494" s="12"/>
      <c r="O494" s="12"/>
    </row>
    <row r="495" ht="13.5" customHeight="1">
      <c r="A495" s="17"/>
      <c r="B495" s="12"/>
      <c r="C495" s="12"/>
      <c r="D495" s="17"/>
      <c r="E495" s="17"/>
      <c r="F495" s="12"/>
      <c r="G495" s="17"/>
      <c r="H495" s="12"/>
      <c r="I495" s="12"/>
      <c r="J495" s="12"/>
      <c r="K495" s="12"/>
      <c r="L495" s="12"/>
      <c r="M495" s="12"/>
      <c r="N495" s="12"/>
      <c r="O495" s="12"/>
    </row>
    <row r="496" ht="13.5" customHeight="1">
      <c r="A496" s="17"/>
      <c r="B496" s="12"/>
      <c r="C496" s="12"/>
      <c r="D496" s="17"/>
      <c r="E496" s="17"/>
      <c r="F496" s="12"/>
      <c r="G496" s="17"/>
      <c r="H496" s="12"/>
      <c r="I496" s="12"/>
      <c r="J496" s="12"/>
      <c r="K496" s="12"/>
      <c r="L496" s="12"/>
      <c r="M496" s="12"/>
      <c r="N496" s="12"/>
      <c r="O496" s="12"/>
    </row>
    <row r="497" ht="13.5" customHeight="1">
      <c r="A497" s="17"/>
      <c r="B497" s="12"/>
      <c r="C497" s="12"/>
      <c r="D497" s="17"/>
      <c r="E497" s="17"/>
      <c r="F497" s="12"/>
      <c r="G497" s="17"/>
      <c r="H497" s="12"/>
      <c r="I497" s="12"/>
      <c r="J497" s="12"/>
      <c r="K497" s="12"/>
      <c r="L497" s="12"/>
      <c r="M497" s="12"/>
      <c r="N497" s="12"/>
      <c r="O497" s="12"/>
    </row>
    <row r="498" ht="13.5" customHeight="1">
      <c r="A498" s="17"/>
      <c r="B498" s="12"/>
      <c r="C498" s="12"/>
      <c r="D498" s="17"/>
      <c r="E498" s="17"/>
      <c r="F498" s="12"/>
      <c r="G498" s="17"/>
      <c r="H498" s="12"/>
      <c r="I498" s="12"/>
      <c r="J498" s="12"/>
      <c r="K498" s="12"/>
      <c r="L498" s="12"/>
      <c r="M498" s="12"/>
      <c r="N498" s="12"/>
      <c r="O498" s="12"/>
    </row>
    <row r="499" ht="13.5" customHeight="1">
      <c r="A499" s="17"/>
      <c r="B499" s="12"/>
      <c r="C499" s="12"/>
      <c r="D499" s="17"/>
      <c r="E499" s="17"/>
      <c r="F499" s="12"/>
      <c r="G499" s="17"/>
      <c r="H499" s="12"/>
      <c r="I499" s="12"/>
      <c r="J499" s="12"/>
      <c r="K499" s="12"/>
      <c r="L499" s="12"/>
      <c r="M499" s="12"/>
      <c r="N499" s="12"/>
      <c r="O499" s="12"/>
    </row>
    <row r="500" ht="13.5" customHeight="1">
      <c r="A500" s="17"/>
      <c r="B500" s="12"/>
      <c r="C500" s="12"/>
      <c r="D500" s="17"/>
      <c r="E500" s="17"/>
      <c r="F500" s="12"/>
      <c r="G500" s="17"/>
      <c r="H500" s="12"/>
      <c r="I500" s="12"/>
      <c r="J500" s="12"/>
      <c r="K500" s="12"/>
      <c r="L500" s="12"/>
      <c r="M500" s="12"/>
      <c r="N500" s="12"/>
      <c r="O500" s="12"/>
    </row>
    <row r="501" ht="13.5" customHeight="1">
      <c r="A501" s="17"/>
      <c r="B501" s="12"/>
      <c r="C501" s="12"/>
      <c r="D501" s="17"/>
      <c r="E501" s="17"/>
      <c r="F501" s="12"/>
      <c r="G501" s="17"/>
      <c r="H501" s="12"/>
      <c r="I501" s="12"/>
      <c r="J501" s="12"/>
      <c r="K501" s="12"/>
      <c r="L501" s="12"/>
      <c r="M501" s="12"/>
      <c r="N501" s="12"/>
      <c r="O501" s="12"/>
    </row>
    <row r="502" ht="13.5" customHeight="1">
      <c r="A502" s="17"/>
      <c r="B502" s="12"/>
      <c r="C502" s="12"/>
      <c r="D502" s="17"/>
      <c r="E502" s="17"/>
      <c r="F502" s="12"/>
      <c r="G502" s="17"/>
      <c r="H502" s="12"/>
      <c r="I502" s="12"/>
      <c r="J502" s="12"/>
      <c r="K502" s="12"/>
      <c r="L502" s="12"/>
      <c r="M502" s="12"/>
      <c r="N502" s="12"/>
      <c r="O502" s="12"/>
    </row>
    <row r="503" ht="13.5" customHeight="1">
      <c r="A503" s="17"/>
      <c r="B503" s="12"/>
      <c r="C503" s="12"/>
      <c r="D503" s="17"/>
      <c r="E503" s="17"/>
      <c r="F503" s="12"/>
      <c r="G503" s="17"/>
      <c r="H503" s="12"/>
      <c r="I503" s="12"/>
      <c r="J503" s="12"/>
      <c r="K503" s="12"/>
      <c r="L503" s="12"/>
      <c r="M503" s="12"/>
      <c r="N503" s="12"/>
      <c r="O503" s="12"/>
    </row>
    <row r="504" ht="13.5" customHeight="1">
      <c r="A504" s="17"/>
      <c r="B504" s="12"/>
      <c r="C504" s="12"/>
      <c r="D504" s="17"/>
      <c r="E504" s="17"/>
      <c r="F504" s="12"/>
      <c r="G504" s="17"/>
      <c r="H504" s="12"/>
      <c r="I504" s="12"/>
      <c r="J504" s="12"/>
      <c r="K504" s="12"/>
      <c r="L504" s="12"/>
      <c r="M504" s="12"/>
      <c r="N504" s="12"/>
      <c r="O504" s="12"/>
    </row>
    <row r="505" ht="13.5" customHeight="1">
      <c r="A505" s="17"/>
      <c r="B505" s="12"/>
      <c r="C505" s="12"/>
      <c r="D505" s="17"/>
      <c r="E505" s="17"/>
      <c r="F505" s="12"/>
      <c r="G505" s="17"/>
      <c r="H505" s="12"/>
      <c r="I505" s="12"/>
      <c r="J505" s="12"/>
      <c r="K505" s="12"/>
      <c r="L505" s="12"/>
      <c r="M505" s="12"/>
      <c r="N505" s="12"/>
      <c r="O505" s="12"/>
    </row>
    <row r="506" ht="13.5" customHeight="1">
      <c r="A506" s="17"/>
      <c r="B506" s="12"/>
      <c r="C506" s="12"/>
      <c r="D506" s="17"/>
      <c r="E506" s="17"/>
      <c r="F506" s="12"/>
      <c r="G506" s="17"/>
      <c r="H506" s="12"/>
      <c r="I506" s="12"/>
      <c r="J506" s="12"/>
      <c r="K506" s="12"/>
      <c r="L506" s="12"/>
      <c r="M506" s="12"/>
      <c r="N506" s="12"/>
      <c r="O506" s="12"/>
    </row>
    <row r="507" ht="13.5" customHeight="1">
      <c r="A507" s="17"/>
      <c r="B507" s="12"/>
      <c r="C507" s="12"/>
      <c r="D507" s="17"/>
      <c r="E507" s="17"/>
      <c r="F507" s="12"/>
      <c r="G507" s="17"/>
      <c r="H507" s="12"/>
      <c r="I507" s="12"/>
      <c r="J507" s="12"/>
      <c r="K507" s="12"/>
      <c r="L507" s="12"/>
      <c r="M507" s="12"/>
      <c r="N507" s="12"/>
      <c r="O507" s="12"/>
    </row>
    <row r="508" ht="13.5" customHeight="1">
      <c r="A508" s="17"/>
      <c r="B508" s="12"/>
      <c r="C508" s="12"/>
      <c r="D508" s="17"/>
      <c r="E508" s="17"/>
      <c r="F508" s="12"/>
      <c r="G508" s="17"/>
      <c r="H508" s="12"/>
      <c r="I508" s="12"/>
      <c r="J508" s="12"/>
      <c r="K508" s="12"/>
      <c r="L508" s="12"/>
      <c r="M508" s="12"/>
      <c r="N508" s="12"/>
      <c r="O508" s="12"/>
    </row>
    <row r="509" ht="13.5" customHeight="1">
      <c r="A509" s="17"/>
      <c r="B509" s="12"/>
      <c r="C509" s="12"/>
      <c r="D509" s="17"/>
      <c r="E509" s="17"/>
      <c r="F509" s="12"/>
      <c r="G509" s="17"/>
      <c r="H509" s="12"/>
      <c r="I509" s="12"/>
      <c r="J509" s="12"/>
      <c r="K509" s="12"/>
      <c r="L509" s="12"/>
      <c r="M509" s="12"/>
      <c r="N509" s="12"/>
      <c r="O509" s="12"/>
    </row>
    <row r="510" ht="13.5" customHeight="1">
      <c r="A510" s="17"/>
      <c r="B510" s="12"/>
      <c r="C510" s="12"/>
      <c r="D510" s="17"/>
      <c r="E510" s="17"/>
      <c r="F510" s="12"/>
      <c r="G510" s="17"/>
      <c r="H510" s="12"/>
      <c r="I510" s="12"/>
      <c r="J510" s="12"/>
      <c r="K510" s="12"/>
      <c r="L510" s="12"/>
      <c r="M510" s="12"/>
      <c r="N510" s="12"/>
      <c r="O510" s="12"/>
    </row>
    <row r="511" ht="13.5" customHeight="1">
      <c r="A511" s="17"/>
      <c r="B511" s="12"/>
      <c r="C511" s="12"/>
      <c r="D511" s="17"/>
      <c r="E511" s="17"/>
      <c r="F511" s="12"/>
      <c r="G511" s="17"/>
      <c r="H511" s="12"/>
      <c r="I511" s="12"/>
      <c r="J511" s="12"/>
      <c r="K511" s="12"/>
      <c r="L511" s="12"/>
      <c r="M511" s="12"/>
      <c r="N511" s="12"/>
      <c r="O511" s="12"/>
    </row>
    <row r="512" ht="13.5" customHeight="1">
      <c r="A512" s="17"/>
      <c r="B512" s="12"/>
      <c r="C512" s="12"/>
      <c r="D512" s="17"/>
      <c r="E512" s="17"/>
      <c r="F512" s="12"/>
      <c r="G512" s="17"/>
      <c r="H512" s="12"/>
      <c r="I512" s="12"/>
      <c r="J512" s="12"/>
      <c r="K512" s="12"/>
      <c r="L512" s="12"/>
      <c r="M512" s="12"/>
      <c r="N512" s="12"/>
      <c r="O512" s="12"/>
    </row>
    <row r="513" ht="13.5" customHeight="1">
      <c r="A513" s="17"/>
      <c r="B513" s="12"/>
      <c r="C513" s="12"/>
      <c r="D513" s="17"/>
      <c r="E513" s="17"/>
      <c r="F513" s="12"/>
      <c r="G513" s="17"/>
      <c r="H513" s="12"/>
      <c r="I513" s="12"/>
      <c r="J513" s="12"/>
      <c r="K513" s="12"/>
      <c r="L513" s="12"/>
      <c r="M513" s="12"/>
      <c r="N513" s="12"/>
      <c r="O513" s="12"/>
    </row>
    <row r="514" ht="13.5" customHeight="1">
      <c r="A514" s="17"/>
      <c r="B514" s="12"/>
      <c r="C514" s="12"/>
      <c r="D514" s="17"/>
      <c r="E514" s="17"/>
      <c r="F514" s="12"/>
      <c r="G514" s="17"/>
      <c r="H514" s="12"/>
      <c r="I514" s="12"/>
      <c r="J514" s="12"/>
      <c r="K514" s="12"/>
      <c r="L514" s="12"/>
      <c r="M514" s="12"/>
      <c r="N514" s="12"/>
      <c r="O514" s="12"/>
    </row>
    <row r="515" ht="13.5" customHeight="1">
      <c r="A515" s="17"/>
      <c r="B515" s="12"/>
      <c r="C515" s="12"/>
      <c r="D515" s="17"/>
      <c r="E515" s="17"/>
      <c r="F515" s="12"/>
      <c r="G515" s="17"/>
      <c r="H515" s="12"/>
      <c r="I515" s="12"/>
      <c r="J515" s="12"/>
      <c r="K515" s="12"/>
      <c r="L515" s="12"/>
      <c r="M515" s="12"/>
      <c r="N515" s="12"/>
      <c r="O515" s="12"/>
    </row>
    <row r="516" ht="13.5" customHeight="1">
      <c r="A516" s="17"/>
      <c r="B516" s="12"/>
      <c r="C516" s="12"/>
      <c r="D516" s="17"/>
      <c r="E516" s="17"/>
      <c r="F516" s="12"/>
      <c r="G516" s="17"/>
      <c r="H516" s="12"/>
      <c r="I516" s="12"/>
      <c r="J516" s="12"/>
      <c r="K516" s="12"/>
      <c r="L516" s="12"/>
      <c r="M516" s="12"/>
      <c r="N516" s="12"/>
      <c r="O516" s="12"/>
    </row>
    <row r="517" ht="13.5" customHeight="1">
      <c r="A517" s="17"/>
      <c r="B517" s="12"/>
      <c r="C517" s="12"/>
      <c r="D517" s="17"/>
      <c r="E517" s="17"/>
      <c r="F517" s="12"/>
      <c r="G517" s="17"/>
      <c r="H517" s="12"/>
      <c r="I517" s="12"/>
      <c r="J517" s="12"/>
      <c r="K517" s="12"/>
      <c r="L517" s="12"/>
      <c r="M517" s="12"/>
      <c r="N517" s="12"/>
      <c r="O517" s="12"/>
    </row>
    <row r="518" ht="13.5" customHeight="1">
      <c r="A518" s="17"/>
      <c r="B518" s="12"/>
      <c r="C518" s="12"/>
      <c r="D518" s="17"/>
      <c r="E518" s="17"/>
      <c r="F518" s="12"/>
      <c r="G518" s="17"/>
      <c r="H518" s="12"/>
      <c r="I518" s="12"/>
      <c r="J518" s="12"/>
      <c r="K518" s="12"/>
      <c r="L518" s="12"/>
      <c r="M518" s="12"/>
      <c r="N518" s="12"/>
      <c r="O518" s="12"/>
    </row>
    <row r="519" ht="13.5" customHeight="1">
      <c r="A519" s="17"/>
      <c r="B519" s="12"/>
      <c r="C519" s="12"/>
      <c r="D519" s="17"/>
      <c r="E519" s="17"/>
      <c r="F519" s="12"/>
      <c r="G519" s="17"/>
      <c r="H519" s="12"/>
      <c r="I519" s="12"/>
      <c r="J519" s="12"/>
      <c r="K519" s="12"/>
      <c r="L519" s="12"/>
      <c r="M519" s="12"/>
      <c r="N519" s="12"/>
      <c r="O519" s="12"/>
    </row>
    <row r="520" ht="13.5" customHeight="1">
      <c r="A520" s="17"/>
      <c r="B520" s="12"/>
      <c r="C520" s="12"/>
      <c r="D520" s="17"/>
      <c r="E520" s="17"/>
      <c r="F520" s="12"/>
      <c r="G520" s="17"/>
      <c r="H520" s="12"/>
      <c r="I520" s="12"/>
      <c r="J520" s="12"/>
      <c r="K520" s="12"/>
      <c r="L520" s="12"/>
      <c r="M520" s="12"/>
      <c r="N520" s="12"/>
      <c r="O520" s="12"/>
    </row>
    <row r="521" ht="13.5" customHeight="1">
      <c r="A521" s="17"/>
      <c r="B521" s="12"/>
      <c r="C521" s="12"/>
      <c r="D521" s="17"/>
      <c r="E521" s="17"/>
      <c r="F521" s="12"/>
      <c r="G521" s="17"/>
      <c r="H521" s="12"/>
      <c r="I521" s="12"/>
      <c r="J521" s="12"/>
      <c r="K521" s="12"/>
      <c r="L521" s="12"/>
      <c r="M521" s="12"/>
      <c r="N521" s="12"/>
      <c r="O521" s="12"/>
    </row>
    <row r="522" ht="13.5" customHeight="1">
      <c r="A522" s="17"/>
      <c r="B522" s="12"/>
      <c r="C522" s="12"/>
      <c r="D522" s="17"/>
      <c r="E522" s="17"/>
      <c r="F522" s="12"/>
      <c r="G522" s="17"/>
      <c r="H522" s="12"/>
      <c r="I522" s="12"/>
      <c r="J522" s="12"/>
      <c r="K522" s="12"/>
      <c r="L522" s="12"/>
      <c r="M522" s="12"/>
      <c r="N522" s="12"/>
      <c r="O522" s="12"/>
    </row>
    <row r="523" ht="13.5" customHeight="1">
      <c r="A523" s="17"/>
      <c r="B523" s="12"/>
      <c r="C523" s="12"/>
      <c r="D523" s="17"/>
      <c r="E523" s="17"/>
      <c r="F523" s="12"/>
      <c r="G523" s="17"/>
      <c r="H523" s="12"/>
      <c r="I523" s="12"/>
      <c r="J523" s="12"/>
      <c r="K523" s="12"/>
      <c r="L523" s="12"/>
      <c r="M523" s="12"/>
      <c r="N523" s="12"/>
      <c r="O523" s="12"/>
    </row>
    <row r="524" ht="13.5" customHeight="1">
      <c r="A524" s="17"/>
      <c r="B524" s="12"/>
      <c r="C524" s="12"/>
      <c r="D524" s="17"/>
      <c r="E524" s="17"/>
      <c r="F524" s="12"/>
      <c r="G524" s="17"/>
      <c r="H524" s="12"/>
      <c r="I524" s="12"/>
      <c r="J524" s="12"/>
      <c r="K524" s="12"/>
      <c r="L524" s="12"/>
      <c r="M524" s="12"/>
      <c r="N524" s="12"/>
      <c r="O524" s="12"/>
    </row>
    <row r="525" ht="13.5" customHeight="1">
      <c r="A525" s="17"/>
      <c r="B525" s="12"/>
      <c r="C525" s="12"/>
      <c r="D525" s="17"/>
      <c r="E525" s="17"/>
      <c r="F525" s="12"/>
      <c r="G525" s="17"/>
      <c r="H525" s="12"/>
      <c r="I525" s="12"/>
      <c r="J525" s="12"/>
      <c r="K525" s="12"/>
      <c r="L525" s="12"/>
      <c r="M525" s="12"/>
      <c r="N525" s="12"/>
      <c r="O525" s="12"/>
    </row>
    <row r="526" ht="13.5" customHeight="1">
      <c r="A526" s="17"/>
      <c r="B526" s="12"/>
      <c r="C526" s="12"/>
      <c r="D526" s="17"/>
      <c r="E526" s="17"/>
      <c r="F526" s="12"/>
      <c r="G526" s="17"/>
      <c r="H526" s="12"/>
      <c r="I526" s="12"/>
      <c r="J526" s="12"/>
      <c r="K526" s="12"/>
      <c r="L526" s="12"/>
      <c r="M526" s="12"/>
      <c r="N526" s="12"/>
      <c r="O526" s="12"/>
    </row>
    <row r="527" ht="13.5" customHeight="1">
      <c r="A527" s="17"/>
      <c r="B527" s="12"/>
      <c r="C527" s="12"/>
      <c r="D527" s="17"/>
      <c r="E527" s="17"/>
      <c r="F527" s="12"/>
      <c r="G527" s="17"/>
      <c r="H527" s="12"/>
      <c r="I527" s="12"/>
      <c r="J527" s="12"/>
      <c r="K527" s="12"/>
      <c r="L527" s="12"/>
      <c r="M527" s="12"/>
      <c r="N527" s="12"/>
      <c r="O527" s="12"/>
    </row>
    <row r="528" ht="13.5" customHeight="1">
      <c r="A528" s="17"/>
      <c r="B528" s="12"/>
      <c r="C528" s="12"/>
      <c r="D528" s="17"/>
      <c r="E528" s="17"/>
      <c r="F528" s="12"/>
      <c r="G528" s="17"/>
      <c r="H528" s="12"/>
      <c r="I528" s="12"/>
      <c r="J528" s="12"/>
      <c r="K528" s="12"/>
      <c r="L528" s="12"/>
      <c r="M528" s="12"/>
      <c r="N528" s="12"/>
      <c r="O528" s="12"/>
    </row>
    <row r="529" ht="13.5" customHeight="1">
      <c r="A529" s="17"/>
      <c r="B529" s="12"/>
      <c r="C529" s="12"/>
      <c r="D529" s="17"/>
      <c r="E529" s="17"/>
      <c r="F529" s="12"/>
      <c r="G529" s="17"/>
      <c r="H529" s="12"/>
      <c r="I529" s="12"/>
      <c r="J529" s="12"/>
      <c r="K529" s="12"/>
      <c r="L529" s="12"/>
      <c r="M529" s="12"/>
      <c r="N529" s="12"/>
      <c r="O529" s="12"/>
    </row>
    <row r="530" ht="13.5" customHeight="1">
      <c r="A530" s="17"/>
      <c r="B530" s="12"/>
      <c r="C530" s="12"/>
      <c r="D530" s="17"/>
      <c r="E530" s="17"/>
      <c r="F530" s="12"/>
      <c r="G530" s="17"/>
      <c r="H530" s="12"/>
      <c r="I530" s="12"/>
      <c r="J530" s="12"/>
      <c r="K530" s="12"/>
      <c r="L530" s="12"/>
      <c r="M530" s="12"/>
      <c r="N530" s="12"/>
      <c r="O530" s="12"/>
    </row>
    <row r="531" ht="13.5" customHeight="1">
      <c r="A531" s="17"/>
      <c r="B531" s="12"/>
      <c r="C531" s="12"/>
      <c r="D531" s="17"/>
      <c r="E531" s="17"/>
      <c r="F531" s="12"/>
      <c r="G531" s="17"/>
      <c r="H531" s="12"/>
      <c r="I531" s="12"/>
      <c r="J531" s="12"/>
      <c r="K531" s="12"/>
      <c r="L531" s="12"/>
      <c r="M531" s="12"/>
      <c r="N531" s="12"/>
      <c r="O531" s="12"/>
    </row>
    <row r="532" ht="13.5" customHeight="1">
      <c r="A532" s="17"/>
      <c r="B532" s="12"/>
      <c r="C532" s="12"/>
      <c r="D532" s="17"/>
      <c r="E532" s="17"/>
      <c r="F532" s="12"/>
      <c r="G532" s="17"/>
      <c r="H532" s="12"/>
      <c r="I532" s="12"/>
      <c r="J532" s="12"/>
      <c r="K532" s="12"/>
      <c r="L532" s="12"/>
      <c r="M532" s="12"/>
      <c r="N532" s="12"/>
      <c r="O532" s="12"/>
    </row>
    <row r="533" ht="13.5" customHeight="1">
      <c r="A533" s="17"/>
      <c r="B533" s="12"/>
      <c r="C533" s="12"/>
      <c r="D533" s="17"/>
      <c r="E533" s="17"/>
      <c r="F533" s="12"/>
      <c r="G533" s="17"/>
      <c r="H533" s="12"/>
      <c r="I533" s="12"/>
      <c r="J533" s="12"/>
      <c r="K533" s="12"/>
      <c r="L533" s="12"/>
      <c r="M533" s="12"/>
      <c r="N533" s="12"/>
      <c r="O533" s="12"/>
    </row>
    <row r="534" ht="13.5" customHeight="1">
      <c r="A534" s="17"/>
      <c r="B534" s="12"/>
      <c r="C534" s="12"/>
      <c r="D534" s="17"/>
      <c r="E534" s="17"/>
      <c r="F534" s="12"/>
      <c r="G534" s="17"/>
      <c r="H534" s="12"/>
      <c r="I534" s="12"/>
      <c r="J534" s="12"/>
      <c r="K534" s="12"/>
      <c r="L534" s="12"/>
      <c r="M534" s="12"/>
      <c r="N534" s="12"/>
      <c r="O534" s="12"/>
    </row>
    <row r="535" ht="13.5" customHeight="1">
      <c r="A535" s="17"/>
      <c r="B535" s="12"/>
      <c r="C535" s="12"/>
      <c r="D535" s="17"/>
      <c r="E535" s="17"/>
      <c r="F535" s="12"/>
      <c r="G535" s="17"/>
      <c r="H535" s="12"/>
      <c r="I535" s="12"/>
      <c r="J535" s="12"/>
      <c r="K535" s="12"/>
      <c r="L535" s="12"/>
      <c r="M535" s="12"/>
      <c r="N535" s="12"/>
      <c r="O535" s="12"/>
    </row>
    <row r="536" ht="13.5" customHeight="1">
      <c r="A536" s="17"/>
      <c r="B536" s="12"/>
      <c r="C536" s="12"/>
      <c r="D536" s="17"/>
      <c r="E536" s="17"/>
      <c r="F536" s="12"/>
      <c r="G536" s="17"/>
      <c r="H536" s="12"/>
      <c r="I536" s="12"/>
      <c r="J536" s="12"/>
      <c r="K536" s="12"/>
      <c r="L536" s="12"/>
      <c r="M536" s="12"/>
      <c r="N536" s="12"/>
      <c r="O536" s="12"/>
    </row>
    <row r="537" ht="13.5" customHeight="1">
      <c r="A537" s="17"/>
      <c r="B537" s="12"/>
      <c r="C537" s="12"/>
      <c r="D537" s="17"/>
      <c r="E537" s="17"/>
      <c r="F537" s="12"/>
      <c r="G537" s="17"/>
      <c r="H537" s="12"/>
      <c r="I537" s="12"/>
      <c r="J537" s="12"/>
      <c r="K537" s="12"/>
      <c r="L537" s="12"/>
      <c r="M537" s="12"/>
      <c r="N537" s="12"/>
      <c r="O537" s="12"/>
    </row>
    <row r="538" ht="13.5" customHeight="1">
      <c r="A538" s="17"/>
      <c r="B538" s="12"/>
      <c r="C538" s="12"/>
      <c r="D538" s="17"/>
      <c r="E538" s="17"/>
      <c r="F538" s="12"/>
      <c r="G538" s="17"/>
      <c r="H538" s="12"/>
      <c r="I538" s="12"/>
      <c r="J538" s="12"/>
      <c r="K538" s="12"/>
      <c r="L538" s="12"/>
      <c r="M538" s="12"/>
      <c r="N538" s="12"/>
      <c r="O538" s="12"/>
    </row>
    <row r="539" ht="13.5" customHeight="1">
      <c r="A539" s="17"/>
      <c r="B539" s="12"/>
      <c r="C539" s="12"/>
      <c r="D539" s="17"/>
      <c r="E539" s="17"/>
      <c r="F539" s="12"/>
      <c r="G539" s="17"/>
      <c r="H539" s="12"/>
      <c r="I539" s="12"/>
      <c r="J539" s="12"/>
      <c r="K539" s="12"/>
      <c r="L539" s="12"/>
      <c r="M539" s="12"/>
      <c r="N539" s="12"/>
      <c r="O539" s="12"/>
    </row>
    <row r="540" ht="13.5" customHeight="1">
      <c r="A540" s="17"/>
      <c r="B540" s="12"/>
      <c r="C540" s="12"/>
      <c r="D540" s="17"/>
      <c r="E540" s="17"/>
      <c r="F540" s="12"/>
      <c r="G540" s="17"/>
      <c r="H540" s="12"/>
      <c r="I540" s="12"/>
      <c r="J540" s="12"/>
      <c r="K540" s="12"/>
      <c r="L540" s="12"/>
      <c r="M540" s="12"/>
      <c r="N540" s="12"/>
      <c r="O540" s="12"/>
    </row>
    <row r="541" ht="13.5" customHeight="1">
      <c r="A541" s="17"/>
      <c r="B541" s="12"/>
      <c r="C541" s="12"/>
      <c r="D541" s="17"/>
      <c r="E541" s="17"/>
      <c r="F541" s="12"/>
      <c r="G541" s="17"/>
      <c r="H541" s="12"/>
      <c r="I541" s="12"/>
      <c r="J541" s="12"/>
      <c r="K541" s="12"/>
      <c r="L541" s="12"/>
      <c r="M541" s="12"/>
      <c r="N541" s="12"/>
      <c r="O541" s="12"/>
    </row>
    <row r="542" ht="13.5" customHeight="1">
      <c r="A542" s="17"/>
      <c r="B542" s="12"/>
      <c r="C542" s="12"/>
      <c r="D542" s="17"/>
      <c r="E542" s="17"/>
      <c r="F542" s="12"/>
      <c r="G542" s="17"/>
      <c r="H542" s="12"/>
      <c r="I542" s="12"/>
      <c r="J542" s="12"/>
      <c r="K542" s="12"/>
      <c r="L542" s="12"/>
      <c r="M542" s="12"/>
      <c r="N542" s="12"/>
      <c r="O542" s="12"/>
    </row>
    <row r="543" ht="13.5" customHeight="1">
      <c r="A543" s="17"/>
      <c r="B543" s="12"/>
      <c r="C543" s="12"/>
      <c r="D543" s="17"/>
      <c r="E543" s="17"/>
      <c r="F543" s="12"/>
      <c r="G543" s="17"/>
      <c r="H543" s="12"/>
      <c r="I543" s="12"/>
      <c r="J543" s="12"/>
      <c r="K543" s="12"/>
      <c r="L543" s="12"/>
      <c r="M543" s="12"/>
      <c r="N543" s="12"/>
      <c r="O543" s="12"/>
    </row>
    <row r="544" ht="13.5" customHeight="1">
      <c r="A544" s="17"/>
      <c r="B544" s="12"/>
      <c r="C544" s="12"/>
      <c r="D544" s="17"/>
      <c r="E544" s="17"/>
      <c r="F544" s="12"/>
      <c r="G544" s="17"/>
      <c r="H544" s="12"/>
      <c r="I544" s="12"/>
      <c r="J544" s="12"/>
      <c r="K544" s="12"/>
      <c r="L544" s="12"/>
      <c r="M544" s="12"/>
      <c r="N544" s="12"/>
      <c r="O544" s="12"/>
    </row>
    <row r="545" ht="13.5" customHeight="1">
      <c r="A545" s="17"/>
      <c r="B545" s="12"/>
      <c r="C545" s="12"/>
      <c r="D545" s="17"/>
      <c r="E545" s="17"/>
      <c r="F545" s="12"/>
      <c r="G545" s="17"/>
      <c r="H545" s="12"/>
      <c r="I545" s="12"/>
      <c r="J545" s="12"/>
      <c r="K545" s="12"/>
      <c r="L545" s="12"/>
      <c r="M545" s="12"/>
      <c r="N545" s="12"/>
      <c r="O545" s="12"/>
    </row>
    <row r="546" ht="13.5" customHeight="1">
      <c r="A546" s="17"/>
      <c r="B546" s="12"/>
      <c r="C546" s="12"/>
      <c r="D546" s="17"/>
      <c r="E546" s="17"/>
      <c r="F546" s="12"/>
      <c r="G546" s="17"/>
      <c r="H546" s="12"/>
      <c r="I546" s="12"/>
      <c r="J546" s="12"/>
      <c r="K546" s="12"/>
      <c r="L546" s="12"/>
      <c r="M546" s="12"/>
      <c r="N546" s="12"/>
      <c r="O546" s="12"/>
    </row>
    <row r="547" ht="13.5" customHeight="1">
      <c r="A547" s="17"/>
      <c r="B547" s="12"/>
      <c r="C547" s="12"/>
      <c r="D547" s="17"/>
      <c r="E547" s="17"/>
      <c r="F547" s="12"/>
      <c r="G547" s="17"/>
      <c r="H547" s="12"/>
      <c r="I547" s="12"/>
      <c r="J547" s="12"/>
      <c r="K547" s="12"/>
      <c r="L547" s="12"/>
      <c r="M547" s="12"/>
      <c r="N547" s="12"/>
      <c r="O547" s="12"/>
    </row>
    <row r="548" ht="13.5" customHeight="1">
      <c r="A548" s="17"/>
      <c r="B548" s="12"/>
      <c r="C548" s="12"/>
      <c r="D548" s="17"/>
      <c r="E548" s="17"/>
      <c r="F548" s="12"/>
      <c r="G548" s="17"/>
      <c r="H548" s="12"/>
      <c r="I548" s="12"/>
      <c r="J548" s="12"/>
      <c r="K548" s="12"/>
      <c r="L548" s="12"/>
      <c r="M548" s="12"/>
      <c r="N548" s="12"/>
      <c r="O548" s="12"/>
    </row>
    <row r="549" ht="13.5" customHeight="1">
      <c r="A549" s="17"/>
      <c r="B549" s="12"/>
      <c r="C549" s="12"/>
      <c r="D549" s="17"/>
      <c r="E549" s="17"/>
      <c r="F549" s="12"/>
      <c r="G549" s="17"/>
      <c r="H549" s="12"/>
      <c r="I549" s="12"/>
      <c r="J549" s="12"/>
      <c r="K549" s="12"/>
      <c r="L549" s="12"/>
      <c r="M549" s="12"/>
      <c r="N549" s="12"/>
      <c r="O549" s="12"/>
    </row>
    <row r="550" ht="13.5" customHeight="1">
      <c r="A550" s="17"/>
      <c r="B550" s="12"/>
      <c r="C550" s="12"/>
      <c r="D550" s="17"/>
      <c r="E550" s="17"/>
      <c r="F550" s="12"/>
      <c r="G550" s="17"/>
      <c r="H550" s="12"/>
      <c r="I550" s="12"/>
      <c r="J550" s="12"/>
      <c r="K550" s="12"/>
      <c r="L550" s="12"/>
      <c r="M550" s="12"/>
      <c r="N550" s="12"/>
      <c r="O550" s="12"/>
    </row>
    <row r="551" ht="13.5" customHeight="1">
      <c r="A551" s="17"/>
      <c r="B551" s="12"/>
      <c r="C551" s="12"/>
      <c r="D551" s="17"/>
      <c r="E551" s="17"/>
      <c r="F551" s="12"/>
      <c r="G551" s="17"/>
      <c r="H551" s="12"/>
      <c r="I551" s="12"/>
      <c r="J551" s="12"/>
      <c r="K551" s="12"/>
      <c r="L551" s="12"/>
      <c r="M551" s="12"/>
      <c r="N551" s="12"/>
      <c r="O551" s="12"/>
    </row>
    <row r="552" ht="13.5" customHeight="1">
      <c r="A552" s="17"/>
      <c r="B552" s="12"/>
      <c r="C552" s="12"/>
      <c r="D552" s="17"/>
      <c r="E552" s="17"/>
      <c r="F552" s="12"/>
      <c r="G552" s="17"/>
      <c r="H552" s="12"/>
      <c r="I552" s="12"/>
      <c r="J552" s="12"/>
      <c r="K552" s="12"/>
      <c r="L552" s="12"/>
      <c r="M552" s="12"/>
      <c r="N552" s="12"/>
      <c r="O552" s="12"/>
    </row>
    <row r="553" ht="13.5" customHeight="1">
      <c r="A553" s="17"/>
      <c r="B553" s="12"/>
      <c r="C553" s="12"/>
      <c r="D553" s="17"/>
      <c r="E553" s="17"/>
      <c r="F553" s="12"/>
      <c r="G553" s="17"/>
      <c r="H553" s="12"/>
      <c r="I553" s="12"/>
      <c r="J553" s="12"/>
      <c r="K553" s="12"/>
      <c r="L553" s="12"/>
      <c r="M553" s="12"/>
      <c r="N553" s="12"/>
      <c r="O553" s="12"/>
    </row>
    <row r="554" ht="13.5" customHeight="1">
      <c r="A554" s="17"/>
      <c r="B554" s="12"/>
      <c r="C554" s="12"/>
      <c r="D554" s="17"/>
      <c r="E554" s="17"/>
      <c r="F554" s="12"/>
      <c r="G554" s="17"/>
      <c r="H554" s="12"/>
      <c r="I554" s="12"/>
      <c r="J554" s="12"/>
      <c r="K554" s="12"/>
      <c r="L554" s="12"/>
      <c r="M554" s="12"/>
      <c r="N554" s="12"/>
      <c r="O554" s="12"/>
    </row>
    <row r="555" ht="13.5" customHeight="1">
      <c r="A555" s="17"/>
      <c r="B555" s="12"/>
      <c r="C555" s="12"/>
      <c r="D555" s="17"/>
      <c r="E555" s="17"/>
      <c r="F555" s="12"/>
      <c r="G555" s="17"/>
      <c r="H555" s="12"/>
      <c r="I555" s="12"/>
      <c r="J555" s="12"/>
      <c r="K555" s="12"/>
      <c r="L555" s="12"/>
      <c r="M555" s="12"/>
      <c r="N555" s="12"/>
      <c r="O555" s="12"/>
    </row>
    <row r="556" ht="13.5" customHeight="1">
      <c r="A556" s="17"/>
      <c r="B556" s="12"/>
      <c r="C556" s="12"/>
      <c r="D556" s="17"/>
      <c r="E556" s="17"/>
      <c r="F556" s="12"/>
      <c r="G556" s="17"/>
      <c r="H556" s="12"/>
      <c r="I556" s="12"/>
      <c r="J556" s="12"/>
      <c r="K556" s="12"/>
      <c r="L556" s="12"/>
      <c r="M556" s="12"/>
      <c r="N556" s="12"/>
      <c r="O556" s="12"/>
    </row>
    <row r="557" ht="13.5" customHeight="1">
      <c r="A557" s="17"/>
      <c r="B557" s="12"/>
      <c r="C557" s="12"/>
      <c r="D557" s="17"/>
      <c r="E557" s="17"/>
      <c r="F557" s="12"/>
      <c r="G557" s="17"/>
      <c r="H557" s="12"/>
      <c r="I557" s="12"/>
      <c r="J557" s="12"/>
      <c r="K557" s="12"/>
      <c r="L557" s="12"/>
      <c r="M557" s="12"/>
      <c r="N557" s="12"/>
      <c r="O557" s="12"/>
    </row>
    <row r="558" ht="13.5" customHeight="1">
      <c r="A558" s="17"/>
      <c r="B558" s="12"/>
      <c r="C558" s="12"/>
      <c r="D558" s="17"/>
      <c r="E558" s="17"/>
      <c r="F558" s="12"/>
      <c r="G558" s="17"/>
      <c r="H558" s="12"/>
      <c r="I558" s="12"/>
      <c r="J558" s="12"/>
      <c r="K558" s="12"/>
      <c r="L558" s="12"/>
      <c r="M558" s="12"/>
      <c r="N558" s="12"/>
      <c r="O558" s="12"/>
    </row>
    <row r="559" ht="13.5" customHeight="1">
      <c r="A559" s="17"/>
      <c r="B559" s="12"/>
      <c r="C559" s="12"/>
      <c r="D559" s="17"/>
      <c r="E559" s="17"/>
      <c r="F559" s="12"/>
      <c r="G559" s="17"/>
      <c r="H559" s="12"/>
      <c r="I559" s="12"/>
      <c r="J559" s="12"/>
      <c r="K559" s="12"/>
      <c r="L559" s="12"/>
      <c r="M559" s="12"/>
      <c r="N559" s="12"/>
      <c r="O559" s="12"/>
    </row>
    <row r="560" ht="13.5" customHeight="1">
      <c r="A560" s="17"/>
      <c r="B560" s="12"/>
      <c r="C560" s="12"/>
      <c r="D560" s="17"/>
      <c r="E560" s="17"/>
      <c r="F560" s="12"/>
      <c r="G560" s="17"/>
      <c r="H560" s="12"/>
      <c r="I560" s="12"/>
      <c r="J560" s="12"/>
      <c r="K560" s="12"/>
      <c r="L560" s="12"/>
      <c r="M560" s="12"/>
      <c r="N560" s="12"/>
      <c r="O560" s="12"/>
    </row>
    <row r="561" ht="13.5" customHeight="1">
      <c r="A561" s="17"/>
      <c r="B561" s="12"/>
      <c r="C561" s="12"/>
      <c r="D561" s="17"/>
      <c r="E561" s="17"/>
      <c r="F561" s="12"/>
      <c r="G561" s="17"/>
      <c r="H561" s="12"/>
      <c r="I561" s="12"/>
      <c r="J561" s="12"/>
      <c r="K561" s="12"/>
      <c r="L561" s="12"/>
      <c r="M561" s="12"/>
      <c r="N561" s="12"/>
      <c r="O561" s="12"/>
    </row>
    <row r="562" ht="13.5" customHeight="1">
      <c r="A562" s="17"/>
      <c r="B562" s="12"/>
      <c r="C562" s="12"/>
      <c r="D562" s="17"/>
      <c r="E562" s="17"/>
      <c r="F562" s="12"/>
      <c r="G562" s="17"/>
      <c r="H562" s="12"/>
      <c r="I562" s="12"/>
      <c r="J562" s="12"/>
      <c r="K562" s="12"/>
      <c r="L562" s="12"/>
      <c r="M562" s="12"/>
      <c r="N562" s="12"/>
      <c r="O562" s="12"/>
    </row>
    <row r="563" ht="13.5" customHeight="1">
      <c r="A563" s="17"/>
      <c r="B563" s="12"/>
      <c r="C563" s="12"/>
      <c r="D563" s="17"/>
      <c r="E563" s="17"/>
      <c r="F563" s="12"/>
      <c r="G563" s="17"/>
      <c r="H563" s="12"/>
      <c r="I563" s="12"/>
      <c r="J563" s="12"/>
      <c r="K563" s="12"/>
      <c r="L563" s="12"/>
      <c r="M563" s="12"/>
      <c r="N563" s="12"/>
      <c r="O563" s="12"/>
    </row>
    <row r="564" ht="13.5" customHeight="1">
      <c r="A564" s="17"/>
      <c r="B564" s="12"/>
      <c r="C564" s="12"/>
      <c r="D564" s="17"/>
      <c r="E564" s="17"/>
      <c r="F564" s="12"/>
      <c r="G564" s="17"/>
      <c r="H564" s="12"/>
      <c r="I564" s="12"/>
      <c r="J564" s="12"/>
      <c r="K564" s="12"/>
      <c r="L564" s="12"/>
      <c r="M564" s="12"/>
      <c r="N564" s="12"/>
      <c r="O564" s="12"/>
    </row>
    <row r="565" ht="13.5" customHeight="1">
      <c r="A565" s="17"/>
      <c r="B565" s="12"/>
      <c r="C565" s="12"/>
      <c r="D565" s="17"/>
      <c r="E565" s="17"/>
      <c r="F565" s="12"/>
      <c r="G565" s="17"/>
      <c r="H565" s="12"/>
      <c r="I565" s="12"/>
      <c r="J565" s="12"/>
      <c r="K565" s="12"/>
      <c r="L565" s="12"/>
      <c r="M565" s="12"/>
      <c r="N565" s="12"/>
      <c r="O565" s="12"/>
    </row>
    <row r="566" ht="13.5" customHeight="1">
      <c r="A566" s="17"/>
      <c r="B566" s="12"/>
      <c r="C566" s="12"/>
      <c r="D566" s="17"/>
      <c r="E566" s="17"/>
      <c r="F566" s="12"/>
      <c r="G566" s="17"/>
      <c r="H566" s="12"/>
      <c r="I566" s="12"/>
      <c r="J566" s="12"/>
      <c r="K566" s="12"/>
      <c r="L566" s="12"/>
      <c r="M566" s="12"/>
      <c r="N566" s="12"/>
      <c r="O566" s="12"/>
    </row>
    <row r="567" ht="13.5" customHeight="1">
      <c r="A567" s="17"/>
      <c r="B567" s="12"/>
      <c r="C567" s="12"/>
      <c r="D567" s="17"/>
      <c r="E567" s="17"/>
      <c r="F567" s="12"/>
      <c r="G567" s="17"/>
      <c r="H567" s="12"/>
      <c r="I567" s="12"/>
      <c r="J567" s="12"/>
      <c r="K567" s="12"/>
      <c r="L567" s="12"/>
      <c r="M567" s="12"/>
      <c r="N567" s="12"/>
      <c r="O567" s="12"/>
    </row>
    <row r="568" ht="13.5" customHeight="1">
      <c r="A568" s="17"/>
      <c r="B568" s="12"/>
      <c r="C568" s="12"/>
      <c r="D568" s="17"/>
      <c r="E568" s="17"/>
      <c r="F568" s="12"/>
      <c r="G568" s="17"/>
      <c r="H568" s="12"/>
      <c r="I568" s="12"/>
      <c r="J568" s="12"/>
      <c r="K568" s="12"/>
      <c r="L568" s="12"/>
      <c r="M568" s="12"/>
      <c r="N568" s="12"/>
      <c r="O568" s="12"/>
    </row>
    <row r="569" ht="13.5" customHeight="1">
      <c r="A569" s="17"/>
      <c r="B569" s="12"/>
      <c r="C569" s="12"/>
      <c r="D569" s="17"/>
      <c r="E569" s="17"/>
      <c r="F569" s="12"/>
      <c r="G569" s="17"/>
      <c r="H569" s="12"/>
      <c r="I569" s="12"/>
      <c r="J569" s="12"/>
      <c r="K569" s="12"/>
      <c r="L569" s="12"/>
      <c r="M569" s="12"/>
      <c r="N569" s="12"/>
      <c r="O569" s="12"/>
    </row>
    <row r="570" ht="13.5" customHeight="1">
      <c r="A570" s="17"/>
      <c r="B570" s="12"/>
      <c r="C570" s="12"/>
      <c r="D570" s="17"/>
      <c r="E570" s="17"/>
      <c r="F570" s="12"/>
      <c r="G570" s="17"/>
      <c r="H570" s="12"/>
      <c r="I570" s="12"/>
      <c r="J570" s="12"/>
      <c r="K570" s="12"/>
      <c r="L570" s="12"/>
      <c r="M570" s="12"/>
      <c r="N570" s="12"/>
      <c r="O570" s="12"/>
    </row>
    <row r="571" ht="13.5" customHeight="1">
      <c r="A571" s="17"/>
      <c r="B571" s="12"/>
      <c r="C571" s="12"/>
      <c r="D571" s="17"/>
      <c r="E571" s="17"/>
      <c r="F571" s="12"/>
      <c r="G571" s="17"/>
      <c r="H571" s="12"/>
      <c r="I571" s="12"/>
      <c r="J571" s="12"/>
      <c r="K571" s="12"/>
      <c r="L571" s="12"/>
      <c r="M571" s="12"/>
      <c r="N571" s="12"/>
      <c r="O571" s="12"/>
    </row>
    <row r="572" ht="13.5" customHeight="1">
      <c r="A572" s="17"/>
      <c r="B572" s="12"/>
      <c r="C572" s="12"/>
      <c r="D572" s="17"/>
      <c r="E572" s="17"/>
      <c r="F572" s="12"/>
      <c r="G572" s="17"/>
      <c r="H572" s="12"/>
      <c r="I572" s="12"/>
      <c r="J572" s="12"/>
      <c r="K572" s="12"/>
      <c r="L572" s="12"/>
      <c r="M572" s="12"/>
      <c r="N572" s="12"/>
      <c r="O572" s="12"/>
    </row>
    <row r="573" ht="13.5" customHeight="1">
      <c r="A573" s="17"/>
      <c r="B573" s="12"/>
      <c r="C573" s="12"/>
      <c r="D573" s="17"/>
      <c r="E573" s="17"/>
      <c r="F573" s="12"/>
      <c r="G573" s="17"/>
      <c r="H573" s="12"/>
      <c r="I573" s="12"/>
      <c r="J573" s="12"/>
      <c r="K573" s="12"/>
      <c r="L573" s="12"/>
      <c r="M573" s="12"/>
      <c r="N573" s="12"/>
      <c r="O573" s="12"/>
    </row>
    <row r="574" ht="13.5" customHeight="1">
      <c r="A574" s="17"/>
      <c r="B574" s="12"/>
      <c r="C574" s="12"/>
      <c r="D574" s="17"/>
      <c r="E574" s="17"/>
      <c r="F574" s="12"/>
      <c r="G574" s="17"/>
      <c r="H574" s="12"/>
      <c r="I574" s="12"/>
      <c r="J574" s="12"/>
      <c r="K574" s="12"/>
      <c r="L574" s="12"/>
      <c r="M574" s="12"/>
      <c r="N574" s="12"/>
      <c r="O574" s="12"/>
    </row>
    <row r="575" ht="13.5" customHeight="1">
      <c r="A575" s="17"/>
      <c r="B575" s="12"/>
      <c r="C575" s="12"/>
      <c r="D575" s="17"/>
      <c r="E575" s="17"/>
      <c r="F575" s="12"/>
      <c r="G575" s="17"/>
      <c r="H575" s="12"/>
      <c r="I575" s="12"/>
      <c r="J575" s="12"/>
      <c r="K575" s="12"/>
      <c r="L575" s="12"/>
      <c r="M575" s="12"/>
      <c r="N575" s="12"/>
      <c r="O575" s="12"/>
    </row>
    <row r="576" ht="13.5" customHeight="1">
      <c r="A576" s="17"/>
      <c r="B576" s="12"/>
      <c r="C576" s="12"/>
      <c r="D576" s="17"/>
      <c r="E576" s="17"/>
      <c r="F576" s="12"/>
      <c r="G576" s="17"/>
      <c r="H576" s="12"/>
      <c r="I576" s="12"/>
      <c r="J576" s="12"/>
      <c r="K576" s="12"/>
      <c r="L576" s="12"/>
      <c r="M576" s="12"/>
      <c r="N576" s="12"/>
      <c r="O576" s="12"/>
    </row>
    <row r="577" ht="13.5" customHeight="1">
      <c r="A577" s="17"/>
      <c r="B577" s="12"/>
      <c r="C577" s="12"/>
      <c r="D577" s="17"/>
      <c r="E577" s="17"/>
      <c r="F577" s="12"/>
      <c r="G577" s="17"/>
      <c r="H577" s="12"/>
      <c r="I577" s="12"/>
      <c r="J577" s="12"/>
      <c r="K577" s="12"/>
      <c r="L577" s="12"/>
      <c r="M577" s="12"/>
      <c r="N577" s="12"/>
      <c r="O577" s="12"/>
    </row>
    <row r="578" ht="13.5" customHeight="1">
      <c r="A578" s="17"/>
      <c r="B578" s="12"/>
      <c r="C578" s="12"/>
      <c r="D578" s="17"/>
      <c r="E578" s="17"/>
      <c r="F578" s="12"/>
      <c r="G578" s="17"/>
      <c r="H578" s="12"/>
      <c r="I578" s="12"/>
      <c r="J578" s="12"/>
      <c r="K578" s="12"/>
      <c r="L578" s="12"/>
      <c r="M578" s="12"/>
      <c r="N578" s="12"/>
      <c r="O578" s="12"/>
    </row>
    <row r="579" ht="13.5" customHeight="1">
      <c r="A579" s="17"/>
      <c r="B579" s="12"/>
      <c r="C579" s="12"/>
      <c r="D579" s="17"/>
      <c r="E579" s="17"/>
      <c r="F579" s="12"/>
      <c r="G579" s="17"/>
      <c r="H579" s="12"/>
      <c r="I579" s="12"/>
      <c r="J579" s="12"/>
      <c r="K579" s="12"/>
      <c r="L579" s="12"/>
      <c r="M579" s="12"/>
      <c r="N579" s="12"/>
      <c r="O579" s="12"/>
    </row>
    <row r="580" ht="13.5" customHeight="1">
      <c r="A580" s="17"/>
      <c r="B580" s="12"/>
      <c r="C580" s="12"/>
      <c r="D580" s="17"/>
      <c r="E580" s="17"/>
      <c r="F580" s="12"/>
      <c r="G580" s="17"/>
      <c r="H580" s="12"/>
      <c r="I580" s="12"/>
      <c r="J580" s="12"/>
      <c r="K580" s="12"/>
      <c r="L580" s="12"/>
      <c r="M580" s="12"/>
      <c r="N580" s="12"/>
      <c r="O580" s="12"/>
    </row>
    <row r="581" ht="13.5" customHeight="1">
      <c r="A581" s="17"/>
      <c r="B581" s="12"/>
      <c r="C581" s="12"/>
      <c r="D581" s="17"/>
      <c r="E581" s="17"/>
      <c r="F581" s="12"/>
      <c r="G581" s="17"/>
      <c r="H581" s="12"/>
      <c r="I581" s="12"/>
      <c r="J581" s="12"/>
      <c r="K581" s="12"/>
      <c r="L581" s="12"/>
      <c r="M581" s="12"/>
      <c r="N581" s="12"/>
      <c r="O581" s="12"/>
    </row>
    <row r="582" ht="13.5" customHeight="1">
      <c r="A582" s="17"/>
      <c r="B582" s="12"/>
      <c r="C582" s="12"/>
      <c r="D582" s="17"/>
      <c r="E582" s="17"/>
      <c r="F582" s="12"/>
      <c r="G582" s="17"/>
      <c r="H582" s="12"/>
      <c r="I582" s="12"/>
      <c r="J582" s="12"/>
      <c r="K582" s="12"/>
      <c r="L582" s="12"/>
      <c r="M582" s="12"/>
      <c r="N582" s="12"/>
      <c r="O582" s="12"/>
    </row>
    <row r="583" ht="13.5" customHeight="1">
      <c r="A583" s="17"/>
      <c r="B583" s="12"/>
      <c r="C583" s="12"/>
      <c r="D583" s="17"/>
      <c r="E583" s="17"/>
      <c r="F583" s="12"/>
      <c r="G583" s="17"/>
      <c r="H583" s="12"/>
      <c r="I583" s="12"/>
      <c r="J583" s="12"/>
      <c r="K583" s="12"/>
      <c r="L583" s="12"/>
      <c r="M583" s="12"/>
      <c r="N583" s="12"/>
      <c r="O583" s="12"/>
    </row>
    <row r="584" ht="13.5" customHeight="1">
      <c r="A584" s="17"/>
      <c r="B584" s="12"/>
      <c r="C584" s="12"/>
      <c r="D584" s="17"/>
      <c r="E584" s="17"/>
      <c r="F584" s="12"/>
      <c r="G584" s="17"/>
      <c r="H584" s="12"/>
      <c r="I584" s="12"/>
      <c r="J584" s="12"/>
      <c r="K584" s="12"/>
      <c r="L584" s="12"/>
      <c r="M584" s="12"/>
      <c r="N584" s="12"/>
      <c r="O584" s="12"/>
    </row>
    <row r="585" ht="13.5" customHeight="1">
      <c r="A585" s="17"/>
      <c r="B585" s="12"/>
      <c r="C585" s="12"/>
      <c r="D585" s="17"/>
      <c r="E585" s="17"/>
      <c r="F585" s="12"/>
      <c r="G585" s="17"/>
      <c r="H585" s="12"/>
      <c r="I585" s="12"/>
      <c r="J585" s="12"/>
      <c r="K585" s="12"/>
      <c r="L585" s="12"/>
      <c r="M585" s="12"/>
      <c r="N585" s="12"/>
      <c r="O585" s="12"/>
    </row>
    <row r="586" ht="13.5" customHeight="1">
      <c r="A586" s="17"/>
      <c r="B586" s="12"/>
      <c r="C586" s="12"/>
      <c r="D586" s="17"/>
      <c r="E586" s="17"/>
      <c r="F586" s="12"/>
      <c r="G586" s="17"/>
      <c r="H586" s="12"/>
      <c r="I586" s="12"/>
      <c r="J586" s="12"/>
      <c r="K586" s="12"/>
      <c r="L586" s="12"/>
      <c r="M586" s="12"/>
      <c r="N586" s="12"/>
      <c r="O586" s="12"/>
    </row>
    <row r="587" ht="13.5" customHeight="1">
      <c r="A587" s="17"/>
      <c r="B587" s="12"/>
      <c r="C587" s="12"/>
      <c r="D587" s="17"/>
      <c r="E587" s="17"/>
      <c r="F587" s="12"/>
      <c r="G587" s="17"/>
      <c r="H587" s="12"/>
      <c r="I587" s="12"/>
      <c r="J587" s="12"/>
      <c r="K587" s="12"/>
      <c r="L587" s="12"/>
      <c r="M587" s="12"/>
      <c r="N587" s="12"/>
      <c r="O587" s="12"/>
    </row>
    <row r="588" ht="13.5" customHeight="1">
      <c r="A588" s="17"/>
      <c r="B588" s="12"/>
      <c r="C588" s="12"/>
      <c r="D588" s="17"/>
      <c r="E588" s="17"/>
      <c r="F588" s="12"/>
      <c r="G588" s="17"/>
      <c r="H588" s="12"/>
      <c r="I588" s="12"/>
      <c r="J588" s="12"/>
      <c r="K588" s="12"/>
      <c r="L588" s="12"/>
      <c r="M588" s="12"/>
      <c r="N588" s="12"/>
      <c r="O588" s="12"/>
    </row>
    <row r="589" ht="13.5" customHeight="1">
      <c r="A589" s="17"/>
      <c r="B589" s="12"/>
      <c r="C589" s="12"/>
      <c r="D589" s="17"/>
      <c r="E589" s="17"/>
      <c r="F589" s="12"/>
      <c r="G589" s="17"/>
      <c r="H589" s="12"/>
      <c r="I589" s="12"/>
      <c r="J589" s="12"/>
      <c r="K589" s="12"/>
      <c r="L589" s="12"/>
      <c r="M589" s="12"/>
      <c r="N589" s="12"/>
      <c r="O589" s="12"/>
    </row>
    <row r="590" ht="13.5" customHeight="1">
      <c r="A590" s="17"/>
      <c r="B590" s="12"/>
      <c r="C590" s="12"/>
      <c r="D590" s="17"/>
      <c r="E590" s="17"/>
      <c r="F590" s="12"/>
      <c r="G590" s="17"/>
      <c r="H590" s="12"/>
      <c r="I590" s="12"/>
      <c r="J590" s="12"/>
      <c r="K590" s="12"/>
      <c r="L590" s="12"/>
      <c r="M590" s="12"/>
      <c r="N590" s="12"/>
      <c r="O590" s="12"/>
    </row>
    <row r="591" ht="13.5" customHeight="1">
      <c r="A591" s="17"/>
      <c r="B591" s="12"/>
      <c r="C591" s="12"/>
      <c r="D591" s="17"/>
      <c r="E591" s="17"/>
      <c r="F591" s="12"/>
      <c r="G591" s="17"/>
      <c r="H591" s="12"/>
      <c r="I591" s="12"/>
      <c r="J591" s="12"/>
      <c r="K591" s="12"/>
      <c r="L591" s="12"/>
      <c r="M591" s="12"/>
      <c r="N591" s="12"/>
      <c r="O591" s="12"/>
    </row>
    <row r="592" ht="13.5" customHeight="1">
      <c r="A592" s="17"/>
      <c r="B592" s="12"/>
      <c r="C592" s="12"/>
      <c r="D592" s="17"/>
      <c r="E592" s="17"/>
      <c r="F592" s="12"/>
      <c r="G592" s="17"/>
      <c r="H592" s="12"/>
      <c r="I592" s="12"/>
      <c r="J592" s="12"/>
      <c r="K592" s="12"/>
      <c r="L592" s="12"/>
      <c r="M592" s="12"/>
      <c r="N592" s="12"/>
      <c r="O592" s="12"/>
    </row>
    <row r="593" ht="13.5" customHeight="1">
      <c r="A593" s="17"/>
      <c r="B593" s="12"/>
      <c r="C593" s="12"/>
      <c r="D593" s="17"/>
      <c r="E593" s="17"/>
      <c r="F593" s="12"/>
      <c r="G593" s="17"/>
      <c r="H593" s="12"/>
      <c r="I593" s="12"/>
      <c r="J593" s="12"/>
      <c r="K593" s="12"/>
      <c r="L593" s="12"/>
      <c r="M593" s="12"/>
      <c r="N593" s="12"/>
      <c r="O593" s="12"/>
    </row>
    <row r="594" ht="13.5" customHeight="1">
      <c r="A594" s="17"/>
      <c r="B594" s="12"/>
      <c r="C594" s="12"/>
      <c r="D594" s="17"/>
      <c r="E594" s="17"/>
      <c r="F594" s="12"/>
      <c r="G594" s="17"/>
      <c r="H594" s="12"/>
      <c r="I594" s="12"/>
      <c r="J594" s="12"/>
      <c r="K594" s="12"/>
      <c r="L594" s="12"/>
      <c r="M594" s="12"/>
      <c r="N594" s="12"/>
      <c r="O594" s="12"/>
    </row>
    <row r="595" ht="13.5" customHeight="1">
      <c r="A595" s="17"/>
      <c r="B595" s="12"/>
      <c r="C595" s="12"/>
      <c r="D595" s="17"/>
      <c r="E595" s="17"/>
      <c r="F595" s="12"/>
      <c r="G595" s="17"/>
      <c r="H595" s="12"/>
      <c r="I595" s="12"/>
      <c r="J595" s="12"/>
      <c r="K595" s="12"/>
      <c r="L595" s="12"/>
      <c r="M595" s="12"/>
      <c r="N595" s="12"/>
      <c r="O595" s="12"/>
    </row>
    <row r="596" ht="13.5" customHeight="1">
      <c r="A596" s="17"/>
      <c r="B596" s="12"/>
      <c r="C596" s="12"/>
      <c r="D596" s="17"/>
      <c r="E596" s="17"/>
      <c r="F596" s="12"/>
      <c r="G596" s="17"/>
      <c r="H596" s="12"/>
      <c r="I596" s="12"/>
      <c r="J596" s="12"/>
      <c r="K596" s="12"/>
      <c r="L596" s="12"/>
      <c r="M596" s="12"/>
      <c r="N596" s="12"/>
      <c r="O596" s="12"/>
    </row>
    <row r="597" ht="13.5" customHeight="1">
      <c r="A597" s="17"/>
      <c r="B597" s="12"/>
      <c r="C597" s="12"/>
      <c r="D597" s="17"/>
      <c r="E597" s="17"/>
      <c r="F597" s="12"/>
      <c r="G597" s="17"/>
      <c r="H597" s="12"/>
      <c r="I597" s="12"/>
      <c r="J597" s="12"/>
      <c r="K597" s="12"/>
      <c r="L597" s="12"/>
      <c r="M597" s="12"/>
      <c r="N597" s="12"/>
      <c r="O597" s="12"/>
    </row>
    <row r="598" ht="13.5" customHeight="1">
      <c r="A598" s="17"/>
      <c r="B598" s="12"/>
      <c r="C598" s="12"/>
      <c r="D598" s="17"/>
      <c r="E598" s="17"/>
      <c r="F598" s="12"/>
      <c r="G598" s="17"/>
      <c r="H598" s="12"/>
      <c r="I598" s="12"/>
      <c r="J598" s="12"/>
      <c r="K598" s="12"/>
      <c r="L598" s="12"/>
      <c r="M598" s="12"/>
      <c r="N598" s="12"/>
      <c r="O598" s="12"/>
    </row>
    <row r="599" ht="13.5" customHeight="1">
      <c r="A599" s="17"/>
      <c r="B599" s="12"/>
      <c r="C599" s="12"/>
      <c r="D599" s="17"/>
      <c r="E599" s="17"/>
      <c r="F599" s="12"/>
      <c r="G599" s="17"/>
      <c r="H599" s="12"/>
      <c r="I599" s="12"/>
      <c r="J599" s="12"/>
      <c r="K599" s="12"/>
      <c r="L599" s="12"/>
      <c r="M599" s="12"/>
      <c r="N599" s="12"/>
      <c r="O599" s="12"/>
    </row>
    <row r="600" ht="13.5" customHeight="1">
      <c r="A600" s="17"/>
      <c r="B600" s="12"/>
      <c r="C600" s="12"/>
      <c r="D600" s="17"/>
      <c r="E600" s="17"/>
      <c r="F600" s="12"/>
      <c r="G600" s="17"/>
      <c r="H600" s="12"/>
      <c r="I600" s="12"/>
      <c r="J600" s="12"/>
      <c r="K600" s="12"/>
      <c r="L600" s="12"/>
      <c r="M600" s="12"/>
      <c r="N600" s="12"/>
      <c r="O600" s="12"/>
    </row>
    <row r="601" ht="13.5" customHeight="1">
      <c r="A601" s="17"/>
      <c r="B601" s="12"/>
      <c r="C601" s="12"/>
      <c r="D601" s="17"/>
      <c r="E601" s="17"/>
      <c r="F601" s="12"/>
      <c r="G601" s="17"/>
      <c r="H601" s="12"/>
      <c r="I601" s="12"/>
      <c r="J601" s="12"/>
      <c r="K601" s="12"/>
      <c r="L601" s="12"/>
      <c r="M601" s="12"/>
      <c r="N601" s="12"/>
      <c r="O601" s="12"/>
    </row>
    <row r="602" ht="13.5" customHeight="1">
      <c r="A602" s="17"/>
      <c r="B602" s="12"/>
      <c r="C602" s="12"/>
      <c r="D602" s="17"/>
      <c r="E602" s="17"/>
      <c r="F602" s="12"/>
      <c r="G602" s="17"/>
      <c r="H602" s="12"/>
      <c r="I602" s="12"/>
      <c r="J602" s="12"/>
      <c r="K602" s="12"/>
      <c r="L602" s="12"/>
      <c r="M602" s="12"/>
      <c r="N602" s="12"/>
      <c r="O602" s="12"/>
    </row>
    <row r="603" ht="13.5" customHeight="1">
      <c r="A603" s="17"/>
      <c r="B603" s="12"/>
      <c r="C603" s="12"/>
      <c r="D603" s="17"/>
      <c r="E603" s="17"/>
      <c r="F603" s="12"/>
      <c r="G603" s="17"/>
      <c r="H603" s="12"/>
      <c r="I603" s="12"/>
      <c r="J603" s="12"/>
      <c r="K603" s="12"/>
      <c r="L603" s="12"/>
      <c r="M603" s="12"/>
      <c r="N603" s="12"/>
      <c r="O603" s="12"/>
    </row>
    <row r="604" ht="13.5" customHeight="1">
      <c r="A604" s="17"/>
      <c r="B604" s="12"/>
      <c r="C604" s="12"/>
      <c r="D604" s="17"/>
      <c r="E604" s="17"/>
      <c r="F604" s="12"/>
      <c r="G604" s="17"/>
      <c r="H604" s="12"/>
      <c r="I604" s="12"/>
      <c r="J604" s="12"/>
      <c r="K604" s="12"/>
      <c r="L604" s="12"/>
      <c r="M604" s="12"/>
      <c r="N604" s="12"/>
      <c r="O604" s="12"/>
    </row>
    <row r="605" ht="13.5" customHeight="1">
      <c r="A605" s="17"/>
      <c r="B605" s="12"/>
      <c r="C605" s="12"/>
      <c r="D605" s="17"/>
      <c r="E605" s="17"/>
      <c r="F605" s="12"/>
      <c r="G605" s="17"/>
      <c r="H605" s="12"/>
      <c r="I605" s="12"/>
      <c r="J605" s="12"/>
      <c r="K605" s="12"/>
      <c r="L605" s="12"/>
      <c r="M605" s="12"/>
      <c r="N605" s="12"/>
      <c r="O605" s="12"/>
    </row>
    <row r="606" ht="13.5" customHeight="1">
      <c r="A606" s="17"/>
      <c r="B606" s="12"/>
      <c r="C606" s="12"/>
      <c r="D606" s="17"/>
      <c r="E606" s="17"/>
      <c r="F606" s="12"/>
      <c r="G606" s="17"/>
      <c r="H606" s="12"/>
      <c r="I606" s="12"/>
      <c r="J606" s="12"/>
      <c r="K606" s="12"/>
      <c r="L606" s="12"/>
      <c r="M606" s="12"/>
      <c r="N606" s="12"/>
      <c r="O606" s="12"/>
    </row>
    <row r="607" ht="13.5" customHeight="1">
      <c r="A607" s="17"/>
      <c r="B607" s="12"/>
      <c r="C607" s="12"/>
      <c r="D607" s="17"/>
      <c r="E607" s="17"/>
      <c r="F607" s="12"/>
      <c r="G607" s="17"/>
      <c r="H607" s="12"/>
      <c r="I607" s="12"/>
      <c r="J607" s="12"/>
      <c r="K607" s="12"/>
      <c r="L607" s="12"/>
      <c r="M607" s="12"/>
      <c r="N607" s="12"/>
      <c r="O607" s="12"/>
    </row>
    <row r="608" ht="13.5" customHeight="1">
      <c r="A608" s="17"/>
      <c r="B608" s="12"/>
      <c r="C608" s="12"/>
      <c r="D608" s="17"/>
      <c r="E608" s="17"/>
      <c r="F608" s="12"/>
      <c r="G608" s="17"/>
      <c r="H608" s="12"/>
      <c r="I608" s="12"/>
      <c r="J608" s="12"/>
      <c r="K608" s="12"/>
      <c r="L608" s="12"/>
      <c r="M608" s="12"/>
      <c r="N608" s="12"/>
      <c r="O608" s="12"/>
    </row>
    <row r="609" ht="13.5" customHeight="1">
      <c r="A609" s="17"/>
      <c r="B609" s="12"/>
      <c r="C609" s="12"/>
      <c r="D609" s="17"/>
      <c r="E609" s="17"/>
      <c r="F609" s="12"/>
      <c r="G609" s="17"/>
      <c r="H609" s="12"/>
      <c r="I609" s="12"/>
      <c r="J609" s="12"/>
      <c r="K609" s="12"/>
      <c r="L609" s="12"/>
      <c r="M609" s="12"/>
      <c r="N609" s="12"/>
      <c r="O609" s="12"/>
    </row>
    <row r="610" ht="13.5" customHeight="1">
      <c r="A610" s="17"/>
      <c r="B610" s="12"/>
      <c r="C610" s="12"/>
      <c r="D610" s="17"/>
      <c r="E610" s="17"/>
      <c r="F610" s="12"/>
      <c r="G610" s="17"/>
      <c r="H610" s="12"/>
      <c r="I610" s="12"/>
      <c r="J610" s="12"/>
      <c r="K610" s="12"/>
      <c r="L610" s="12"/>
      <c r="M610" s="12"/>
      <c r="N610" s="12"/>
      <c r="O610" s="12"/>
    </row>
    <row r="611" ht="13.5" customHeight="1">
      <c r="A611" s="17"/>
      <c r="B611" s="12"/>
      <c r="C611" s="12"/>
      <c r="D611" s="17"/>
      <c r="E611" s="17"/>
      <c r="F611" s="12"/>
      <c r="G611" s="17"/>
      <c r="H611" s="12"/>
      <c r="I611" s="12"/>
      <c r="J611" s="12"/>
      <c r="K611" s="12"/>
      <c r="L611" s="12"/>
      <c r="M611" s="12"/>
      <c r="N611" s="12"/>
      <c r="O611" s="12"/>
    </row>
    <row r="612" ht="13.5" customHeight="1">
      <c r="A612" s="17"/>
      <c r="B612" s="12"/>
      <c r="C612" s="12"/>
      <c r="D612" s="17"/>
      <c r="E612" s="17"/>
      <c r="F612" s="12"/>
      <c r="G612" s="17"/>
      <c r="H612" s="12"/>
      <c r="I612" s="12"/>
      <c r="J612" s="12"/>
      <c r="K612" s="12"/>
      <c r="L612" s="12"/>
      <c r="M612" s="12"/>
      <c r="N612" s="12"/>
      <c r="O612" s="12"/>
    </row>
    <row r="613" ht="13.5" customHeight="1">
      <c r="A613" s="17"/>
      <c r="B613" s="12"/>
      <c r="C613" s="12"/>
      <c r="D613" s="17"/>
      <c r="E613" s="17"/>
      <c r="F613" s="12"/>
      <c r="G613" s="17"/>
      <c r="H613" s="12"/>
      <c r="I613" s="12"/>
      <c r="J613" s="12"/>
      <c r="K613" s="12"/>
      <c r="L613" s="12"/>
      <c r="M613" s="12"/>
      <c r="N613" s="12"/>
      <c r="O613" s="12"/>
    </row>
    <row r="614" ht="13.5" customHeight="1">
      <c r="A614" s="17"/>
      <c r="B614" s="12"/>
      <c r="C614" s="12"/>
      <c r="D614" s="17"/>
      <c r="E614" s="17"/>
      <c r="F614" s="12"/>
      <c r="G614" s="17"/>
      <c r="H614" s="12"/>
      <c r="I614" s="12"/>
      <c r="J614" s="12"/>
      <c r="K614" s="12"/>
      <c r="L614" s="12"/>
      <c r="M614" s="12"/>
      <c r="N614" s="12"/>
      <c r="O614" s="12"/>
    </row>
    <row r="615" ht="13.5" customHeight="1">
      <c r="A615" s="17"/>
      <c r="B615" s="12"/>
      <c r="C615" s="12"/>
      <c r="D615" s="17"/>
      <c r="E615" s="17"/>
      <c r="F615" s="12"/>
      <c r="G615" s="17"/>
      <c r="H615" s="12"/>
      <c r="I615" s="12"/>
      <c r="J615" s="12"/>
      <c r="K615" s="12"/>
      <c r="L615" s="12"/>
      <c r="M615" s="12"/>
      <c r="N615" s="12"/>
      <c r="O615" s="12"/>
    </row>
    <row r="616" ht="13.5" customHeight="1">
      <c r="A616" s="17"/>
      <c r="B616" s="12"/>
      <c r="C616" s="12"/>
      <c r="D616" s="17"/>
      <c r="E616" s="17"/>
      <c r="F616" s="12"/>
      <c r="G616" s="17"/>
      <c r="H616" s="12"/>
      <c r="I616" s="12"/>
      <c r="J616" s="12"/>
      <c r="K616" s="12"/>
      <c r="L616" s="12"/>
      <c r="M616" s="12"/>
      <c r="N616" s="12"/>
      <c r="O616" s="12"/>
    </row>
    <row r="617" ht="13.5" customHeight="1">
      <c r="A617" s="17"/>
      <c r="B617" s="12"/>
      <c r="C617" s="12"/>
      <c r="D617" s="17"/>
      <c r="E617" s="17"/>
      <c r="F617" s="12"/>
      <c r="G617" s="17"/>
      <c r="H617" s="12"/>
      <c r="I617" s="12"/>
      <c r="J617" s="12"/>
      <c r="K617" s="12"/>
      <c r="L617" s="12"/>
      <c r="M617" s="12"/>
      <c r="N617" s="12"/>
      <c r="O617" s="12"/>
    </row>
    <row r="618" ht="13.5" customHeight="1">
      <c r="A618" s="17"/>
      <c r="B618" s="12"/>
      <c r="C618" s="12"/>
      <c r="D618" s="17"/>
      <c r="E618" s="17"/>
      <c r="F618" s="12"/>
      <c r="G618" s="17"/>
      <c r="H618" s="12"/>
      <c r="I618" s="12"/>
      <c r="J618" s="12"/>
      <c r="K618" s="12"/>
      <c r="L618" s="12"/>
      <c r="M618" s="12"/>
      <c r="N618" s="12"/>
      <c r="O618" s="12"/>
    </row>
    <row r="619" ht="13.5" customHeight="1">
      <c r="A619" s="17"/>
      <c r="B619" s="12"/>
      <c r="C619" s="12"/>
      <c r="D619" s="17"/>
      <c r="E619" s="17"/>
      <c r="F619" s="12"/>
      <c r="G619" s="17"/>
      <c r="H619" s="12"/>
      <c r="I619" s="12"/>
      <c r="J619" s="12"/>
      <c r="K619" s="12"/>
      <c r="L619" s="12"/>
      <c r="M619" s="12"/>
      <c r="N619" s="12"/>
      <c r="O619" s="12"/>
    </row>
    <row r="620" ht="13.5" customHeight="1">
      <c r="A620" s="17"/>
      <c r="B620" s="12"/>
      <c r="C620" s="12"/>
      <c r="D620" s="17"/>
      <c r="E620" s="17"/>
      <c r="F620" s="12"/>
      <c r="G620" s="17"/>
      <c r="H620" s="12"/>
      <c r="I620" s="12"/>
      <c r="J620" s="12"/>
      <c r="K620" s="12"/>
      <c r="L620" s="12"/>
      <c r="M620" s="12"/>
      <c r="N620" s="12"/>
      <c r="O620" s="12"/>
    </row>
    <row r="621" ht="13.5" customHeight="1">
      <c r="A621" s="17"/>
      <c r="B621" s="12"/>
      <c r="C621" s="12"/>
      <c r="D621" s="17"/>
      <c r="E621" s="17"/>
      <c r="F621" s="12"/>
      <c r="G621" s="17"/>
      <c r="H621" s="12"/>
      <c r="I621" s="12"/>
      <c r="J621" s="12"/>
      <c r="K621" s="12"/>
      <c r="L621" s="12"/>
      <c r="M621" s="12"/>
      <c r="N621" s="12"/>
      <c r="O621" s="12"/>
    </row>
    <row r="622" ht="13.5" customHeight="1">
      <c r="A622" s="17"/>
      <c r="B622" s="12"/>
      <c r="C622" s="12"/>
      <c r="D622" s="17"/>
      <c r="E622" s="17"/>
      <c r="F622" s="12"/>
      <c r="G622" s="17"/>
      <c r="H622" s="12"/>
      <c r="I622" s="12"/>
      <c r="J622" s="12"/>
      <c r="K622" s="12"/>
      <c r="L622" s="12"/>
      <c r="M622" s="12"/>
      <c r="N622" s="12"/>
      <c r="O622" s="12"/>
    </row>
    <row r="623" ht="13.5" customHeight="1">
      <c r="A623" s="17"/>
      <c r="B623" s="12"/>
      <c r="C623" s="12"/>
      <c r="D623" s="17"/>
      <c r="E623" s="17"/>
      <c r="F623" s="12"/>
      <c r="G623" s="17"/>
      <c r="H623" s="12"/>
      <c r="I623" s="12"/>
      <c r="J623" s="12"/>
      <c r="K623" s="12"/>
      <c r="L623" s="12"/>
      <c r="M623" s="12"/>
      <c r="N623" s="12"/>
      <c r="O623" s="12"/>
    </row>
    <row r="624" ht="13.5" customHeight="1">
      <c r="A624" s="17"/>
      <c r="B624" s="12"/>
      <c r="C624" s="12"/>
      <c r="D624" s="17"/>
      <c r="E624" s="17"/>
      <c r="F624" s="12"/>
      <c r="G624" s="17"/>
      <c r="H624" s="12"/>
      <c r="I624" s="12"/>
      <c r="J624" s="12"/>
      <c r="K624" s="12"/>
      <c r="L624" s="12"/>
      <c r="M624" s="12"/>
      <c r="N624" s="12"/>
      <c r="O624" s="12"/>
    </row>
    <row r="625" ht="13.5" customHeight="1">
      <c r="A625" s="17"/>
      <c r="B625" s="12"/>
      <c r="C625" s="12"/>
      <c r="D625" s="17"/>
      <c r="E625" s="17"/>
      <c r="F625" s="12"/>
      <c r="G625" s="17"/>
      <c r="H625" s="12"/>
      <c r="I625" s="12"/>
      <c r="J625" s="12"/>
      <c r="K625" s="12"/>
      <c r="L625" s="12"/>
      <c r="M625" s="12"/>
      <c r="N625" s="12"/>
      <c r="O625" s="12"/>
    </row>
    <row r="626" ht="13.5" customHeight="1">
      <c r="A626" s="17"/>
      <c r="B626" s="12"/>
      <c r="C626" s="12"/>
      <c r="D626" s="17"/>
      <c r="E626" s="17"/>
      <c r="F626" s="12"/>
      <c r="G626" s="17"/>
      <c r="H626" s="12"/>
      <c r="I626" s="12"/>
      <c r="J626" s="12"/>
      <c r="K626" s="12"/>
      <c r="L626" s="12"/>
      <c r="M626" s="12"/>
      <c r="N626" s="12"/>
      <c r="O626" s="12"/>
    </row>
    <row r="627" ht="13.5" customHeight="1">
      <c r="A627" s="17"/>
      <c r="B627" s="12"/>
      <c r="C627" s="12"/>
      <c r="D627" s="17"/>
      <c r="E627" s="17"/>
      <c r="F627" s="12"/>
      <c r="G627" s="17"/>
      <c r="H627" s="12"/>
      <c r="I627" s="12"/>
      <c r="J627" s="12"/>
      <c r="K627" s="12"/>
      <c r="L627" s="12"/>
      <c r="M627" s="12"/>
      <c r="N627" s="12"/>
      <c r="O627" s="12"/>
    </row>
    <row r="628" ht="13.5" customHeight="1">
      <c r="A628" s="17"/>
      <c r="B628" s="12"/>
      <c r="C628" s="12"/>
      <c r="D628" s="17"/>
      <c r="E628" s="17"/>
      <c r="F628" s="12"/>
      <c r="G628" s="17"/>
      <c r="H628" s="12"/>
      <c r="I628" s="12"/>
      <c r="J628" s="12"/>
      <c r="K628" s="12"/>
      <c r="L628" s="12"/>
      <c r="M628" s="12"/>
      <c r="N628" s="12"/>
      <c r="O628" s="12"/>
    </row>
    <row r="629" ht="13.5" customHeight="1">
      <c r="A629" s="17"/>
      <c r="B629" s="12"/>
      <c r="C629" s="12"/>
      <c r="D629" s="17"/>
      <c r="E629" s="17"/>
      <c r="F629" s="12"/>
      <c r="G629" s="17"/>
      <c r="H629" s="12"/>
      <c r="I629" s="12"/>
      <c r="J629" s="12"/>
      <c r="K629" s="12"/>
      <c r="L629" s="12"/>
      <c r="M629" s="12"/>
      <c r="N629" s="12"/>
      <c r="O629" s="12"/>
    </row>
    <row r="630" ht="13.5" customHeight="1">
      <c r="A630" s="17"/>
      <c r="B630" s="12"/>
      <c r="C630" s="12"/>
      <c r="D630" s="17"/>
      <c r="E630" s="17"/>
      <c r="F630" s="12"/>
      <c r="G630" s="17"/>
      <c r="H630" s="12"/>
      <c r="I630" s="12"/>
      <c r="J630" s="12"/>
      <c r="K630" s="12"/>
      <c r="L630" s="12"/>
      <c r="M630" s="12"/>
      <c r="N630" s="12"/>
      <c r="O630" s="12"/>
    </row>
    <row r="631" ht="13.5" customHeight="1">
      <c r="A631" s="17"/>
      <c r="B631" s="12"/>
      <c r="C631" s="12"/>
      <c r="D631" s="17"/>
      <c r="E631" s="17"/>
      <c r="F631" s="12"/>
      <c r="G631" s="17"/>
      <c r="H631" s="12"/>
      <c r="I631" s="12"/>
      <c r="J631" s="12"/>
      <c r="K631" s="12"/>
      <c r="L631" s="12"/>
      <c r="M631" s="12"/>
      <c r="N631" s="12"/>
      <c r="O631" s="12"/>
    </row>
    <row r="632" ht="13.5" customHeight="1">
      <c r="A632" s="17"/>
      <c r="B632" s="12"/>
      <c r="C632" s="12"/>
      <c r="D632" s="17"/>
      <c r="E632" s="17"/>
      <c r="F632" s="12"/>
      <c r="G632" s="17"/>
      <c r="H632" s="12"/>
      <c r="I632" s="12"/>
      <c r="J632" s="12"/>
      <c r="K632" s="12"/>
      <c r="L632" s="12"/>
      <c r="M632" s="12"/>
      <c r="N632" s="12"/>
      <c r="O632" s="12"/>
    </row>
    <row r="633" ht="13.5" customHeight="1">
      <c r="A633" s="17"/>
      <c r="B633" s="12"/>
      <c r="C633" s="12"/>
      <c r="D633" s="17"/>
      <c r="E633" s="17"/>
      <c r="F633" s="12"/>
      <c r="G633" s="17"/>
      <c r="H633" s="12"/>
      <c r="I633" s="12"/>
      <c r="J633" s="12"/>
      <c r="K633" s="12"/>
      <c r="L633" s="12"/>
      <c r="M633" s="12"/>
      <c r="N633" s="12"/>
      <c r="O633" s="12"/>
    </row>
    <row r="634" ht="13.5" customHeight="1">
      <c r="A634" s="17"/>
      <c r="B634" s="12"/>
      <c r="C634" s="12"/>
      <c r="D634" s="17"/>
      <c r="E634" s="17"/>
      <c r="F634" s="12"/>
      <c r="G634" s="17"/>
      <c r="H634" s="12"/>
      <c r="I634" s="12"/>
      <c r="J634" s="12"/>
      <c r="K634" s="12"/>
      <c r="L634" s="12"/>
      <c r="M634" s="12"/>
      <c r="N634" s="12"/>
      <c r="O634" s="12"/>
    </row>
    <row r="635" ht="13.5" customHeight="1">
      <c r="A635" s="17"/>
      <c r="B635" s="12"/>
      <c r="C635" s="12"/>
      <c r="D635" s="17"/>
      <c r="E635" s="17"/>
      <c r="F635" s="12"/>
      <c r="G635" s="17"/>
      <c r="H635" s="12"/>
      <c r="I635" s="12"/>
      <c r="J635" s="12"/>
      <c r="K635" s="12"/>
      <c r="L635" s="12"/>
      <c r="M635" s="12"/>
      <c r="N635" s="12"/>
      <c r="O635" s="12"/>
    </row>
    <row r="636" ht="13.5" customHeight="1">
      <c r="A636" s="17"/>
      <c r="B636" s="12"/>
      <c r="C636" s="12"/>
      <c r="D636" s="17"/>
      <c r="E636" s="17"/>
      <c r="F636" s="12"/>
      <c r="G636" s="17"/>
      <c r="H636" s="12"/>
      <c r="I636" s="12"/>
      <c r="J636" s="12"/>
      <c r="K636" s="12"/>
      <c r="L636" s="12"/>
      <c r="M636" s="12"/>
      <c r="N636" s="12"/>
      <c r="O636" s="12"/>
    </row>
    <row r="637" ht="13.5" customHeight="1">
      <c r="A637" s="17"/>
      <c r="B637" s="12"/>
      <c r="C637" s="12"/>
      <c r="D637" s="17"/>
      <c r="E637" s="17"/>
      <c r="F637" s="12"/>
      <c r="G637" s="17"/>
      <c r="H637" s="12"/>
      <c r="I637" s="12"/>
      <c r="J637" s="12"/>
      <c r="K637" s="12"/>
      <c r="L637" s="12"/>
      <c r="M637" s="12"/>
      <c r="N637" s="12"/>
      <c r="O637" s="12"/>
    </row>
    <row r="638" ht="13.5" customHeight="1">
      <c r="A638" s="17"/>
      <c r="B638" s="12"/>
      <c r="C638" s="12"/>
      <c r="D638" s="17"/>
      <c r="E638" s="17"/>
      <c r="F638" s="12"/>
      <c r="G638" s="17"/>
      <c r="H638" s="12"/>
      <c r="I638" s="12"/>
      <c r="J638" s="12"/>
      <c r="K638" s="12"/>
      <c r="L638" s="12"/>
      <c r="M638" s="12"/>
      <c r="N638" s="12"/>
      <c r="O638" s="12"/>
    </row>
    <row r="639" ht="13.5" customHeight="1">
      <c r="A639" s="17"/>
      <c r="B639" s="12"/>
      <c r="C639" s="12"/>
      <c r="D639" s="17"/>
      <c r="E639" s="17"/>
      <c r="F639" s="12"/>
      <c r="G639" s="17"/>
      <c r="H639" s="12"/>
      <c r="I639" s="12"/>
      <c r="J639" s="12"/>
      <c r="K639" s="12"/>
      <c r="L639" s="12"/>
      <c r="M639" s="12"/>
      <c r="N639" s="12"/>
      <c r="O639" s="12"/>
    </row>
    <row r="640" ht="13.5" customHeight="1">
      <c r="A640" s="17"/>
      <c r="B640" s="12"/>
      <c r="C640" s="12"/>
      <c r="D640" s="17"/>
      <c r="E640" s="17"/>
      <c r="F640" s="12"/>
      <c r="G640" s="17"/>
      <c r="H640" s="12"/>
      <c r="I640" s="12"/>
      <c r="J640" s="12"/>
      <c r="K640" s="12"/>
      <c r="L640" s="12"/>
      <c r="M640" s="12"/>
      <c r="N640" s="12"/>
      <c r="O640" s="12"/>
    </row>
    <row r="641" ht="13.5" customHeight="1">
      <c r="A641" s="17"/>
      <c r="B641" s="12"/>
      <c r="C641" s="12"/>
      <c r="D641" s="17"/>
      <c r="E641" s="17"/>
      <c r="F641" s="12"/>
      <c r="G641" s="17"/>
      <c r="H641" s="12"/>
      <c r="I641" s="12"/>
      <c r="J641" s="12"/>
      <c r="K641" s="12"/>
      <c r="L641" s="12"/>
      <c r="M641" s="12"/>
      <c r="N641" s="12"/>
      <c r="O641" s="12"/>
    </row>
    <row r="642" ht="13.5" customHeight="1">
      <c r="A642" s="17"/>
      <c r="B642" s="12"/>
      <c r="C642" s="12"/>
      <c r="D642" s="17"/>
      <c r="E642" s="17"/>
      <c r="F642" s="12"/>
      <c r="G642" s="17"/>
      <c r="H642" s="12"/>
      <c r="I642" s="12"/>
      <c r="J642" s="12"/>
      <c r="K642" s="12"/>
      <c r="L642" s="12"/>
      <c r="M642" s="12"/>
      <c r="N642" s="12"/>
      <c r="O642" s="12"/>
    </row>
    <row r="643" ht="13.5" customHeight="1">
      <c r="A643" s="17"/>
      <c r="B643" s="12"/>
      <c r="C643" s="12"/>
      <c r="D643" s="17"/>
      <c r="E643" s="17"/>
      <c r="F643" s="12"/>
      <c r="G643" s="17"/>
      <c r="H643" s="12"/>
      <c r="I643" s="12"/>
      <c r="J643" s="12"/>
      <c r="K643" s="12"/>
      <c r="L643" s="12"/>
      <c r="M643" s="12"/>
      <c r="N643" s="12"/>
      <c r="O643" s="12"/>
    </row>
    <row r="644" ht="13.5" customHeight="1">
      <c r="A644" s="17"/>
      <c r="B644" s="12"/>
      <c r="C644" s="12"/>
      <c r="D644" s="17"/>
      <c r="E644" s="17"/>
      <c r="F644" s="12"/>
      <c r="G644" s="17"/>
      <c r="H644" s="12"/>
      <c r="I644" s="12"/>
      <c r="J644" s="12"/>
      <c r="K644" s="12"/>
      <c r="L644" s="12"/>
      <c r="M644" s="12"/>
      <c r="N644" s="12"/>
      <c r="O644" s="12"/>
    </row>
    <row r="645" ht="13.5" customHeight="1">
      <c r="A645" s="17"/>
      <c r="B645" s="12"/>
      <c r="C645" s="12"/>
      <c r="D645" s="17"/>
      <c r="E645" s="17"/>
      <c r="F645" s="12"/>
      <c r="G645" s="17"/>
      <c r="H645" s="12"/>
      <c r="I645" s="12"/>
      <c r="J645" s="12"/>
      <c r="K645" s="12"/>
      <c r="L645" s="12"/>
      <c r="M645" s="12"/>
      <c r="N645" s="12"/>
      <c r="O645" s="12"/>
    </row>
    <row r="646" ht="13.5" customHeight="1">
      <c r="A646" s="17"/>
      <c r="B646" s="12"/>
      <c r="C646" s="12"/>
      <c r="D646" s="17"/>
      <c r="E646" s="17"/>
      <c r="F646" s="12"/>
      <c r="G646" s="17"/>
      <c r="H646" s="12"/>
      <c r="I646" s="12"/>
      <c r="J646" s="12"/>
      <c r="K646" s="12"/>
      <c r="L646" s="12"/>
      <c r="M646" s="12"/>
      <c r="N646" s="12"/>
      <c r="O646" s="12"/>
    </row>
    <row r="647" ht="13.5" customHeight="1">
      <c r="A647" s="17"/>
      <c r="B647" s="12"/>
      <c r="C647" s="12"/>
      <c r="D647" s="17"/>
      <c r="E647" s="17"/>
      <c r="F647" s="12"/>
      <c r="G647" s="17"/>
      <c r="H647" s="12"/>
      <c r="I647" s="12"/>
      <c r="J647" s="12"/>
      <c r="K647" s="12"/>
      <c r="L647" s="12"/>
      <c r="M647" s="12"/>
      <c r="N647" s="12"/>
      <c r="O647" s="12"/>
    </row>
    <row r="648" ht="13.5" customHeight="1">
      <c r="A648" s="17"/>
      <c r="B648" s="12"/>
      <c r="C648" s="12"/>
      <c r="D648" s="17"/>
      <c r="E648" s="17"/>
      <c r="F648" s="12"/>
      <c r="G648" s="17"/>
      <c r="H648" s="12"/>
      <c r="I648" s="12"/>
      <c r="J648" s="12"/>
      <c r="K648" s="12"/>
      <c r="L648" s="12"/>
      <c r="M648" s="12"/>
      <c r="N648" s="12"/>
      <c r="O648" s="12"/>
    </row>
    <row r="649" ht="13.5" customHeight="1">
      <c r="A649" s="17"/>
      <c r="B649" s="12"/>
      <c r="C649" s="12"/>
      <c r="D649" s="17"/>
      <c r="E649" s="17"/>
      <c r="F649" s="12"/>
      <c r="G649" s="17"/>
      <c r="H649" s="12"/>
      <c r="I649" s="12"/>
      <c r="J649" s="12"/>
      <c r="K649" s="12"/>
      <c r="L649" s="12"/>
      <c r="M649" s="12"/>
      <c r="N649" s="12"/>
      <c r="O649" s="12"/>
    </row>
    <row r="650" ht="13.5" customHeight="1">
      <c r="A650" s="17"/>
      <c r="B650" s="12"/>
      <c r="C650" s="12"/>
      <c r="D650" s="17"/>
      <c r="E650" s="17"/>
      <c r="F650" s="12"/>
      <c r="G650" s="17"/>
      <c r="H650" s="12"/>
      <c r="I650" s="12"/>
      <c r="J650" s="12"/>
      <c r="K650" s="12"/>
      <c r="L650" s="12"/>
      <c r="M650" s="12"/>
      <c r="N650" s="12"/>
      <c r="O650" s="12"/>
    </row>
    <row r="651" ht="13.5" customHeight="1">
      <c r="A651" s="17"/>
      <c r="B651" s="12"/>
      <c r="C651" s="12"/>
      <c r="D651" s="17"/>
      <c r="E651" s="17"/>
      <c r="F651" s="12"/>
      <c r="G651" s="17"/>
      <c r="H651" s="12"/>
      <c r="I651" s="12"/>
      <c r="J651" s="12"/>
      <c r="K651" s="12"/>
      <c r="L651" s="12"/>
      <c r="M651" s="12"/>
      <c r="N651" s="12"/>
      <c r="O651" s="12"/>
    </row>
    <row r="652" ht="13.5" customHeight="1">
      <c r="A652" s="17"/>
      <c r="B652" s="12"/>
      <c r="C652" s="12"/>
      <c r="D652" s="17"/>
      <c r="E652" s="17"/>
      <c r="F652" s="12"/>
      <c r="G652" s="17"/>
      <c r="H652" s="12"/>
      <c r="I652" s="12"/>
      <c r="J652" s="12"/>
      <c r="K652" s="12"/>
      <c r="L652" s="12"/>
      <c r="M652" s="12"/>
      <c r="N652" s="12"/>
      <c r="O652" s="12"/>
    </row>
    <row r="653" ht="13.5" customHeight="1">
      <c r="A653" s="17"/>
      <c r="B653" s="12"/>
      <c r="C653" s="12"/>
      <c r="D653" s="17"/>
      <c r="E653" s="17"/>
      <c r="F653" s="12"/>
      <c r="G653" s="17"/>
      <c r="H653" s="12"/>
      <c r="I653" s="12"/>
      <c r="J653" s="12"/>
      <c r="K653" s="12"/>
      <c r="L653" s="12"/>
      <c r="M653" s="12"/>
      <c r="N653" s="12"/>
      <c r="O653" s="12"/>
    </row>
    <row r="654" ht="13.5" customHeight="1">
      <c r="A654" s="17"/>
      <c r="B654" s="12"/>
      <c r="C654" s="12"/>
      <c r="D654" s="17"/>
      <c r="E654" s="17"/>
      <c r="F654" s="12"/>
      <c r="G654" s="17"/>
      <c r="H654" s="12"/>
      <c r="I654" s="12"/>
      <c r="J654" s="12"/>
      <c r="K654" s="12"/>
      <c r="L654" s="12"/>
      <c r="M654" s="12"/>
      <c r="N654" s="12"/>
      <c r="O654" s="12"/>
    </row>
    <row r="655" ht="13.5" customHeight="1">
      <c r="A655" s="17"/>
      <c r="B655" s="12"/>
      <c r="C655" s="12"/>
      <c r="D655" s="17"/>
      <c r="E655" s="17"/>
      <c r="F655" s="12"/>
      <c r="G655" s="17"/>
      <c r="H655" s="12"/>
      <c r="I655" s="12"/>
      <c r="J655" s="12"/>
      <c r="K655" s="12"/>
      <c r="L655" s="12"/>
      <c r="M655" s="12"/>
      <c r="N655" s="12"/>
      <c r="O655" s="12"/>
    </row>
    <row r="656" ht="13.5" customHeight="1">
      <c r="A656" s="17"/>
      <c r="B656" s="12"/>
      <c r="C656" s="12"/>
      <c r="D656" s="17"/>
      <c r="E656" s="17"/>
      <c r="F656" s="12"/>
      <c r="G656" s="17"/>
      <c r="H656" s="12"/>
      <c r="I656" s="12"/>
      <c r="J656" s="12"/>
      <c r="K656" s="12"/>
      <c r="L656" s="12"/>
      <c r="M656" s="12"/>
      <c r="N656" s="12"/>
      <c r="O656" s="12"/>
    </row>
    <row r="657" ht="13.5" customHeight="1">
      <c r="A657" s="17"/>
      <c r="B657" s="12"/>
      <c r="C657" s="12"/>
      <c r="D657" s="17"/>
      <c r="E657" s="17"/>
      <c r="F657" s="12"/>
      <c r="G657" s="17"/>
      <c r="H657" s="12"/>
      <c r="I657" s="12"/>
      <c r="J657" s="12"/>
      <c r="K657" s="12"/>
      <c r="L657" s="12"/>
      <c r="M657" s="12"/>
      <c r="N657" s="12"/>
      <c r="O657" s="12"/>
    </row>
    <row r="658" ht="13.5" customHeight="1">
      <c r="A658" s="17"/>
      <c r="B658" s="12"/>
      <c r="C658" s="12"/>
      <c r="D658" s="17"/>
      <c r="E658" s="17"/>
      <c r="F658" s="12"/>
      <c r="G658" s="17"/>
      <c r="H658" s="12"/>
      <c r="I658" s="12"/>
      <c r="J658" s="12"/>
      <c r="K658" s="12"/>
      <c r="L658" s="12"/>
      <c r="M658" s="12"/>
      <c r="N658" s="12"/>
      <c r="O658" s="12"/>
    </row>
    <row r="659" ht="13.5" customHeight="1">
      <c r="A659" s="17"/>
      <c r="B659" s="12"/>
      <c r="C659" s="12"/>
      <c r="D659" s="17"/>
      <c r="E659" s="17"/>
      <c r="F659" s="12"/>
      <c r="G659" s="17"/>
      <c r="H659" s="12"/>
      <c r="I659" s="12"/>
      <c r="J659" s="12"/>
      <c r="K659" s="12"/>
      <c r="L659" s="12"/>
      <c r="M659" s="12"/>
      <c r="N659" s="12"/>
      <c r="O659" s="12"/>
    </row>
    <row r="660" ht="13.5" customHeight="1">
      <c r="A660" s="17"/>
      <c r="B660" s="12"/>
      <c r="C660" s="12"/>
      <c r="D660" s="17"/>
      <c r="E660" s="17"/>
      <c r="F660" s="12"/>
      <c r="G660" s="17"/>
      <c r="H660" s="12"/>
      <c r="I660" s="12"/>
      <c r="J660" s="12"/>
      <c r="K660" s="12"/>
      <c r="L660" s="12"/>
      <c r="M660" s="12"/>
      <c r="N660" s="12"/>
      <c r="O660" s="12"/>
    </row>
    <row r="661" ht="13.5" customHeight="1">
      <c r="A661" s="17"/>
      <c r="B661" s="12"/>
      <c r="C661" s="12"/>
      <c r="D661" s="17"/>
      <c r="E661" s="17"/>
      <c r="F661" s="12"/>
      <c r="G661" s="17"/>
      <c r="H661" s="12"/>
      <c r="I661" s="12"/>
      <c r="J661" s="12"/>
      <c r="K661" s="12"/>
      <c r="L661" s="12"/>
      <c r="M661" s="12"/>
      <c r="N661" s="12"/>
      <c r="O661" s="12"/>
    </row>
    <row r="662" ht="13.5" customHeight="1">
      <c r="A662" s="17"/>
      <c r="B662" s="12"/>
      <c r="C662" s="12"/>
      <c r="D662" s="17"/>
      <c r="E662" s="17"/>
      <c r="F662" s="12"/>
      <c r="G662" s="17"/>
      <c r="H662" s="12"/>
      <c r="I662" s="12"/>
      <c r="J662" s="12"/>
      <c r="K662" s="12"/>
      <c r="L662" s="12"/>
      <c r="M662" s="12"/>
      <c r="N662" s="12"/>
      <c r="O662" s="12"/>
    </row>
    <row r="663" ht="13.5" customHeight="1">
      <c r="A663" s="17"/>
      <c r="B663" s="12"/>
      <c r="C663" s="12"/>
      <c r="D663" s="17"/>
      <c r="E663" s="17"/>
      <c r="F663" s="12"/>
      <c r="G663" s="17"/>
      <c r="H663" s="12"/>
      <c r="I663" s="12"/>
      <c r="J663" s="12"/>
      <c r="K663" s="12"/>
      <c r="L663" s="12"/>
      <c r="M663" s="12"/>
      <c r="N663" s="12"/>
      <c r="O663" s="12"/>
    </row>
    <row r="664" ht="13.5" customHeight="1">
      <c r="A664" s="17"/>
      <c r="B664" s="12"/>
      <c r="C664" s="12"/>
      <c r="D664" s="17"/>
      <c r="E664" s="17"/>
      <c r="F664" s="12"/>
      <c r="G664" s="17"/>
      <c r="H664" s="12"/>
      <c r="I664" s="12"/>
      <c r="J664" s="12"/>
      <c r="K664" s="12"/>
      <c r="L664" s="12"/>
      <c r="M664" s="12"/>
      <c r="N664" s="12"/>
      <c r="O664" s="12"/>
    </row>
    <row r="665" ht="13.5" customHeight="1">
      <c r="A665" s="17"/>
      <c r="B665" s="12"/>
      <c r="C665" s="12"/>
      <c r="D665" s="17"/>
      <c r="E665" s="17"/>
      <c r="F665" s="12"/>
      <c r="G665" s="17"/>
      <c r="H665" s="12"/>
      <c r="I665" s="12"/>
      <c r="J665" s="12"/>
      <c r="K665" s="12"/>
      <c r="L665" s="12"/>
      <c r="M665" s="12"/>
      <c r="N665" s="12"/>
      <c r="O665" s="12"/>
    </row>
    <row r="666" ht="13.5" customHeight="1">
      <c r="A666" s="17"/>
      <c r="B666" s="12"/>
      <c r="C666" s="12"/>
      <c r="D666" s="17"/>
      <c r="E666" s="17"/>
      <c r="F666" s="12"/>
      <c r="G666" s="17"/>
      <c r="H666" s="12"/>
      <c r="I666" s="12"/>
      <c r="J666" s="12"/>
      <c r="K666" s="12"/>
      <c r="L666" s="12"/>
      <c r="M666" s="12"/>
      <c r="N666" s="12"/>
      <c r="O666" s="12"/>
    </row>
    <row r="667" ht="13.5" customHeight="1">
      <c r="A667" s="17"/>
      <c r="B667" s="12"/>
      <c r="C667" s="12"/>
      <c r="D667" s="17"/>
      <c r="E667" s="17"/>
      <c r="F667" s="12"/>
      <c r="G667" s="17"/>
      <c r="H667" s="12"/>
      <c r="I667" s="12"/>
      <c r="J667" s="12"/>
      <c r="K667" s="12"/>
      <c r="L667" s="12"/>
      <c r="M667" s="12"/>
      <c r="N667" s="12"/>
      <c r="O667" s="12"/>
    </row>
    <row r="668" ht="13.5" customHeight="1">
      <c r="A668" s="17"/>
      <c r="B668" s="12"/>
      <c r="C668" s="12"/>
      <c r="D668" s="17"/>
      <c r="E668" s="17"/>
      <c r="F668" s="12"/>
      <c r="G668" s="17"/>
      <c r="H668" s="12"/>
      <c r="I668" s="12"/>
      <c r="J668" s="12"/>
      <c r="K668" s="12"/>
      <c r="L668" s="12"/>
      <c r="M668" s="12"/>
      <c r="N668" s="12"/>
      <c r="O668" s="12"/>
    </row>
    <row r="669" ht="13.5" customHeight="1">
      <c r="A669" s="17"/>
      <c r="B669" s="12"/>
      <c r="C669" s="12"/>
      <c r="D669" s="17"/>
      <c r="E669" s="17"/>
      <c r="F669" s="12"/>
      <c r="G669" s="17"/>
      <c r="H669" s="12"/>
      <c r="I669" s="12"/>
      <c r="J669" s="12"/>
      <c r="K669" s="12"/>
      <c r="L669" s="12"/>
      <c r="M669" s="12"/>
      <c r="N669" s="12"/>
      <c r="O669" s="12"/>
    </row>
    <row r="670" ht="13.5" customHeight="1">
      <c r="A670" s="17"/>
      <c r="B670" s="12"/>
      <c r="C670" s="12"/>
      <c r="D670" s="17"/>
      <c r="E670" s="17"/>
      <c r="F670" s="12"/>
      <c r="G670" s="17"/>
      <c r="H670" s="12"/>
      <c r="I670" s="12"/>
      <c r="J670" s="12"/>
      <c r="K670" s="12"/>
      <c r="L670" s="12"/>
      <c r="M670" s="12"/>
      <c r="N670" s="12"/>
      <c r="O670" s="12"/>
    </row>
    <row r="671" ht="13.5" customHeight="1">
      <c r="A671" s="17"/>
      <c r="B671" s="12"/>
      <c r="C671" s="12"/>
      <c r="D671" s="17"/>
      <c r="E671" s="17"/>
      <c r="F671" s="12"/>
      <c r="G671" s="17"/>
      <c r="H671" s="12"/>
      <c r="I671" s="12"/>
      <c r="J671" s="12"/>
      <c r="K671" s="12"/>
      <c r="L671" s="12"/>
      <c r="M671" s="12"/>
      <c r="N671" s="12"/>
      <c r="O671" s="12"/>
    </row>
    <row r="672" ht="13.5" customHeight="1">
      <c r="A672" s="17"/>
      <c r="B672" s="12"/>
      <c r="C672" s="12"/>
      <c r="D672" s="17"/>
      <c r="E672" s="17"/>
      <c r="F672" s="12"/>
      <c r="G672" s="17"/>
      <c r="H672" s="12"/>
      <c r="I672" s="12"/>
      <c r="J672" s="12"/>
      <c r="K672" s="12"/>
      <c r="L672" s="12"/>
      <c r="M672" s="12"/>
      <c r="N672" s="12"/>
      <c r="O672" s="12"/>
    </row>
    <row r="673" ht="13.5" customHeight="1">
      <c r="A673" s="17"/>
      <c r="B673" s="12"/>
      <c r="C673" s="12"/>
      <c r="D673" s="17"/>
      <c r="E673" s="17"/>
      <c r="F673" s="12"/>
      <c r="G673" s="17"/>
      <c r="H673" s="12"/>
      <c r="I673" s="12"/>
      <c r="J673" s="12"/>
      <c r="K673" s="12"/>
      <c r="L673" s="12"/>
      <c r="M673" s="12"/>
      <c r="N673" s="12"/>
      <c r="O673" s="12"/>
    </row>
    <row r="674" ht="13.5" customHeight="1">
      <c r="A674" s="17"/>
      <c r="B674" s="12"/>
      <c r="C674" s="12"/>
      <c r="D674" s="17"/>
      <c r="E674" s="17"/>
      <c r="F674" s="12"/>
      <c r="G674" s="17"/>
      <c r="H674" s="12"/>
      <c r="I674" s="12"/>
      <c r="J674" s="12"/>
      <c r="K674" s="12"/>
      <c r="L674" s="12"/>
      <c r="M674" s="12"/>
      <c r="N674" s="12"/>
      <c r="O674" s="12"/>
    </row>
    <row r="675" ht="13.5" customHeight="1">
      <c r="A675" s="17"/>
      <c r="B675" s="12"/>
      <c r="C675" s="12"/>
      <c r="D675" s="17"/>
      <c r="E675" s="17"/>
      <c r="F675" s="12"/>
      <c r="G675" s="17"/>
      <c r="H675" s="12"/>
      <c r="I675" s="12"/>
      <c r="J675" s="12"/>
      <c r="K675" s="12"/>
      <c r="L675" s="12"/>
      <c r="M675" s="12"/>
      <c r="N675" s="12"/>
      <c r="O675" s="12"/>
    </row>
    <row r="676" ht="13.5" customHeight="1">
      <c r="A676" s="17"/>
      <c r="B676" s="12"/>
      <c r="C676" s="12"/>
      <c r="D676" s="17"/>
      <c r="E676" s="17"/>
      <c r="F676" s="12"/>
      <c r="G676" s="17"/>
      <c r="H676" s="12"/>
      <c r="I676" s="12"/>
      <c r="J676" s="12"/>
      <c r="K676" s="12"/>
      <c r="L676" s="12"/>
      <c r="M676" s="12"/>
      <c r="N676" s="12"/>
      <c r="O676" s="12"/>
    </row>
    <row r="677" ht="13.5" customHeight="1">
      <c r="A677" s="17"/>
      <c r="B677" s="12"/>
      <c r="C677" s="12"/>
      <c r="D677" s="17"/>
      <c r="E677" s="17"/>
      <c r="F677" s="12"/>
      <c r="G677" s="17"/>
      <c r="H677" s="12"/>
      <c r="I677" s="12"/>
      <c r="J677" s="12"/>
      <c r="K677" s="12"/>
      <c r="L677" s="12"/>
      <c r="M677" s="12"/>
      <c r="N677" s="12"/>
      <c r="O677" s="12"/>
    </row>
    <row r="678" ht="13.5" customHeight="1">
      <c r="A678" s="17"/>
      <c r="B678" s="12"/>
      <c r="C678" s="12"/>
      <c r="D678" s="17"/>
      <c r="E678" s="17"/>
      <c r="F678" s="12"/>
      <c r="G678" s="17"/>
      <c r="H678" s="12"/>
      <c r="I678" s="12"/>
      <c r="J678" s="12"/>
      <c r="K678" s="12"/>
      <c r="L678" s="12"/>
      <c r="M678" s="12"/>
      <c r="N678" s="12"/>
      <c r="O678" s="12"/>
    </row>
    <row r="679" ht="13.5" customHeight="1">
      <c r="A679" s="17"/>
      <c r="B679" s="12"/>
      <c r="C679" s="12"/>
      <c r="D679" s="17"/>
      <c r="E679" s="17"/>
      <c r="F679" s="12"/>
      <c r="G679" s="17"/>
      <c r="H679" s="12"/>
      <c r="I679" s="12"/>
      <c r="J679" s="12"/>
      <c r="K679" s="12"/>
      <c r="L679" s="12"/>
      <c r="M679" s="12"/>
      <c r="N679" s="12"/>
      <c r="O679" s="12"/>
    </row>
    <row r="680" ht="13.5" customHeight="1">
      <c r="A680" s="17"/>
      <c r="B680" s="12"/>
      <c r="C680" s="12"/>
      <c r="D680" s="17"/>
      <c r="E680" s="17"/>
      <c r="F680" s="12"/>
      <c r="G680" s="17"/>
      <c r="H680" s="12"/>
      <c r="I680" s="12"/>
      <c r="J680" s="12"/>
      <c r="K680" s="12"/>
      <c r="L680" s="12"/>
      <c r="M680" s="12"/>
      <c r="N680" s="12"/>
      <c r="O680" s="12"/>
    </row>
    <row r="681" ht="13.5" customHeight="1">
      <c r="A681" s="17"/>
      <c r="B681" s="12"/>
      <c r="C681" s="12"/>
      <c r="D681" s="17"/>
      <c r="E681" s="17"/>
      <c r="F681" s="12"/>
      <c r="G681" s="17"/>
      <c r="H681" s="12"/>
      <c r="I681" s="12"/>
      <c r="J681" s="12"/>
      <c r="K681" s="12"/>
      <c r="L681" s="12"/>
      <c r="M681" s="12"/>
      <c r="N681" s="12"/>
      <c r="O681" s="12"/>
    </row>
    <row r="682" ht="13.5" customHeight="1">
      <c r="A682" s="17"/>
      <c r="B682" s="12"/>
      <c r="C682" s="12"/>
      <c r="D682" s="17"/>
      <c r="E682" s="17"/>
      <c r="F682" s="12"/>
      <c r="G682" s="17"/>
      <c r="H682" s="12"/>
      <c r="I682" s="12"/>
      <c r="J682" s="12"/>
      <c r="K682" s="12"/>
      <c r="L682" s="12"/>
      <c r="M682" s="12"/>
      <c r="N682" s="12"/>
      <c r="O682" s="12"/>
    </row>
    <row r="683" ht="13.5" customHeight="1">
      <c r="A683" s="17"/>
      <c r="B683" s="12"/>
      <c r="C683" s="12"/>
      <c r="D683" s="17"/>
      <c r="E683" s="17"/>
      <c r="F683" s="12"/>
      <c r="G683" s="17"/>
      <c r="H683" s="12"/>
      <c r="I683" s="12"/>
      <c r="J683" s="12"/>
      <c r="K683" s="12"/>
      <c r="L683" s="12"/>
      <c r="M683" s="12"/>
      <c r="N683" s="12"/>
      <c r="O683" s="12"/>
    </row>
    <row r="684" ht="13.5" customHeight="1">
      <c r="A684" s="17"/>
      <c r="B684" s="12"/>
      <c r="C684" s="12"/>
      <c r="D684" s="17"/>
      <c r="E684" s="17"/>
      <c r="F684" s="12"/>
      <c r="G684" s="17"/>
      <c r="H684" s="12"/>
      <c r="I684" s="12"/>
      <c r="J684" s="12"/>
      <c r="K684" s="12"/>
      <c r="L684" s="12"/>
      <c r="M684" s="12"/>
      <c r="N684" s="12"/>
      <c r="O684" s="12"/>
    </row>
    <row r="685" ht="13.5" customHeight="1">
      <c r="A685" s="17"/>
      <c r="B685" s="12"/>
      <c r="C685" s="12"/>
      <c r="D685" s="17"/>
      <c r="E685" s="17"/>
      <c r="F685" s="12"/>
      <c r="G685" s="17"/>
      <c r="H685" s="12"/>
      <c r="I685" s="12"/>
      <c r="J685" s="12"/>
      <c r="K685" s="12"/>
      <c r="L685" s="12"/>
      <c r="M685" s="12"/>
      <c r="N685" s="12"/>
      <c r="O685" s="12"/>
    </row>
    <row r="686" ht="13.5" customHeight="1">
      <c r="A686" s="17"/>
      <c r="B686" s="12"/>
      <c r="C686" s="12"/>
      <c r="D686" s="17"/>
      <c r="E686" s="17"/>
      <c r="F686" s="12"/>
      <c r="G686" s="17"/>
      <c r="H686" s="12"/>
      <c r="I686" s="12"/>
      <c r="J686" s="12"/>
      <c r="K686" s="12"/>
      <c r="L686" s="12"/>
      <c r="M686" s="12"/>
      <c r="N686" s="12"/>
      <c r="O686" s="12"/>
    </row>
    <row r="687" ht="13.5" customHeight="1">
      <c r="A687" s="17"/>
      <c r="B687" s="12"/>
      <c r="C687" s="12"/>
      <c r="D687" s="17"/>
      <c r="E687" s="17"/>
      <c r="F687" s="12"/>
      <c r="G687" s="17"/>
      <c r="H687" s="12"/>
      <c r="I687" s="12"/>
      <c r="J687" s="12"/>
      <c r="K687" s="12"/>
      <c r="L687" s="12"/>
      <c r="M687" s="12"/>
      <c r="N687" s="12"/>
      <c r="O687" s="12"/>
    </row>
    <row r="688" ht="13.5" customHeight="1">
      <c r="A688" s="17"/>
      <c r="B688" s="12"/>
      <c r="C688" s="12"/>
      <c r="D688" s="17"/>
      <c r="E688" s="17"/>
      <c r="F688" s="12"/>
      <c r="G688" s="17"/>
      <c r="H688" s="12"/>
      <c r="I688" s="12"/>
      <c r="J688" s="12"/>
      <c r="K688" s="12"/>
      <c r="L688" s="12"/>
      <c r="M688" s="12"/>
      <c r="N688" s="12"/>
      <c r="O688" s="12"/>
    </row>
    <row r="689" ht="13.5" customHeight="1">
      <c r="A689" s="17"/>
      <c r="B689" s="12"/>
      <c r="C689" s="12"/>
      <c r="D689" s="17"/>
      <c r="E689" s="17"/>
      <c r="F689" s="12"/>
      <c r="G689" s="17"/>
      <c r="H689" s="12"/>
      <c r="I689" s="12"/>
      <c r="J689" s="12"/>
      <c r="K689" s="12"/>
      <c r="L689" s="12"/>
      <c r="M689" s="12"/>
      <c r="N689" s="12"/>
      <c r="O689" s="12"/>
    </row>
    <row r="690" ht="13.5" customHeight="1">
      <c r="A690" s="17"/>
      <c r="B690" s="12"/>
      <c r="C690" s="12"/>
      <c r="D690" s="17"/>
      <c r="E690" s="17"/>
      <c r="F690" s="12"/>
      <c r="G690" s="17"/>
      <c r="H690" s="12"/>
      <c r="I690" s="12"/>
      <c r="J690" s="12"/>
      <c r="K690" s="12"/>
      <c r="L690" s="12"/>
      <c r="M690" s="12"/>
      <c r="N690" s="12"/>
      <c r="O690" s="12"/>
    </row>
    <row r="691" ht="13.5" customHeight="1">
      <c r="A691" s="17"/>
      <c r="B691" s="12"/>
      <c r="C691" s="12"/>
      <c r="D691" s="17"/>
      <c r="E691" s="17"/>
      <c r="F691" s="12"/>
      <c r="G691" s="17"/>
      <c r="H691" s="12"/>
      <c r="I691" s="12"/>
      <c r="J691" s="12"/>
      <c r="K691" s="12"/>
      <c r="L691" s="12"/>
      <c r="M691" s="12"/>
      <c r="N691" s="12"/>
      <c r="O691" s="12"/>
    </row>
    <row r="692" ht="13.5" customHeight="1">
      <c r="A692" s="17"/>
      <c r="B692" s="12"/>
      <c r="C692" s="12"/>
      <c r="D692" s="17"/>
      <c r="E692" s="17"/>
      <c r="F692" s="12"/>
      <c r="G692" s="17"/>
      <c r="H692" s="12"/>
      <c r="I692" s="12"/>
      <c r="J692" s="12"/>
      <c r="K692" s="12"/>
      <c r="L692" s="12"/>
      <c r="M692" s="12"/>
      <c r="N692" s="12"/>
      <c r="O692" s="12"/>
    </row>
    <row r="693" ht="13.5" customHeight="1">
      <c r="A693" s="17"/>
      <c r="B693" s="12"/>
      <c r="C693" s="12"/>
      <c r="D693" s="17"/>
      <c r="E693" s="17"/>
      <c r="F693" s="12"/>
      <c r="G693" s="17"/>
      <c r="H693" s="12"/>
      <c r="I693" s="12"/>
      <c r="J693" s="12"/>
      <c r="K693" s="12"/>
      <c r="L693" s="12"/>
      <c r="M693" s="12"/>
      <c r="N693" s="12"/>
      <c r="O693" s="12"/>
    </row>
    <row r="694" ht="13.5" customHeight="1">
      <c r="A694" s="17"/>
      <c r="B694" s="12"/>
      <c r="C694" s="12"/>
      <c r="D694" s="17"/>
      <c r="E694" s="17"/>
      <c r="F694" s="12"/>
      <c r="G694" s="17"/>
      <c r="H694" s="12"/>
      <c r="I694" s="12"/>
      <c r="J694" s="12"/>
      <c r="K694" s="12"/>
      <c r="L694" s="12"/>
      <c r="M694" s="12"/>
      <c r="N694" s="12"/>
      <c r="O694" s="12"/>
    </row>
    <row r="695" ht="13.5" customHeight="1">
      <c r="A695" s="17"/>
      <c r="B695" s="12"/>
      <c r="C695" s="12"/>
      <c r="D695" s="17"/>
      <c r="E695" s="17"/>
      <c r="F695" s="12"/>
      <c r="G695" s="17"/>
      <c r="H695" s="12"/>
      <c r="I695" s="12"/>
      <c r="J695" s="12"/>
      <c r="K695" s="12"/>
      <c r="L695" s="12"/>
      <c r="M695" s="12"/>
      <c r="N695" s="12"/>
      <c r="O695" s="12"/>
    </row>
    <row r="696" ht="13.5" customHeight="1">
      <c r="A696" s="17"/>
      <c r="B696" s="12"/>
      <c r="C696" s="12"/>
      <c r="D696" s="17"/>
      <c r="E696" s="17"/>
      <c r="F696" s="12"/>
      <c r="G696" s="17"/>
      <c r="H696" s="12"/>
      <c r="I696" s="12"/>
      <c r="J696" s="12"/>
      <c r="K696" s="12"/>
      <c r="L696" s="12"/>
      <c r="M696" s="12"/>
      <c r="N696" s="12"/>
      <c r="O696" s="12"/>
    </row>
    <row r="697" ht="13.5" customHeight="1">
      <c r="A697" s="17"/>
      <c r="B697" s="12"/>
      <c r="C697" s="12"/>
      <c r="D697" s="17"/>
      <c r="E697" s="17"/>
      <c r="F697" s="12"/>
      <c r="G697" s="17"/>
      <c r="H697" s="12"/>
      <c r="I697" s="12"/>
      <c r="J697" s="12"/>
      <c r="K697" s="12"/>
      <c r="L697" s="12"/>
      <c r="M697" s="12"/>
      <c r="N697" s="12"/>
      <c r="O697" s="12"/>
    </row>
    <row r="698" ht="13.5" customHeight="1">
      <c r="A698" s="17"/>
      <c r="B698" s="12"/>
      <c r="C698" s="12"/>
      <c r="D698" s="17"/>
      <c r="E698" s="17"/>
      <c r="F698" s="12"/>
      <c r="G698" s="17"/>
      <c r="H698" s="12"/>
      <c r="I698" s="12"/>
      <c r="J698" s="12"/>
      <c r="K698" s="12"/>
      <c r="L698" s="12"/>
      <c r="M698" s="12"/>
      <c r="N698" s="12"/>
      <c r="O698" s="12"/>
    </row>
    <row r="699" ht="13.5" customHeight="1">
      <c r="A699" s="17"/>
      <c r="B699" s="12"/>
      <c r="C699" s="12"/>
      <c r="D699" s="17"/>
      <c r="E699" s="17"/>
      <c r="F699" s="12"/>
      <c r="G699" s="17"/>
      <c r="H699" s="12"/>
      <c r="I699" s="12"/>
      <c r="J699" s="12"/>
      <c r="K699" s="12"/>
      <c r="L699" s="12"/>
      <c r="M699" s="12"/>
      <c r="N699" s="12"/>
      <c r="O699" s="12"/>
    </row>
    <row r="700" ht="13.5" customHeight="1">
      <c r="A700" s="17"/>
      <c r="B700" s="12"/>
      <c r="C700" s="12"/>
      <c r="D700" s="17"/>
      <c r="E700" s="17"/>
      <c r="F700" s="12"/>
      <c r="G700" s="17"/>
      <c r="H700" s="12"/>
      <c r="I700" s="12"/>
      <c r="J700" s="12"/>
      <c r="K700" s="12"/>
      <c r="L700" s="12"/>
      <c r="M700" s="12"/>
      <c r="N700" s="12"/>
      <c r="O700" s="12"/>
    </row>
    <row r="701" ht="13.5" customHeight="1">
      <c r="A701" s="17"/>
      <c r="B701" s="12"/>
      <c r="C701" s="12"/>
      <c r="D701" s="17"/>
      <c r="E701" s="17"/>
      <c r="F701" s="12"/>
      <c r="G701" s="17"/>
      <c r="H701" s="12"/>
      <c r="I701" s="12"/>
      <c r="J701" s="12"/>
      <c r="K701" s="12"/>
      <c r="L701" s="12"/>
      <c r="M701" s="12"/>
      <c r="N701" s="12"/>
      <c r="O701" s="12"/>
    </row>
    <row r="702" ht="13.5" customHeight="1">
      <c r="A702" s="17"/>
      <c r="B702" s="12"/>
      <c r="C702" s="12"/>
      <c r="D702" s="17"/>
      <c r="E702" s="17"/>
      <c r="F702" s="12"/>
      <c r="G702" s="17"/>
      <c r="H702" s="12"/>
      <c r="I702" s="12"/>
      <c r="J702" s="12"/>
      <c r="K702" s="12"/>
      <c r="L702" s="12"/>
      <c r="M702" s="12"/>
      <c r="N702" s="12"/>
      <c r="O702" s="12"/>
    </row>
    <row r="703" ht="13.5" customHeight="1">
      <c r="A703" s="17"/>
      <c r="B703" s="12"/>
      <c r="C703" s="12"/>
      <c r="D703" s="17"/>
      <c r="E703" s="17"/>
      <c r="F703" s="12"/>
      <c r="G703" s="17"/>
      <c r="H703" s="12"/>
      <c r="I703" s="12"/>
      <c r="J703" s="12"/>
      <c r="K703" s="12"/>
      <c r="L703" s="12"/>
      <c r="M703" s="12"/>
      <c r="N703" s="12"/>
      <c r="O703" s="12"/>
    </row>
    <row r="704" ht="13.5" customHeight="1">
      <c r="A704" s="17"/>
      <c r="B704" s="12"/>
      <c r="C704" s="12"/>
      <c r="D704" s="17"/>
      <c r="E704" s="17"/>
      <c r="F704" s="12"/>
      <c r="G704" s="17"/>
      <c r="H704" s="12"/>
      <c r="I704" s="12"/>
      <c r="J704" s="12"/>
      <c r="K704" s="12"/>
      <c r="L704" s="12"/>
      <c r="M704" s="12"/>
      <c r="N704" s="12"/>
      <c r="O704" s="12"/>
    </row>
    <row r="705" ht="13.5" customHeight="1">
      <c r="A705" s="17"/>
      <c r="B705" s="12"/>
      <c r="C705" s="12"/>
      <c r="D705" s="17"/>
      <c r="E705" s="17"/>
      <c r="F705" s="12"/>
      <c r="G705" s="17"/>
      <c r="H705" s="12"/>
      <c r="I705" s="12"/>
      <c r="J705" s="12"/>
      <c r="K705" s="12"/>
      <c r="L705" s="12"/>
      <c r="M705" s="12"/>
      <c r="N705" s="12"/>
      <c r="O705" s="12"/>
    </row>
    <row r="706" ht="13.5" customHeight="1">
      <c r="A706" s="17"/>
      <c r="B706" s="12"/>
      <c r="C706" s="12"/>
      <c r="D706" s="17"/>
      <c r="E706" s="17"/>
      <c r="F706" s="12"/>
      <c r="G706" s="17"/>
      <c r="H706" s="12"/>
      <c r="I706" s="12"/>
      <c r="J706" s="12"/>
      <c r="K706" s="12"/>
      <c r="L706" s="12"/>
      <c r="M706" s="12"/>
      <c r="N706" s="12"/>
      <c r="O706" s="12"/>
    </row>
    <row r="707" ht="13.5" customHeight="1">
      <c r="A707" s="17"/>
      <c r="B707" s="12"/>
      <c r="C707" s="12"/>
      <c r="D707" s="17"/>
      <c r="E707" s="17"/>
      <c r="F707" s="12"/>
      <c r="G707" s="17"/>
      <c r="H707" s="12"/>
      <c r="I707" s="12"/>
      <c r="J707" s="12"/>
      <c r="K707" s="12"/>
      <c r="L707" s="12"/>
      <c r="M707" s="12"/>
      <c r="N707" s="12"/>
      <c r="O707" s="12"/>
    </row>
    <row r="708" ht="13.5" customHeight="1">
      <c r="A708" s="17"/>
      <c r="B708" s="12"/>
      <c r="C708" s="12"/>
      <c r="D708" s="17"/>
      <c r="E708" s="17"/>
      <c r="F708" s="12"/>
      <c r="G708" s="17"/>
      <c r="H708" s="12"/>
      <c r="I708" s="12"/>
      <c r="J708" s="12"/>
      <c r="K708" s="12"/>
      <c r="L708" s="12"/>
      <c r="M708" s="12"/>
      <c r="N708" s="12"/>
      <c r="O708" s="12"/>
    </row>
    <row r="709" ht="13.5" customHeight="1">
      <c r="A709" s="17"/>
      <c r="B709" s="12"/>
      <c r="C709" s="12"/>
      <c r="D709" s="17"/>
      <c r="E709" s="17"/>
      <c r="F709" s="12"/>
      <c r="G709" s="17"/>
      <c r="H709" s="12"/>
      <c r="I709" s="12"/>
      <c r="J709" s="12"/>
      <c r="K709" s="12"/>
      <c r="L709" s="12"/>
      <c r="M709" s="12"/>
      <c r="N709" s="12"/>
      <c r="O709" s="12"/>
    </row>
    <row r="710" ht="13.5" customHeight="1">
      <c r="A710" s="17"/>
      <c r="B710" s="12"/>
      <c r="C710" s="12"/>
      <c r="D710" s="17"/>
      <c r="E710" s="17"/>
      <c r="F710" s="12"/>
      <c r="G710" s="17"/>
      <c r="H710" s="12"/>
      <c r="I710" s="12"/>
      <c r="J710" s="12"/>
      <c r="K710" s="12"/>
      <c r="L710" s="12"/>
      <c r="M710" s="12"/>
      <c r="N710" s="12"/>
      <c r="O710" s="12"/>
    </row>
    <row r="711" ht="13.5" customHeight="1">
      <c r="A711" s="17"/>
      <c r="B711" s="12"/>
      <c r="C711" s="12"/>
      <c r="D711" s="17"/>
      <c r="E711" s="17"/>
      <c r="F711" s="12"/>
      <c r="G711" s="17"/>
      <c r="H711" s="12"/>
      <c r="I711" s="12"/>
      <c r="J711" s="12"/>
      <c r="K711" s="12"/>
      <c r="L711" s="12"/>
      <c r="M711" s="12"/>
      <c r="N711" s="12"/>
      <c r="O711" s="12"/>
    </row>
    <row r="712" ht="13.5" customHeight="1">
      <c r="A712" s="17"/>
      <c r="B712" s="12"/>
      <c r="C712" s="12"/>
      <c r="D712" s="17"/>
      <c r="E712" s="17"/>
      <c r="F712" s="12"/>
      <c r="G712" s="17"/>
      <c r="H712" s="12"/>
      <c r="I712" s="12"/>
      <c r="J712" s="12"/>
      <c r="K712" s="12"/>
      <c r="L712" s="12"/>
      <c r="M712" s="12"/>
      <c r="N712" s="12"/>
      <c r="O712" s="12"/>
    </row>
    <row r="713" ht="13.5" customHeight="1">
      <c r="A713" s="17"/>
      <c r="B713" s="12"/>
      <c r="C713" s="12"/>
      <c r="D713" s="17"/>
      <c r="E713" s="17"/>
      <c r="F713" s="12"/>
      <c r="G713" s="17"/>
      <c r="H713" s="12"/>
      <c r="I713" s="12"/>
      <c r="J713" s="12"/>
      <c r="K713" s="12"/>
      <c r="L713" s="12"/>
      <c r="M713" s="12"/>
      <c r="N713" s="12"/>
      <c r="O713" s="12"/>
    </row>
    <row r="714" ht="13.5" customHeight="1">
      <c r="A714" s="17"/>
      <c r="B714" s="12"/>
      <c r="C714" s="12"/>
      <c r="D714" s="17"/>
      <c r="E714" s="17"/>
      <c r="F714" s="12"/>
      <c r="G714" s="17"/>
      <c r="H714" s="12"/>
      <c r="I714" s="12"/>
      <c r="J714" s="12"/>
      <c r="K714" s="12"/>
      <c r="L714" s="12"/>
      <c r="M714" s="12"/>
      <c r="N714" s="12"/>
      <c r="O714" s="12"/>
    </row>
    <row r="715" ht="13.5" customHeight="1">
      <c r="A715" s="17"/>
      <c r="B715" s="12"/>
      <c r="C715" s="12"/>
      <c r="D715" s="17"/>
      <c r="E715" s="17"/>
      <c r="F715" s="12"/>
      <c r="G715" s="17"/>
      <c r="H715" s="12"/>
      <c r="I715" s="12"/>
      <c r="J715" s="12"/>
      <c r="K715" s="12"/>
      <c r="L715" s="12"/>
      <c r="M715" s="12"/>
      <c r="N715" s="12"/>
      <c r="O715" s="12"/>
    </row>
    <row r="716" ht="13.5" customHeight="1">
      <c r="A716" s="17"/>
      <c r="B716" s="12"/>
      <c r="C716" s="12"/>
      <c r="D716" s="17"/>
      <c r="E716" s="17"/>
      <c r="F716" s="12"/>
      <c r="G716" s="17"/>
      <c r="H716" s="12"/>
      <c r="I716" s="12"/>
      <c r="J716" s="12"/>
      <c r="K716" s="12"/>
      <c r="L716" s="12"/>
      <c r="M716" s="12"/>
      <c r="N716" s="12"/>
      <c r="O716" s="12"/>
    </row>
    <row r="717" ht="13.5" customHeight="1">
      <c r="A717" s="17"/>
      <c r="B717" s="12"/>
      <c r="C717" s="12"/>
      <c r="D717" s="17"/>
      <c r="E717" s="17"/>
      <c r="F717" s="12"/>
      <c r="G717" s="17"/>
      <c r="H717" s="12"/>
      <c r="I717" s="12"/>
      <c r="J717" s="12"/>
      <c r="K717" s="12"/>
      <c r="L717" s="12"/>
      <c r="M717" s="12"/>
      <c r="N717" s="12"/>
      <c r="O717" s="12"/>
    </row>
    <row r="718" ht="13.5" customHeight="1">
      <c r="A718" s="17"/>
      <c r="B718" s="12"/>
      <c r="C718" s="12"/>
      <c r="D718" s="17"/>
      <c r="E718" s="17"/>
      <c r="F718" s="12"/>
      <c r="G718" s="17"/>
      <c r="H718" s="12"/>
      <c r="I718" s="12"/>
      <c r="J718" s="12"/>
      <c r="K718" s="12"/>
      <c r="L718" s="12"/>
      <c r="M718" s="12"/>
      <c r="N718" s="12"/>
      <c r="O718" s="12"/>
    </row>
    <row r="719" ht="13.5" customHeight="1">
      <c r="A719" s="17"/>
      <c r="B719" s="12"/>
      <c r="C719" s="12"/>
      <c r="D719" s="17"/>
      <c r="E719" s="17"/>
      <c r="F719" s="12"/>
      <c r="G719" s="17"/>
      <c r="H719" s="12"/>
      <c r="I719" s="12"/>
      <c r="J719" s="12"/>
      <c r="K719" s="12"/>
      <c r="L719" s="12"/>
      <c r="M719" s="12"/>
      <c r="N719" s="12"/>
      <c r="O719" s="12"/>
    </row>
    <row r="720" ht="13.5" customHeight="1">
      <c r="A720" s="17"/>
      <c r="B720" s="12"/>
      <c r="C720" s="12"/>
      <c r="D720" s="17"/>
      <c r="E720" s="17"/>
      <c r="F720" s="12"/>
      <c r="G720" s="17"/>
      <c r="H720" s="12"/>
      <c r="I720" s="12"/>
      <c r="J720" s="12"/>
      <c r="K720" s="12"/>
      <c r="L720" s="12"/>
      <c r="M720" s="12"/>
      <c r="N720" s="12"/>
      <c r="O720" s="12"/>
    </row>
    <row r="721" ht="13.5" customHeight="1">
      <c r="A721" s="17"/>
      <c r="B721" s="12"/>
      <c r="C721" s="12"/>
      <c r="D721" s="17"/>
      <c r="E721" s="17"/>
      <c r="F721" s="12"/>
      <c r="G721" s="17"/>
      <c r="H721" s="12"/>
      <c r="I721" s="12"/>
      <c r="J721" s="12"/>
      <c r="K721" s="12"/>
      <c r="L721" s="12"/>
      <c r="M721" s="12"/>
      <c r="N721" s="12"/>
      <c r="O721" s="12"/>
    </row>
    <row r="722" ht="13.5" customHeight="1">
      <c r="A722" s="17"/>
      <c r="B722" s="12"/>
      <c r="C722" s="12"/>
      <c r="D722" s="17"/>
      <c r="E722" s="17"/>
      <c r="F722" s="12"/>
      <c r="G722" s="17"/>
      <c r="H722" s="12"/>
      <c r="I722" s="12"/>
      <c r="J722" s="12"/>
      <c r="K722" s="12"/>
      <c r="L722" s="12"/>
      <c r="M722" s="12"/>
      <c r="N722" s="12"/>
      <c r="O722" s="12"/>
    </row>
    <row r="723" ht="13.5" customHeight="1">
      <c r="A723" s="17"/>
      <c r="B723" s="12"/>
      <c r="C723" s="12"/>
      <c r="D723" s="17"/>
      <c r="E723" s="17"/>
      <c r="F723" s="12"/>
      <c r="G723" s="17"/>
      <c r="H723" s="12"/>
      <c r="I723" s="12"/>
      <c r="J723" s="12"/>
      <c r="K723" s="12"/>
      <c r="L723" s="12"/>
      <c r="M723" s="12"/>
      <c r="N723" s="12"/>
      <c r="O723" s="12"/>
    </row>
    <row r="724" ht="13.5" customHeight="1">
      <c r="A724" s="17"/>
      <c r="B724" s="12"/>
      <c r="C724" s="12"/>
      <c r="D724" s="17"/>
      <c r="E724" s="17"/>
      <c r="F724" s="12"/>
      <c r="G724" s="17"/>
      <c r="H724" s="12"/>
      <c r="I724" s="12"/>
      <c r="J724" s="12"/>
      <c r="K724" s="12"/>
      <c r="L724" s="12"/>
      <c r="M724" s="12"/>
      <c r="N724" s="12"/>
      <c r="O724" s="12"/>
    </row>
    <row r="725" ht="13.5" customHeight="1">
      <c r="A725" s="17"/>
      <c r="B725" s="12"/>
      <c r="C725" s="12"/>
      <c r="D725" s="17"/>
      <c r="E725" s="17"/>
      <c r="F725" s="12"/>
      <c r="G725" s="17"/>
      <c r="H725" s="12"/>
      <c r="I725" s="12"/>
      <c r="J725" s="12"/>
      <c r="K725" s="12"/>
      <c r="L725" s="12"/>
      <c r="M725" s="12"/>
      <c r="N725" s="12"/>
      <c r="O725" s="12"/>
    </row>
    <row r="726" ht="13.5" customHeight="1">
      <c r="A726" s="17"/>
      <c r="B726" s="12"/>
      <c r="C726" s="12"/>
      <c r="D726" s="17"/>
      <c r="E726" s="17"/>
      <c r="F726" s="12"/>
      <c r="G726" s="17"/>
      <c r="H726" s="12"/>
      <c r="I726" s="12"/>
      <c r="J726" s="12"/>
      <c r="K726" s="12"/>
      <c r="L726" s="12"/>
      <c r="M726" s="12"/>
      <c r="N726" s="12"/>
      <c r="O726" s="12"/>
    </row>
    <row r="727" ht="13.5" customHeight="1">
      <c r="A727" s="17"/>
      <c r="B727" s="12"/>
      <c r="C727" s="12"/>
      <c r="D727" s="17"/>
      <c r="E727" s="17"/>
      <c r="F727" s="12"/>
      <c r="G727" s="17"/>
      <c r="H727" s="12"/>
      <c r="I727" s="12"/>
      <c r="J727" s="12"/>
      <c r="K727" s="12"/>
      <c r="L727" s="12"/>
      <c r="M727" s="12"/>
      <c r="N727" s="12"/>
      <c r="O727" s="12"/>
    </row>
    <row r="728" ht="13.5" customHeight="1">
      <c r="A728" s="17"/>
      <c r="B728" s="12"/>
      <c r="C728" s="12"/>
      <c r="D728" s="17"/>
      <c r="E728" s="17"/>
      <c r="F728" s="12"/>
      <c r="G728" s="17"/>
      <c r="H728" s="12"/>
      <c r="I728" s="12"/>
      <c r="J728" s="12"/>
      <c r="K728" s="12"/>
      <c r="L728" s="12"/>
      <c r="M728" s="12"/>
      <c r="N728" s="12"/>
      <c r="O728" s="12"/>
    </row>
    <row r="729" ht="13.5" customHeight="1">
      <c r="A729" s="17"/>
      <c r="B729" s="12"/>
      <c r="C729" s="12"/>
      <c r="D729" s="17"/>
      <c r="E729" s="17"/>
      <c r="F729" s="12"/>
      <c r="G729" s="17"/>
      <c r="H729" s="12"/>
      <c r="I729" s="12"/>
      <c r="J729" s="12"/>
      <c r="K729" s="12"/>
      <c r="L729" s="12"/>
      <c r="M729" s="12"/>
      <c r="N729" s="12"/>
      <c r="O729" s="12"/>
    </row>
    <row r="730" ht="13.5" customHeight="1">
      <c r="A730" s="17"/>
      <c r="B730" s="12"/>
      <c r="C730" s="12"/>
      <c r="D730" s="17"/>
      <c r="E730" s="17"/>
      <c r="F730" s="12"/>
      <c r="G730" s="17"/>
      <c r="H730" s="12"/>
      <c r="I730" s="12"/>
      <c r="J730" s="12"/>
      <c r="K730" s="12"/>
      <c r="L730" s="12"/>
      <c r="M730" s="12"/>
      <c r="N730" s="12"/>
      <c r="O730" s="12"/>
    </row>
    <row r="731" ht="13.5" customHeight="1">
      <c r="A731" s="17"/>
      <c r="B731" s="12"/>
      <c r="C731" s="12"/>
      <c r="D731" s="17"/>
      <c r="E731" s="17"/>
      <c r="F731" s="12"/>
      <c r="G731" s="17"/>
      <c r="H731" s="12"/>
      <c r="I731" s="12"/>
      <c r="J731" s="12"/>
      <c r="K731" s="12"/>
      <c r="L731" s="12"/>
      <c r="M731" s="12"/>
      <c r="N731" s="12"/>
      <c r="O731" s="12"/>
    </row>
    <row r="732" ht="13.5" customHeight="1">
      <c r="A732" s="17"/>
      <c r="B732" s="12"/>
      <c r="C732" s="12"/>
      <c r="D732" s="17"/>
      <c r="E732" s="17"/>
      <c r="F732" s="12"/>
      <c r="G732" s="17"/>
      <c r="H732" s="12"/>
      <c r="I732" s="12"/>
      <c r="J732" s="12"/>
      <c r="K732" s="12"/>
      <c r="L732" s="12"/>
      <c r="M732" s="12"/>
      <c r="N732" s="12"/>
      <c r="O732" s="12"/>
    </row>
    <row r="733" ht="13.5" customHeight="1">
      <c r="A733" s="17"/>
      <c r="B733" s="12"/>
      <c r="C733" s="12"/>
      <c r="D733" s="17"/>
      <c r="E733" s="17"/>
      <c r="F733" s="12"/>
      <c r="G733" s="17"/>
      <c r="H733" s="12"/>
      <c r="I733" s="12"/>
      <c r="J733" s="12"/>
      <c r="K733" s="12"/>
      <c r="L733" s="12"/>
      <c r="M733" s="12"/>
      <c r="N733" s="12"/>
      <c r="O733" s="12"/>
    </row>
    <row r="734" ht="13.5" customHeight="1">
      <c r="A734" s="17"/>
      <c r="B734" s="12"/>
      <c r="C734" s="12"/>
      <c r="D734" s="17"/>
      <c r="E734" s="17"/>
      <c r="F734" s="12"/>
      <c r="G734" s="17"/>
      <c r="H734" s="12"/>
      <c r="I734" s="12"/>
      <c r="J734" s="12"/>
      <c r="K734" s="12"/>
      <c r="L734" s="12"/>
      <c r="M734" s="12"/>
      <c r="N734" s="12"/>
      <c r="O734" s="12"/>
    </row>
    <row r="735" ht="13.5" customHeight="1">
      <c r="A735" s="17"/>
      <c r="B735" s="12"/>
      <c r="C735" s="12"/>
      <c r="D735" s="17"/>
      <c r="E735" s="17"/>
      <c r="F735" s="12"/>
      <c r="G735" s="17"/>
      <c r="H735" s="12"/>
      <c r="I735" s="12"/>
      <c r="J735" s="12"/>
      <c r="K735" s="12"/>
      <c r="L735" s="12"/>
      <c r="M735" s="12"/>
      <c r="N735" s="12"/>
      <c r="O735" s="12"/>
    </row>
    <row r="736" ht="13.5" customHeight="1">
      <c r="A736" s="17"/>
      <c r="B736" s="12"/>
      <c r="C736" s="12"/>
      <c r="D736" s="17"/>
      <c r="E736" s="17"/>
      <c r="F736" s="12"/>
      <c r="G736" s="17"/>
      <c r="H736" s="12"/>
      <c r="I736" s="12"/>
      <c r="J736" s="12"/>
      <c r="K736" s="12"/>
      <c r="L736" s="12"/>
      <c r="M736" s="12"/>
      <c r="N736" s="12"/>
      <c r="O736" s="12"/>
    </row>
    <row r="737" ht="13.5" customHeight="1">
      <c r="A737" s="17"/>
      <c r="B737" s="12"/>
      <c r="C737" s="12"/>
      <c r="D737" s="17"/>
      <c r="E737" s="17"/>
      <c r="F737" s="12"/>
      <c r="G737" s="17"/>
      <c r="H737" s="12"/>
      <c r="I737" s="12"/>
      <c r="J737" s="12"/>
      <c r="K737" s="12"/>
      <c r="L737" s="12"/>
      <c r="M737" s="12"/>
      <c r="N737" s="12"/>
      <c r="O737" s="12"/>
    </row>
    <row r="738" ht="13.5" customHeight="1">
      <c r="A738" s="17"/>
      <c r="B738" s="12"/>
      <c r="C738" s="12"/>
      <c r="D738" s="17"/>
      <c r="E738" s="17"/>
      <c r="F738" s="12"/>
      <c r="G738" s="17"/>
      <c r="H738" s="12"/>
      <c r="I738" s="12"/>
      <c r="J738" s="12"/>
      <c r="K738" s="12"/>
      <c r="L738" s="12"/>
      <c r="M738" s="12"/>
      <c r="N738" s="12"/>
      <c r="O738" s="12"/>
    </row>
    <row r="739" ht="13.5" customHeight="1">
      <c r="A739" s="17"/>
      <c r="B739" s="12"/>
      <c r="C739" s="12"/>
      <c r="D739" s="17"/>
      <c r="E739" s="17"/>
      <c r="F739" s="12"/>
      <c r="G739" s="17"/>
      <c r="H739" s="12"/>
      <c r="I739" s="12"/>
      <c r="J739" s="12"/>
      <c r="K739" s="12"/>
      <c r="L739" s="12"/>
      <c r="M739" s="12"/>
      <c r="N739" s="12"/>
      <c r="O739" s="12"/>
    </row>
    <row r="740" ht="13.5" customHeight="1">
      <c r="A740" s="17"/>
      <c r="B740" s="12"/>
      <c r="C740" s="12"/>
      <c r="D740" s="17"/>
      <c r="E740" s="17"/>
      <c r="F740" s="12"/>
      <c r="G740" s="17"/>
      <c r="H740" s="12"/>
      <c r="I740" s="12"/>
      <c r="J740" s="12"/>
      <c r="K740" s="12"/>
      <c r="L740" s="12"/>
      <c r="M740" s="12"/>
      <c r="N740" s="12"/>
      <c r="O740" s="12"/>
    </row>
    <row r="741" ht="13.5" customHeight="1">
      <c r="A741" s="17"/>
      <c r="B741" s="12"/>
      <c r="C741" s="12"/>
      <c r="D741" s="17"/>
      <c r="E741" s="17"/>
      <c r="F741" s="12"/>
      <c r="G741" s="17"/>
      <c r="H741" s="12"/>
      <c r="I741" s="12"/>
      <c r="J741" s="12"/>
      <c r="K741" s="12"/>
      <c r="L741" s="12"/>
      <c r="M741" s="12"/>
      <c r="N741" s="12"/>
      <c r="O741" s="12"/>
    </row>
    <row r="742" ht="13.5" customHeight="1">
      <c r="A742" s="17"/>
      <c r="B742" s="12"/>
      <c r="C742" s="12"/>
      <c r="D742" s="17"/>
      <c r="E742" s="17"/>
      <c r="F742" s="12"/>
      <c r="G742" s="17"/>
      <c r="H742" s="12"/>
      <c r="I742" s="12"/>
      <c r="J742" s="12"/>
      <c r="K742" s="12"/>
      <c r="L742" s="12"/>
      <c r="M742" s="12"/>
      <c r="N742" s="12"/>
      <c r="O742" s="12"/>
    </row>
    <row r="743" ht="13.5" customHeight="1">
      <c r="A743" s="17"/>
      <c r="B743" s="12"/>
      <c r="C743" s="12"/>
      <c r="D743" s="17"/>
      <c r="E743" s="17"/>
      <c r="F743" s="12"/>
      <c r="G743" s="17"/>
      <c r="H743" s="12"/>
      <c r="I743" s="12"/>
      <c r="J743" s="12"/>
      <c r="K743" s="12"/>
      <c r="L743" s="12"/>
      <c r="M743" s="12"/>
      <c r="N743" s="12"/>
      <c r="O743" s="12"/>
    </row>
    <row r="744" ht="13.5" customHeight="1">
      <c r="A744" s="17"/>
      <c r="B744" s="12"/>
      <c r="C744" s="12"/>
      <c r="D744" s="17"/>
      <c r="E744" s="17"/>
      <c r="F744" s="12"/>
      <c r="G744" s="17"/>
      <c r="H744" s="12"/>
      <c r="I744" s="12"/>
      <c r="J744" s="12"/>
      <c r="K744" s="12"/>
      <c r="L744" s="12"/>
      <c r="M744" s="12"/>
      <c r="N744" s="12"/>
      <c r="O744" s="12"/>
    </row>
    <row r="745" ht="13.5" customHeight="1">
      <c r="A745" s="17"/>
      <c r="B745" s="12"/>
      <c r="C745" s="12"/>
      <c r="D745" s="17"/>
      <c r="E745" s="17"/>
      <c r="F745" s="12"/>
      <c r="G745" s="17"/>
      <c r="H745" s="12"/>
      <c r="I745" s="12"/>
      <c r="J745" s="12"/>
      <c r="K745" s="12"/>
      <c r="L745" s="12"/>
      <c r="M745" s="12"/>
      <c r="N745" s="12"/>
      <c r="O745" s="12"/>
    </row>
    <row r="746" ht="13.5" customHeight="1">
      <c r="A746" s="17"/>
      <c r="B746" s="12"/>
      <c r="C746" s="12"/>
      <c r="D746" s="17"/>
      <c r="E746" s="17"/>
      <c r="F746" s="12"/>
      <c r="G746" s="17"/>
      <c r="H746" s="12"/>
      <c r="I746" s="12"/>
      <c r="J746" s="12"/>
      <c r="K746" s="12"/>
      <c r="L746" s="12"/>
      <c r="M746" s="12"/>
      <c r="N746" s="12"/>
      <c r="O746" s="12"/>
    </row>
    <row r="747" ht="13.5" customHeight="1">
      <c r="A747" s="17"/>
      <c r="B747" s="12"/>
      <c r="C747" s="12"/>
      <c r="D747" s="17"/>
      <c r="E747" s="17"/>
      <c r="F747" s="12"/>
      <c r="G747" s="17"/>
      <c r="H747" s="12"/>
      <c r="I747" s="12"/>
      <c r="J747" s="12"/>
      <c r="K747" s="12"/>
      <c r="L747" s="12"/>
      <c r="M747" s="12"/>
      <c r="N747" s="12"/>
      <c r="O747" s="12"/>
    </row>
    <row r="748" ht="13.5" customHeight="1">
      <c r="A748" s="17"/>
      <c r="B748" s="12"/>
      <c r="C748" s="12"/>
      <c r="D748" s="17"/>
      <c r="E748" s="17"/>
      <c r="F748" s="12"/>
      <c r="G748" s="17"/>
      <c r="H748" s="12"/>
      <c r="I748" s="12"/>
      <c r="J748" s="12"/>
      <c r="K748" s="12"/>
      <c r="L748" s="12"/>
      <c r="M748" s="12"/>
      <c r="N748" s="12"/>
      <c r="O748" s="12"/>
    </row>
    <row r="749" ht="13.5" customHeight="1">
      <c r="A749" s="17"/>
      <c r="B749" s="12"/>
      <c r="C749" s="12"/>
      <c r="D749" s="17"/>
      <c r="E749" s="17"/>
      <c r="F749" s="12"/>
      <c r="G749" s="17"/>
      <c r="H749" s="12"/>
      <c r="I749" s="12"/>
      <c r="J749" s="12"/>
      <c r="K749" s="12"/>
      <c r="L749" s="12"/>
      <c r="M749" s="12"/>
      <c r="N749" s="12"/>
      <c r="O749" s="12"/>
    </row>
    <row r="750" ht="13.5" customHeight="1">
      <c r="A750" s="17"/>
      <c r="B750" s="12"/>
      <c r="C750" s="12"/>
      <c r="D750" s="17"/>
      <c r="E750" s="17"/>
      <c r="F750" s="12"/>
      <c r="G750" s="17"/>
      <c r="H750" s="12"/>
      <c r="I750" s="12"/>
      <c r="J750" s="12"/>
      <c r="K750" s="12"/>
      <c r="L750" s="12"/>
      <c r="M750" s="12"/>
      <c r="N750" s="12"/>
      <c r="O750" s="12"/>
    </row>
    <row r="751" ht="13.5" customHeight="1">
      <c r="A751" s="17"/>
      <c r="B751" s="12"/>
      <c r="C751" s="12"/>
      <c r="D751" s="17"/>
      <c r="E751" s="17"/>
      <c r="F751" s="12"/>
      <c r="G751" s="17"/>
      <c r="H751" s="12"/>
      <c r="I751" s="12"/>
      <c r="J751" s="12"/>
      <c r="K751" s="12"/>
      <c r="L751" s="12"/>
      <c r="M751" s="12"/>
      <c r="N751" s="12"/>
      <c r="O751" s="12"/>
    </row>
    <row r="752" ht="13.5" customHeight="1">
      <c r="A752" s="17"/>
      <c r="B752" s="12"/>
      <c r="C752" s="12"/>
      <c r="D752" s="17"/>
      <c r="E752" s="17"/>
      <c r="F752" s="12"/>
      <c r="G752" s="17"/>
      <c r="H752" s="12"/>
      <c r="I752" s="12"/>
      <c r="J752" s="12"/>
      <c r="K752" s="12"/>
      <c r="L752" s="12"/>
      <c r="M752" s="12"/>
      <c r="N752" s="12"/>
      <c r="O752" s="12"/>
    </row>
    <row r="753" ht="13.5" customHeight="1">
      <c r="A753" s="17"/>
      <c r="B753" s="12"/>
      <c r="C753" s="12"/>
      <c r="D753" s="17"/>
      <c r="E753" s="17"/>
      <c r="F753" s="12"/>
      <c r="G753" s="17"/>
      <c r="H753" s="12"/>
      <c r="I753" s="12"/>
      <c r="J753" s="12"/>
      <c r="K753" s="12"/>
      <c r="L753" s="12"/>
      <c r="M753" s="12"/>
      <c r="N753" s="12"/>
      <c r="O753" s="12"/>
    </row>
    <row r="754" ht="13.5" customHeight="1">
      <c r="A754" s="17"/>
      <c r="B754" s="12"/>
      <c r="C754" s="12"/>
      <c r="D754" s="17"/>
      <c r="E754" s="17"/>
      <c r="F754" s="12"/>
      <c r="G754" s="17"/>
      <c r="H754" s="12"/>
      <c r="I754" s="12"/>
      <c r="J754" s="12"/>
      <c r="K754" s="12"/>
      <c r="L754" s="12"/>
      <c r="M754" s="12"/>
      <c r="N754" s="12"/>
      <c r="O754" s="12"/>
    </row>
    <row r="755" ht="13.5" customHeight="1">
      <c r="A755" s="17"/>
      <c r="B755" s="12"/>
      <c r="C755" s="12"/>
      <c r="D755" s="17"/>
      <c r="E755" s="17"/>
      <c r="F755" s="12"/>
      <c r="G755" s="17"/>
      <c r="H755" s="12"/>
      <c r="I755" s="12"/>
      <c r="J755" s="12"/>
      <c r="K755" s="12"/>
      <c r="L755" s="12"/>
      <c r="M755" s="12"/>
      <c r="N755" s="12"/>
      <c r="O755" s="12"/>
    </row>
    <row r="756" ht="13.5" customHeight="1">
      <c r="A756" s="17"/>
      <c r="B756" s="12"/>
      <c r="C756" s="12"/>
      <c r="D756" s="17"/>
      <c r="E756" s="17"/>
      <c r="F756" s="12"/>
      <c r="G756" s="17"/>
      <c r="H756" s="12"/>
      <c r="I756" s="12"/>
      <c r="J756" s="12"/>
      <c r="K756" s="12"/>
      <c r="L756" s="12"/>
      <c r="M756" s="12"/>
      <c r="N756" s="12"/>
      <c r="O756" s="12"/>
    </row>
    <row r="757" ht="13.5" customHeight="1">
      <c r="A757" s="17"/>
      <c r="B757" s="12"/>
      <c r="C757" s="12"/>
      <c r="D757" s="17"/>
      <c r="E757" s="17"/>
      <c r="F757" s="12"/>
      <c r="G757" s="17"/>
      <c r="H757" s="12"/>
      <c r="I757" s="12"/>
      <c r="J757" s="12"/>
      <c r="K757" s="12"/>
      <c r="L757" s="12"/>
      <c r="M757" s="12"/>
      <c r="N757" s="12"/>
      <c r="O757" s="12"/>
    </row>
    <row r="758" ht="13.5" customHeight="1">
      <c r="A758" s="17"/>
      <c r="B758" s="12"/>
      <c r="C758" s="12"/>
      <c r="D758" s="17"/>
      <c r="E758" s="17"/>
      <c r="F758" s="12"/>
      <c r="G758" s="17"/>
      <c r="H758" s="12"/>
      <c r="I758" s="12"/>
      <c r="J758" s="12"/>
      <c r="K758" s="12"/>
      <c r="L758" s="12"/>
      <c r="M758" s="12"/>
      <c r="N758" s="12"/>
      <c r="O758" s="12"/>
    </row>
    <row r="759" ht="13.5" customHeight="1">
      <c r="A759" s="17"/>
      <c r="B759" s="12"/>
      <c r="C759" s="12"/>
      <c r="D759" s="17"/>
      <c r="E759" s="17"/>
      <c r="F759" s="12"/>
      <c r="G759" s="17"/>
      <c r="H759" s="12"/>
      <c r="I759" s="12"/>
      <c r="J759" s="12"/>
      <c r="K759" s="12"/>
      <c r="L759" s="12"/>
      <c r="M759" s="12"/>
      <c r="N759" s="12"/>
      <c r="O759" s="12"/>
    </row>
    <row r="760" ht="13.5" customHeight="1">
      <c r="A760" s="17"/>
      <c r="B760" s="12"/>
      <c r="C760" s="12"/>
      <c r="D760" s="17"/>
      <c r="E760" s="17"/>
      <c r="F760" s="12"/>
      <c r="G760" s="17"/>
      <c r="H760" s="12"/>
      <c r="I760" s="12"/>
      <c r="J760" s="12"/>
      <c r="K760" s="12"/>
      <c r="L760" s="12"/>
      <c r="M760" s="12"/>
      <c r="N760" s="12"/>
      <c r="O760" s="12"/>
    </row>
    <row r="761" ht="13.5" customHeight="1">
      <c r="A761" s="17"/>
      <c r="B761" s="12"/>
      <c r="C761" s="12"/>
      <c r="D761" s="17"/>
      <c r="E761" s="17"/>
      <c r="F761" s="12"/>
      <c r="G761" s="17"/>
      <c r="H761" s="12"/>
      <c r="I761" s="12"/>
      <c r="J761" s="12"/>
      <c r="K761" s="12"/>
      <c r="L761" s="12"/>
      <c r="M761" s="12"/>
      <c r="N761" s="12"/>
      <c r="O761" s="12"/>
    </row>
    <row r="762" ht="13.5" customHeight="1">
      <c r="A762" s="17"/>
      <c r="B762" s="12"/>
      <c r="C762" s="12"/>
      <c r="D762" s="17"/>
      <c r="E762" s="17"/>
      <c r="F762" s="12"/>
      <c r="G762" s="17"/>
      <c r="H762" s="12"/>
      <c r="I762" s="12"/>
      <c r="J762" s="12"/>
      <c r="K762" s="12"/>
      <c r="L762" s="12"/>
      <c r="M762" s="12"/>
      <c r="N762" s="12"/>
      <c r="O762" s="12"/>
    </row>
    <row r="763" ht="13.5" customHeight="1">
      <c r="A763" s="17"/>
      <c r="B763" s="12"/>
      <c r="C763" s="12"/>
      <c r="D763" s="17"/>
      <c r="E763" s="17"/>
      <c r="F763" s="12"/>
      <c r="G763" s="17"/>
      <c r="H763" s="12"/>
      <c r="I763" s="12"/>
      <c r="J763" s="12"/>
      <c r="K763" s="12"/>
      <c r="L763" s="12"/>
      <c r="M763" s="12"/>
      <c r="N763" s="12"/>
      <c r="O763" s="12"/>
    </row>
    <row r="764" ht="13.5" customHeight="1">
      <c r="A764" s="17"/>
      <c r="B764" s="12"/>
      <c r="C764" s="12"/>
      <c r="D764" s="17"/>
      <c r="E764" s="17"/>
      <c r="F764" s="12"/>
      <c r="G764" s="17"/>
      <c r="H764" s="12"/>
      <c r="I764" s="12"/>
      <c r="J764" s="12"/>
      <c r="K764" s="12"/>
      <c r="L764" s="12"/>
      <c r="M764" s="12"/>
      <c r="N764" s="12"/>
      <c r="O764" s="12"/>
    </row>
    <row r="765" ht="13.5" customHeight="1">
      <c r="A765" s="17"/>
      <c r="B765" s="12"/>
      <c r="C765" s="12"/>
      <c r="D765" s="17"/>
      <c r="E765" s="17"/>
      <c r="F765" s="12"/>
      <c r="G765" s="17"/>
      <c r="H765" s="12"/>
      <c r="I765" s="12"/>
      <c r="J765" s="12"/>
      <c r="K765" s="12"/>
      <c r="L765" s="12"/>
      <c r="M765" s="12"/>
      <c r="N765" s="12"/>
      <c r="O765" s="12"/>
    </row>
    <row r="766" ht="13.5" customHeight="1">
      <c r="A766" s="17"/>
      <c r="B766" s="12"/>
      <c r="C766" s="12"/>
      <c r="D766" s="17"/>
      <c r="E766" s="17"/>
      <c r="F766" s="12"/>
      <c r="G766" s="17"/>
      <c r="H766" s="12"/>
      <c r="I766" s="12"/>
      <c r="J766" s="12"/>
      <c r="K766" s="12"/>
      <c r="L766" s="12"/>
      <c r="M766" s="12"/>
      <c r="N766" s="12"/>
      <c r="O766" s="12"/>
    </row>
    <row r="767" ht="13.5" customHeight="1">
      <c r="A767" s="17"/>
      <c r="B767" s="12"/>
      <c r="C767" s="12"/>
      <c r="D767" s="17"/>
      <c r="E767" s="17"/>
      <c r="F767" s="12"/>
      <c r="G767" s="17"/>
      <c r="H767" s="12"/>
      <c r="I767" s="12"/>
      <c r="J767" s="12"/>
      <c r="K767" s="12"/>
      <c r="L767" s="12"/>
      <c r="M767" s="12"/>
      <c r="N767" s="12"/>
      <c r="O767" s="12"/>
    </row>
    <row r="768" ht="13.5" customHeight="1">
      <c r="A768" s="17"/>
      <c r="B768" s="12"/>
      <c r="C768" s="12"/>
      <c r="D768" s="17"/>
      <c r="E768" s="17"/>
      <c r="F768" s="12"/>
      <c r="G768" s="17"/>
      <c r="H768" s="12"/>
      <c r="I768" s="12"/>
      <c r="J768" s="12"/>
      <c r="K768" s="12"/>
      <c r="L768" s="12"/>
      <c r="M768" s="12"/>
      <c r="N768" s="12"/>
      <c r="O768" s="12"/>
    </row>
    <row r="769" ht="13.5" customHeight="1">
      <c r="A769" s="17"/>
      <c r="B769" s="12"/>
      <c r="C769" s="12"/>
      <c r="D769" s="17"/>
      <c r="E769" s="17"/>
      <c r="F769" s="12"/>
      <c r="G769" s="17"/>
      <c r="H769" s="12"/>
      <c r="I769" s="12"/>
      <c r="J769" s="12"/>
      <c r="K769" s="12"/>
      <c r="L769" s="12"/>
      <c r="M769" s="12"/>
      <c r="N769" s="12"/>
      <c r="O769" s="12"/>
    </row>
    <row r="770" ht="13.5" customHeight="1">
      <c r="A770" s="17"/>
      <c r="B770" s="12"/>
      <c r="C770" s="12"/>
      <c r="D770" s="17"/>
      <c r="E770" s="17"/>
      <c r="F770" s="12"/>
      <c r="G770" s="17"/>
      <c r="H770" s="12"/>
      <c r="I770" s="12"/>
      <c r="J770" s="12"/>
      <c r="K770" s="12"/>
      <c r="L770" s="12"/>
      <c r="M770" s="12"/>
      <c r="N770" s="12"/>
      <c r="O770" s="12"/>
    </row>
    <row r="771" ht="13.5" customHeight="1">
      <c r="A771" s="17"/>
      <c r="B771" s="12"/>
      <c r="C771" s="12"/>
      <c r="D771" s="17"/>
      <c r="E771" s="17"/>
      <c r="F771" s="12"/>
      <c r="G771" s="17"/>
      <c r="H771" s="12"/>
      <c r="I771" s="12"/>
      <c r="J771" s="12"/>
      <c r="K771" s="12"/>
      <c r="L771" s="12"/>
      <c r="M771" s="12"/>
      <c r="N771" s="12"/>
      <c r="O771" s="12"/>
    </row>
    <row r="772" ht="13.5" customHeight="1">
      <c r="A772" s="17"/>
      <c r="B772" s="12"/>
      <c r="C772" s="12"/>
      <c r="D772" s="17"/>
      <c r="E772" s="17"/>
      <c r="F772" s="12"/>
      <c r="G772" s="17"/>
      <c r="H772" s="12"/>
      <c r="I772" s="12"/>
      <c r="J772" s="12"/>
      <c r="K772" s="12"/>
      <c r="L772" s="12"/>
      <c r="M772" s="12"/>
      <c r="N772" s="12"/>
      <c r="O772" s="12"/>
    </row>
    <row r="773" ht="13.5" customHeight="1">
      <c r="A773" s="17"/>
      <c r="B773" s="12"/>
      <c r="C773" s="12"/>
      <c r="D773" s="17"/>
      <c r="E773" s="17"/>
      <c r="F773" s="12"/>
      <c r="G773" s="17"/>
      <c r="H773" s="12"/>
      <c r="I773" s="12"/>
      <c r="J773" s="12"/>
      <c r="K773" s="12"/>
      <c r="L773" s="12"/>
      <c r="M773" s="12"/>
      <c r="N773" s="12"/>
      <c r="O773" s="12"/>
    </row>
    <row r="774" ht="13.5" customHeight="1">
      <c r="A774" s="17"/>
      <c r="B774" s="12"/>
      <c r="C774" s="12"/>
      <c r="D774" s="17"/>
      <c r="E774" s="17"/>
      <c r="F774" s="12"/>
      <c r="G774" s="17"/>
      <c r="H774" s="12"/>
      <c r="I774" s="12"/>
      <c r="J774" s="12"/>
      <c r="K774" s="12"/>
      <c r="L774" s="12"/>
      <c r="M774" s="12"/>
      <c r="N774" s="12"/>
      <c r="O774" s="12"/>
    </row>
    <row r="775" ht="13.5" customHeight="1">
      <c r="A775" s="17"/>
      <c r="B775" s="12"/>
      <c r="C775" s="12"/>
      <c r="D775" s="17"/>
      <c r="E775" s="17"/>
      <c r="F775" s="12"/>
      <c r="G775" s="17"/>
      <c r="H775" s="12"/>
      <c r="I775" s="12"/>
      <c r="J775" s="12"/>
      <c r="K775" s="12"/>
      <c r="L775" s="12"/>
      <c r="M775" s="12"/>
      <c r="N775" s="12"/>
      <c r="O775" s="12"/>
    </row>
    <row r="776" ht="13.5" customHeight="1">
      <c r="A776" s="17"/>
      <c r="B776" s="12"/>
      <c r="C776" s="12"/>
      <c r="D776" s="17"/>
      <c r="E776" s="17"/>
      <c r="F776" s="12"/>
      <c r="G776" s="17"/>
      <c r="H776" s="12"/>
      <c r="I776" s="12"/>
      <c r="J776" s="12"/>
      <c r="K776" s="12"/>
      <c r="L776" s="12"/>
      <c r="M776" s="12"/>
      <c r="N776" s="12"/>
      <c r="O776" s="12"/>
    </row>
    <row r="777" ht="13.5" customHeight="1">
      <c r="A777" s="17"/>
      <c r="B777" s="12"/>
      <c r="C777" s="12"/>
      <c r="D777" s="17"/>
      <c r="E777" s="17"/>
      <c r="F777" s="12"/>
      <c r="G777" s="17"/>
      <c r="H777" s="12"/>
      <c r="I777" s="12"/>
      <c r="J777" s="12"/>
      <c r="K777" s="12"/>
      <c r="L777" s="12"/>
      <c r="M777" s="12"/>
      <c r="N777" s="12"/>
      <c r="O777" s="12"/>
    </row>
    <row r="778" ht="13.5" customHeight="1">
      <c r="A778" s="17"/>
      <c r="B778" s="12"/>
      <c r="C778" s="12"/>
      <c r="D778" s="17"/>
      <c r="E778" s="17"/>
      <c r="F778" s="12"/>
      <c r="G778" s="17"/>
      <c r="H778" s="12"/>
      <c r="I778" s="12"/>
      <c r="J778" s="12"/>
      <c r="K778" s="12"/>
      <c r="L778" s="12"/>
      <c r="M778" s="12"/>
      <c r="N778" s="12"/>
      <c r="O778" s="12"/>
    </row>
    <row r="779" ht="13.5" customHeight="1">
      <c r="A779" s="17"/>
      <c r="B779" s="12"/>
      <c r="C779" s="12"/>
      <c r="D779" s="17"/>
      <c r="E779" s="17"/>
      <c r="F779" s="12"/>
      <c r="G779" s="17"/>
      <c r="H779" s="12"/>
      <c r="I779" s="12"/>
      <c r="J779" s="12"/>
      <c r="K779" s="12"/>
      <c r="L779" s="12"/>
      <c r="M779" s="12"/>
      <c r="N779" s="12"/>
      <c r="O779" s="12"/>
    </row>
    <row r="780" ht="13.5" customHeight="1">
      <c r="A780" s="17"/>
      <c r="B780" s="12"/>
      <c r="C780" s="12"/>
      <c r="D780" s="17"/>
      <c r="E780" s="17"/>
      <c r="F780" s="12"/>
      <c r="G780" s="17"/>
      <c r="H780" s="12"/>
      <c r="I780" s="12"/>
      <c r="J780" s="12"/>
      <c r="K780" s="12"/>
      <c r="L780" s="12"/>
      <c r="M780" s="12"/>
      <c r="N780" s="12"/>
      <c r="O780" s="12"/>
    </row>
    <row r="781" ht="13.5" customHeight="1">
      <c r="A781" s="17"/>
      <c r="B781" s="12"/>
      <c r="C781" s="12"/>
      <c r="D781" s="17"/>
      <c r="E781" s="17"/>
      <c r="F781" s="12"/>
      <c r="G781" s="17"/>
      <c r="H781" s="12"/>
      <c r="I781" s="12"/>
      <c r="J781" s="12"/>
      <c r="K781" s="12"/>
      <c r="L781" s="12"/>
      <c r="M781" s="12"/>
      <c r="N781" s="12"/>
      <c r="O781" s="12"/>
    </row>
    <row r="782" ht="13.5" customHeight="1">
      <c r="A782" s="17"/>
      <c r="B782" s="12"/>
      <c r="C782" s="12"/>
      <c r="D782" s="17"/>
      <c r="E782" s="17"/>
      <c r="F782" s="12"/>
      <c r="G782" s="17"/>
      <c r="H782" s="12"/>
      <c r="I782" s="12"/>
      <c r="J782" s="12"/>
      <c r="K782" s="12"/>
      <c r="L782" s="12"/>
      <c r="M782" s="12"/>
      <c r="N782" s="12"/>
      <c r="O782" s="12"/>
    </row>
    <row r="783" ht="13.5" customHeight="1">
      <c r="A783" s="17"/>
      <c r="B783" s="12"/>
      <c r="C783" s="12"/>
      <c r="D783" s="17"/>
      <c r="E783" s="17"/>
      <c r="F783" s="12"/>
      <c r="G783" s="17"/>
      <c r="H783" s="12"/>
      <c r="I783" s="12"/>
      <c r="J783" s="12"/>
      <c r="K783" s="12"/>
      <c r="L783" s="12"/>
      <c r="M783" s="12"/>
      <c r="N783" s="12"/>
      <c r="O783" s="12"/>
    </row>
    <row r="784" ht="13.5" customHeight="1">
      <c r="A784" s="17"/>
      <c r="B784" s="12"/>
      <c r="C784" s="12"/>
      <c r="D784" s="17"/>
      <c r="E784" s="17"/>
      <c r="F784" s="12"/>
      <c r="G784" s="17"/>
      <c r="H784" s="12"/>
      <c r="I784" s="12"/>
      <c r="J784" s="12"/>
      <c r="K784" s="12"/>
      <c r="L784" s="12"/>
      <c r="M784" s="12"/>
      <c r="N784" s="12"/>
      <c r="O784" s="12"/>
    </row>
    <row r="785" ht="13.5" customHeight="1">
      <c r="A785" s="17"/>
      <c r="B785" s="12"/>
      <c r="C785" s="12"/>
      <c r="D785" s="17"/>
      <c r="E785" s="17"/>
      <c r="F785" s="12"/>
      <c r="G785" s="17"/>
      <c r="H785" s="12"/>
      <c r="I785" s="12"/>
      <c r="J785" s="12"/>
      <c r="K785" s="12"/>
      <c r="L785" s="12"/>
      <c r="M785" s="12"/>
      <c r="N785" s="12"/>
      <c r="O785" s="12"/>
    </row>
    <row r="786" ht="13.5" customHeight="1">
      <c r="A786" s="17"/>
      <c r="B786" s="12"/>
      <c r="C786" s="12"/>
      <c r="D786" s="17"/>
      <c r="E786" s="17"/>
      <c r="F786" s="12"/>
      <c r="G786" s="17"/>
      <c r="H786" s="12"/>
      <c r="I786" s="12"/>
      <c r="J786" s="12"/>
      <c r="K786" s="12"/>
      <c r="L786" s="12"/>
      <c r="M786" s="12"/>
      <c r="N786" s="12"/>
      <c r="O786" s="12"/>
    </row>
    <row r="787" ht="13.5" customHeight="1">
      <c r="A787" s="17"/>
      <c r="B787" s="12"/>
      <c r="C787" s="12"/>
      <c r="D787" s="17"/>
      <c r="E787" s="17"/>
      <c r="F787" s="12"/>
      <c r="G787" s="17"/>
      <c r="H787" s="12"/>
      <c r="I787" s="12"/>
      <c r="J787" s="12"/>
      <c r="K787" s="12"/>
      <c r="L787" s="12"/>
      <c r="M787" s="12"/>
      <c r="N787" s="12"/>
      <c r="O787" s="12"/>
    </row>
    <row r="788" ht="13.5" customHeight="1">
      <c r="A788" s="17"/>
      <c r="B788" s="12"/>
      <c r="C788" s="12"/>
      <c r="D788" s="17"/>
      <c r="E788" s="17"/>
      <c r="F788" s="12"/>
      <c r="G788" s="17"/>
      <c r="H788" s="12"/>
      <c r="I788" s="12"/>
      <c r="J788" s="12"/>
      <c r="K788" s="12"/>
      <c r="L788" s="12"/>
      <c r="M788" s="12"/>
      <c r="N788" s="12"/>
      <c r="O788" s="12"/>
    </row>
    <row r="789" ht="13.5" customHeight="1">
      <c r="A789" s="17"/>
      <c r="B789" s="12"/>
      <c r="C789" s="12"/>
      <c r="D789" s="17"/>
      <c r="E789" s="17"/>
      <c r="F789" s="12"/>
      <c r="G789" s="17"/>
      <c r="H789" s="12"/>
      <c r="I789" s="12"/>
      <c r="J789" s="12"/>
      <c r="K789" s="12"/>
      <c r="L789" s="12"/>
      <c r="M789" s="12"/>
      <c r="N789" s="12"/>
      <c r="O789" s="12"/>
    </row>
    <row r="790" ht="13.5" customHeight="1">
      <c r="A790" s="17"/>
      <c r="B790" s="12"/>
      <c r="C790" s="12"/>
      <c r="D790" s="17"/>
      <c r="E790" s="17"/>
      <c r="F790" s="12"/>
      <c r="G790" s="17"/>
      <c r="H790" s="12"/>
      <c r="I790" s="12"/>
      <c r="J790" s="12"/>
      <c r="K790" s="12"/>
      <c r="L790" s="12"/>
      <c r="M790" s="12"/>
      <c r="N790" s="12"/>
      <c r="O790" s="12"/>
    </row>
    <row r="791" ht="13.5" customHeight="1">
      <c r="A791" s="17"/>
      <c r="B791" s="12"/>
      <c r="C791" s="12"/>
      <c r="D791" s="17"/>
      <c r="E791" s="17"/>
      <c r="F791" s="12"/>
      <c r="G791" s="17"/>
      <c r="H791" s="12"/>
      <c r="I791" s="12"/>
      <c r="J791" s="12"/>
      <c r="K791" s="12"/>
      <c r="L791" s="12"/>
      <c r="M791" s="12"/>
      <c r="N791" s="12"/>
      <c r="O791" s="12"/>
    </row>
    <row r="792" ht="13.5" customHeight="1">
      <c r="A792" s="17"/>
      <c r="B792" s="12"/>
      <c r="C792" s="12"/>
      <c r="D792" s="17"/>
      <c r="E792" s="17"/>
      <c r="F792" s="12"/>
      <c r="G792" s="17"/>
      <c r="H792" s="12"/>
      <c r="I792" s="12"/>
      <c r="J792" s="12"/>
      <c r="K792" s="12"/>
      <c r="L792" s="12"/>
      <c r="M792" s="12"/>
      <c r="N792" s="12"/>
      <c r="O792" s="12"/>
    </row>
    <row r="793" ht="13.5" customHeight="1">
      <c r="A793" s="17"/>
      <c r="B793" s="12"/>
      <c r="C793" s="12"/>
      <c r="D793" s="17"/>
      <c r="E793" s="17"/>
      <c r="F793" s="12"/>
      <c r="G793" s="17"/>
      <c r="H793" s="12"/>
      <c r="I793" s="12"/>
      <c r="J793" s="12"/>
      <c r="K793" s="12"/>
      <c r="L793" s="12"/>
      <c r="M793" s="12"/>
      <c r="N793" s="12"/>
      <c r="O793" s="12"/>
    </row>
    <row r="794" ht="13.5" customHeight="1">
      <c r="A794" s="17"/>
      <c r="B794" s="12"/>
      <c r="C794" s="12"/>
      <c r="D794" s="17"/>
      <c r="E794" s="17"/>
      <c r="F794" s="12"/>
      <c r="G794" s="17"/>
      <c r="H794" s="12"/>
      <c r="I794" s="12"/>
      <c r="J794" s="12"/>
      <c r="K794" s="12"/>
      <c r="L794" s="12"/>
      <c r="M794" s="12"/>
      <c r="N794" s="12"/>
      <c r="O794" s="12"/>
    </row>
    <row r="795" ht="13.5" customHeight="1">
      <c r="A795" s="17"/>
      <c r="B795" s="12"/>
      <c r="C795" s="12"/>
      <c r="D795" s="17"/>
      <c r="E795" s="17"/>
      <c r="F795" s="12"/>
      <c r="G795" s="17"/>
      <c r="H795" s="12"/>
      <c r="I795" s="12"/>
      <c r="J795" s="12"/>
      <c r="K795" s="12"/>
      <c r="L795" s="12"/>
      <c r="M795" s="12"/>
      <c r="N795" s="12"/>
      <c r="O795" s="12"/>
    </row>
    <row r="796" ht="13.5" customHeight="1">
      <c r="A796" s="17"/>
      <c r="B796" s="12"/>
      <c r="C796" s="12"/>
      <c r="D796" s="17"/>
      <c r="E796" s="17"/>
      <c r="F796" s="12"/>
      <c r="G796" s="17"/>
      <c r="H796" s="12"/>
      <c r="I796" s="12"/>
      <c r="J796" s="12"/>
      <c r="K796" s="12"/>
      <c r="L796" s="12"/>
      <c r="M796" s="12"/>
      <c r="N796" s="12"/>
      <c r="O796" s="12"/>
    </row>
    <row r="797" ht="13.5" customHeight="1">
      <c r="A797" s="17"/>
      <c r="B797" s="12"/>
      <c r="C797" s="12"/>
      <c r="D797" s="17"/>
      <c r="E797" s="17"/>
      <c r="F797" s="12"/>
      <c r="G797" s="17"/>
      <c r="H797" s="12"/>
      <c r="I797" s="12"/>
      <c r="J797" s="12"/>
      <c r="K797" s="12"/>
      <c r="L797" s="12"/>
      <c r="M797" s="12"/>
      <c r="N797" s="12"/>
      <c r="O797" s="12"/>
    </row>
    <row r="798" ht="13.5" customHeight="1">
      <c r="A798" s="17"/>
      <c r="B798" s="12"/>
      <c r="C798" s="12"/>
      <c r="D798" s="17"/>
      <c r="E798" s="17"/>
      <c r="F798" s="12"/>
      <c r="G798" s="17"/>
      <c r="H798" s="12"/>
      <c r="I798" s="12"/>
      <c r="J798" s="12"/>
      <c r="K798" s="12"/>
      <c r="L798" s="12"/>
      <c r="M798" s="12"/>
      <c r="N798" s="12"/>
      <c r="O798" s="12"/>
    </row>
    <row r="799" ht="13.5" customHeight="1">
      <c r="A799" s="17"/>
      <c r="B799" s="12"/>
      <c r="C799" s="12"/>
      <c r="D799" s="17"/>
      <c r="E799" s="17"/>
      <c r="F799" s="12"/>
      <c r="G799" s="17"/>
      <c r="H799" s="12"/>
      <c r="I799" s="12"/>
      <c r="J799" s="12"/>
      <c r="K799" s="12"/>
      <c r="L799" s="12"/>
      <c r="M799" s="12"/>
      <c r="N799" s="12"/>
      <c r="O799" s="12"/>
    </row>
    <row r="800" ht="13.5" customHeight="1">
      <c r="A800" s="17"/>
      <c r="B800" s="12"/>
      <c r="C800" s="12"/>
      <c r="D800" s="17"/>
      <c r="E800" s="17"/>
      <c r="F800" s="12"/>
      <c r="G800" s="17"/>
      <c r="H800" s="12"/>
      <c r="I800" s="12"/>
      <c r="J800" s="12"/>
      <c r="K800" s="12"/>
      <c r="L800" s="12"/>
      <c r="M800" s="12"/>
      <c r="N800" s="12"/>
      <c r="O800" s="12"/>
    </row>
    <row r="801" ht="13.5" customHeight="1">
      <c r="A801" s="17"/>
      <c r="B801" s="12"/>
      <c r="C801" s="12"/>
      <c r="D801" s="17"/>
      <c r="E801" s="17"/>
      <c r="F801" s="12"/>
      <c r="G801" s="17"/>
      <c r="H801" s="12"/>
      <c r="I801" s="12"/>
      <c r="J801" s="12"/>
      <c r="K801" s="12"/>
      <c r="L801" s="12"/>
      <c r="M801" s="12"/>
      <c r="N801" s="12"/>
      <c r="O801" s="12"/>
    </row>
    <row r="802" ht="13.5" customHeight="1">
      <c r="A802" s="17"/>
      <c r="B802" s="12"/>
      <c r="C802" s="12"/>
      <c r="D802" s="17"/>
      <c r="E802" s="17"/>
      <c r="F802" s="12"/>
      <c r="G802" s="17"/>
      <c r="H802" s="12"/>
      <c r="I802" s="12"/>
      <c r="J802" s="12"/>
      <c r="K802" s="12"/>
      <c r="L802" s="12"/>
      <c r="M802" s="12"/>
      <c r="N802" s="12"/>
      <c r="O802" s="12"/>
    </row>
    <row r="803" ht="13.5" customHeight="1">
      <c r="A803" s="17"/>
      <c r="B803" s="12"/>
      <c r="C803" s="12"/>
      <c r="D803" s="17"/>
      <c r="E803" s="17"/>
      <c r="F803" s="12"/>
      <c r="G803" s="17"/>
      <c r="H803" s="12"/>
      <c r="I803" s="12"/>
      <c r="J803" s="12"/>
      <c r="K803" s="12"/>
      <c r="L803" s="12"/>
      <c r="M803" s="12"/>
      <c r="N803" s="12"/>
      <c r="O803" s="12"/>
    </row>
    <row r="804" ht="13.5" customHeight="1">
      <c r="A804" s="17"/>
      <c r="B804" s="12"/>
      <c r="C804" s="12"/>
      <c r="D804" s="17"/>
      <c r="E804" s="17"/>
      <c r="F804" s="12"/>
      <c r="G804" s="17"/>
      <c r="H804" s="12"/>
      <c r="I804" s="12"/>
      <c r="J804" s="12"/>
      <c r="K804" s="12"/>
      <c r="L804" s="12"/>
      <c r="M804" s="12"/>
      <c r="N804" s="12"/>
      <c r="O804" s="12"/>
    </row>
    <row r="805" ht="13.5" customHeight="1">
      <c r="A805" s="17"/>
      <c r="B805" s="12"/>
      <c r="C805" s="12"/>
      <c r="D805" s="17"/>
      <c r="E805" s="17"/>
      <c r="F805" s="12"/>
      <c r="G805" s="17"/>
      <c r="H805" s="12"/>
      <c r="I805" s="12"/>
      <c r="J805" s="12"/>
      <c r="K805" s="12"/>
      <c r="L805" s="12"/>
      <c r="M805" s="12"/>
      <c r="N805" s="12"/>
      <c r="O805" s="12"/>
    </row>
    <row r="806" ht="13.5" customHeight="1">
      <c r="A806" s="17"/>
      <c r="B806" s="12"/>
      <c r="C806" s="12"/>
      <c r="D806" s="17"/>
      <c r="E806" s="17"/>
      <c r="F806" s="12"/>
      <c r="G806" s="17"/>
      <c r="H806" s="12"/>
      <c r="I806" s="12"/>
      <c r="J806" s="12"/>
      <c r="K806" s="12"/>
      <c r="L806" s="12"/>
      <c r="M806" s="12"/>
      <c r="N806" s="12"/>
      <c r="O806" s="12"/>
    </row>
    <row r="807" ht="13.5" customHeight="1">
      <c r="A807" s="17"/>
      <c r="B807" s="12"/>
      <c r="C807" s="12"/>
      <c r="D807" s="17"/>
      <c r="E807" s="17"/>
      <c r="F807" s="12"/>
      <c r="G807" s="17"/>
      <c r="H807" s="12"/>
      <c r="I807" s="12"/>
      <c r="J807" s="12"/>
      <c r="K807" s="12"/>
      <c r="L807" s="12"/>
      <c r="M807" s="12"/>
      <c r="N807" s="12"/>
      <c r="O807" s="12"/>
    </row>
    <row r="808" ht="13.5" customHeight="1">
      <c r="A808" s="17"/>
      <c r="B808" s="12"/>
      <c r="C808" s="12"/>
      <c r="D808" s="17"/>
      <c r="E808" s="17"/>
      <c r="F808" s="12"/>
      <c r="G808" s="17"/>
      <c r="H808" s="12"/>
      <c r="I808" s="12"/>
      <c r="J808" s="12"/>
      <c r="K808" s="12"/>
      <c r="L808" s="12"/>
      <c r="M808" s="12"/>
      <c r="N808" s="12"/>
      <c r="O808" s="12"/>
    </row>
    <row r="809" ht="13.5" customHeight="1">
      <c r="A809" s="17"/>
      <c r="B809" s="12"/>
      <c r="C809" s="12"/>
      <c r="D809" s="17"/>
      <c r="E809" s="17"/>
      <c r="F809" s="12"/>
      <c r="G809" s="17"/>
      <c r="H809" s="12"/>
      <c r="I809" s="12"/>
      <c r="J809" s="12"/>
      <c r="K809" s="12"/>
      <c r="L809" s="12"/>
      <c r="M809" s="12"/>
      <c r="N809" s="12"/>
      <c r="O809" s="12"/>
    </row>
    <row r="810" ht="13.5" customHeight="1">
      <c r="A810" s="17"/>
      <c r="B810" s="12"/>
      <c r="C810" s="12"/>
      <c r="D810" s="17"/>
      <c r="E810" s="17"/>
      <c r="F810" s="12"/>
      <c r="G810" s="17"/>
      <c r="H810" s="12"/>
      <c r="I810" s="12"/>
      <c r="J810" s="12"/>
      <c r="K810" s="12"/>
      <c r="L810" s="12"/>
      <c r="M810" s="12"/>
      <c r="N810" s="12"/>
      <c r="O810" s="12"/>
    </row>
    <row r="811" ht="13.5" customHeight="1">
      <c r="A811" s="17"/>
      <c r="B811" s="12"/>
      <c r="C811" s="12"/>
      <c r="D811" s="17"/>
      <c r="E811" s="17"/>
      <c r="F811" s="12"/>
      <c r="G811" s="17"/>
      <c r="H811" s="12"/>
      <c r="I811" s="12"/>
      <c r="J811" s="12"/>
      <c r="K811" s="12"/>
      <c r="L811" s="12"/>
      <c r="M811" s="12"/>
      <c r="N811" s="12"/>
      <c r="O811" s="12"/>
    </row>
    <row r="812" ht="13.5" customHeight="1">
      <c r="A812" s="17"/>
      <c r="B812" s="12"/>
      <c r="C812" s="12"/>
      <c r="D812" s="17"/>
      <c r="E812" s="17"/>
      <c r="F812" s="12"/>
      <c r="G812" s="17"/>
      <c r="H812" s="12"/>
      <c r="I812" s="12"/>
      <c r="J812" s="12"/>
      <c r="K812" s="12"/>
      <c r="L812" s="12"/>
      <c r="M812" s="12"/>
      <c r="N812" s="12"/>
      <c r="O812" s="12"/>
    </row>
    <row r="813" ht="13.5" customHeight="1">
      <c r="A813" s="17"/>
      <c r="B813" s="12"/>
      <c r="C813" s="12"/>
      <c r="D813" s="17"/>
      <c r="E813" s="17"/>
      <c r="F813" s="12"/>
      <c r="G813" s="17"/>
      <c r="H813" s="12"/>
      <c r="I813" s="12"/>
      <c r="J813" s="12"/>
      <c r="K813" s="12"/>
      <c r="L813" s="12"/>
      <c r="M813" s="12"/>
      <c r="N813" s="12"/>
      <c r="O813" s="12"/>
    </row>
    <row r="814" ht="13.5" customHeight="1">
      <c r="A814" s="17"/>
      <c r="B814" s="12"/>
      <c r="C814" s="12"/>
      <c r="D814" s="17"/>
      <c r="E814" s="17"/>
      <c r="F814" s="12"/>
      <c r="G814" s="17"/>
      <c r="H814" s="12"/>
      <c r="I814" s="12"/>
      <c r="J814" s="12"/>
      <c r="K814" s="12"/>
      <c r="L814" s="12"/>
      <c r="M814" s="12"/>
      <c r="N814" s="12"/>
      <c r="O814" s="12"/>
    </row>
    <row r="815" ht="13.5" customHeight="1">
      <c r="A815" s="17"/>
      <c r="B815" s="12"/>
      <c r="C815" s="12"/>
      <c r="D815" s="17"/>
      <c r="E815" s="17"/>
      <c r="F815" s="12"/>
      <c r="G815" s="17"/>
      <c r="H815" s="12"/>
      <c r="I815" s="12"/>
      <c r="J815" s="12"/>
      <c r="K815" s="12"/>
      <c r="L815" s="12"/>
      <c r="M815" s="12"/>
      <c r="N815" s="12"/>
      <c r="O815" s="12"/>
    </row>
    <row r="816" ht="13.5" customHeight="1">
      <c r="A816" s="17"/>
      <c r="B816" s="12"/>
      <c r="C816" s="12"/>
      <c r="D816" s="17"/>
      <c r="E816" s="17"/>
      <c r="F816" s="12"/>
      <c r="G816" s="17"/>
      <c r="H816" s="12"/>
      <c r="I816" s="12"/>
      <c r="J816" s="12"/>
      <c r="K816" s="12"/>
      <c r="L816" s="12"/>
      <c r="M816" s="12"/>
      <c r="N816" s="12"/>
      <c r="O816" s="12"/>
    </row>
    <row r="817" ht="13.5" customHeight="1">
      <c r="A817" s="17"/>
      <c r="B817" s="12"/>
      <c r="C817" s="12"/>
      <c r="D817" s="17"/>
      <c r="E817" s="17"/>
      <c r="F817" s="12"/>
      <c r="G817" s="17"/>
      <c r="H817" s="12"/>
      <c r="I817" s="12"/>
      <c r="J817" s="12"/>
      <c r="K817" s="12"/>
      <c r="L817" s="12"/>
      <c r="M817" s="12"/>
      <c r="N817" s="12"/>
      <c r="O817" s="12"/>
    </row>
    <row r="818" ht="13.5" customHeight="1">
      <c r="A818" s="17"/>
      <c r="B818" s="12"/>
      <c r="C818" s="12"/>
      <c r="D818" s="17"/>
      <c r="E818" s="17"/>
      <c r="F818" s="12"/>
      <c r="G818" s="17"/>
      <c r="H818" s="12"/>
      <c r="I818" s="12"/>
      <c r="J818" s="12"/>
      <c r="K818" s="12"/>
      <c r="L818" s="12"/>
      <c r="M818" s="12"/>
      <c r="N818" s="12"/>
      <c r="O818" s="12"/>
    </row>
    <row r="819" ht="13.5" customHeight="1">
      <c r="A819" s="17"/>
      <c r="B819" s="12"/>
      <c r="C819" s="12"/>
      <c r="D819" s="17"/>
      <c r="E819" s="17"/>
      <c r="F819" s="12"/>
      <c r="G819" s="17"/>
      <c r="H819" s="12"/>
      <c r="I819" s="12"/>
      <c r="J819" s="12"/>
      <c r="K819" s="12"/>
      <c r="L819" s="12"/>
      <c r="M819" s="12"/>
      <c r="N819" s="12"/>
      <c r="O819" s="12"/>
    </row>
    <row r="820" ht="13.5" customHeight="1">
      <c r="A820" s="17"/>
      <c r="B820" s="12"/>
      <c r="C820" s="12"/>
      <c r="D820" s="17"/>
      <c r="E820" s="17"/>
      <c r="F820" s="12"/>
      <c r="G820" s="17"/>
      <c r="H820" s="12"/>
      <c r="I820" s="12"/>
      <c r="J820" s="12"/>
      <c r="K820" s="12"/>
      <c r="L820" s="12"/>
      <c r="M820" s="12"/>
      <c r="N820" s="12"/>
      <c r="O820" s="12"/>
    </row>
    <row r="821" ht="13.5" customHeight="1">
      <c r="A821" s="17"/>
      <c r="B821" s="12"/>
      <c r="C821" s="12"/>
      <c r="D821" s="17"/>
      <c r="E821" s="17"/>
      <c r="F821" s="12"/>
      <c r="G821" s="17"/>
      <c r="H821" s="12"/>
      <c r="I821" s="12"/>
      <c r="J821" s="12"/>
      <c r="K821" s="12"/>
      <c r="L821" s="12"/>
      <c r="M821" s="12"/>
      <c r="N821" s="12"/>
      <c r="O821" s="12"/>
    </row>
    <row r="822" ht="13.5" customHeight="1">
      <c r="A822" s="17"/>
      <c r="B822" s="12"/>
      <c r="C822" s="12"/>
      <c r="D822" s="17"/>
      <c r="E822" s="17"/>
      <c r="F822" s="12"/>
      <c r="G822" s="17"/>
      <c r="H822" s="12"/>
      <c r="I822" s="12"/>
      <c r="J822" s="12"/>
      <c r="K822" s="12"/>
      <c r="L822" s="12"/>
      <c r="M822" s="12"/>
      <c r="N822" s="12"/>
      <c r="O822" s="12"/>
    </row>
    <row r="823" ht="13.5" customHeight="1">
      <c r="A823" s="17"/>
      <c r="B823" s="12"/>
      <c r="C823" s="12"/>
      <c r="D823" s="17"/>
      <c r="E823" s="17"/>
      <c r="F823" s="12"/>
      <c r="G823" s="17"/>
      <c r="H823" s="12"/>
      <c r="I823" s="12"/>
      <c r="J823" s="12"/>
      <c r="K823" s="12"/>
      <c r="L823" s="12"/>
      <c r="M823" s="12"/>
      <c r="N823" s="12"/>
      <c r="O823" s="12"/>
    </row>
    <row r="824" ht="13.5" customHeight="1">
      <c r="A824" s="17"/>
      <c r="B824" s="12"/>
      <c r="C824" s="12"/>
      <c r="D824" s="17"/>
      <c r="E824" s="17"/>
      <c r="F824" s="12"/>
      <c r="G824" s="17"/>
      <c r="H824" s="12"/>
      <c r="I824" s="12"/>
      <c r="J824" s="12"/>
      <c r="K824" s="12"/>
      <c r="L824" s="12"/>
      <c r="M824" s="12"/>
      <c r="N824" s="12"/>
      <c r="O824" s="12"/>
    </row>
    <row r="825" ht="13.5" customHeight="1">
      <c r="A825" s="17"/>
      <c r="B825" s="12"/>
      <c r="C825" s="12"/>
      <c r="D825" s="17"/>
      <c r="E825" s="17"/>
      <c r="F825" s="12"/>
      <c r="G825" s="17"/>
      <c r="H825" s="12"/>
      <c r="I825" s="12"/>
      <c r="J825" s="12"/>
      <c r="K825" s="12"/>
      <c r="L825" s="12"/>
      <c r="M825" s="12"/>
      <c r="N825" s="12"/>
      <c r="O825" s="12"/>
    </row>
    <row r="826" ht="13.5" customHeight="1">
      <c r="A826" s="17"/>
      <c r="B826" s="12"/>
      <c r="C826" s="12"/>
      <c r="D826" s="17"/>
      <c r="E826" s="17"/>
      <c r="F826" s="12"/>
      <c r="G826" s="17"/>
      <c r="H826" s="12"/>
      <c r="I826" s="12"/>
      <c r="J826" s="12"/>
      <c r="K826" s="12"/>
      <c r="L826" s="12"/>
      <c r="M826" s="12"/>
      <c r="N826" s="12"/>
      <c r="O826" s="12"/>
    </row>
    <row r="827" ht="13.5" customHeight="1">
      <c r="A827" s="17"/>
      <c r="B827" s="12"/>
      <c r="C827" s="12"/>
      <c r="D827" s="17"/>
      <c r="E827" s="17"/>
      <c r="F827" s="12"/>
      <c r="G827" s="17"/>
      <c r="H827" s="12"/>
      <c r="I827" s="12"/>
      <c r="J827" s="12"/>
      <c r="K827" s="12"/>
      <c r="L827" s="12"/>
      <c r="M827" s="12"/>
      <c r="N827" s="12"/>
      <c r="O827" s="12"/>
    </row>
    <row r="828" ht="13.5" customHeight="1">
      <c r="A828" s="17"/>
      <c r="B828" s="12"/>
      <c r="C828" s="12"/>
      <c r="D828" s="17"/>
      <c r="E828" s="17"/>
      <c r="F828" s="12"/>
      <c r="G828" s="17"/>
      <c r="H828" s="12"/>
      <c r="I828" s="12"/>
      <c r="J828" s="12"/>
      <c r="K828" s="12"/>
      <c r="L828" s="12"/>
      <c r="M828" s="12"/>
      <c r="N828" s="12"/>
      <c r="O828" s="12"/>
    </row>
    <row r="829" ht="13.5" customHeight="1">
      <c r="A829" s="17"/>
      <c r="B829" s="12"/>
      <c r="C829" s="12"/>
      <c r="D829" s="17"/>
      <c r="E829" s="17"/>
      <c r="F829" s="12"/>
      <c r="G829" s="17"/>
      <c r="H829" s="12"/>
      <c r="I829" s="12"/>
      <c r="J829" s="12"/>
      <c r="K829" s="12"/>
      <c r="L829" s="12"/>
      <c r="M829" s="12"/>
      <c r="N829" s="12"/>
      <c r="O829" s="12"/>
    </row>
    <row r="830" ht="13.5" customHeight="1">
      <c r="A830" s="17"/>
      <c r="B830" s="12"/>
      <c r="C830" s="12"/>
      <c r="D830" s="17"/>
      <c r="E830" s="17"/>
      <c r="F830" s="12"/>
      <c r="G830" s="17"/>
      <c r="H830" s="12"/>
      <c r="I830" s="12"/>
      <c r="J830" s="12"/>
      <c r="K830" s="12"/>
      <c r="L830" s="12"/>
      <c r="M830" s="12"/>
      <c r="N830" s="12"/>
      <c r="O830" s="12"/>
    </row>
    <row r="831" ht="13.5" customHeight="1">
      <c r="A831" s="17"/>
      <c r="B831" s="12"/>
      <c r="C831" s="12"/>
      <c r="D831" s="17"/>
      <c r="E831" s="17"/>
      <c r="F831" s="12"/>
      <c r="G831" s="17"/>
      <c r="H831" s="12"/>
      <c r="I831" s="12"/>
      <c r="J831" s="12"/>
      <c r="K831" s="12"/>
      <c r="L831" s="12"/>
      <c r="M831" s="12"/>
      <c r="N831" s="12"/>
      <c r="O831" s="12"/>
    </row>
    <row r="832" ht="13.5" customHeight="1">
      <c r="A832" s="17"/>
      <c r="B832" s="12"/>
      <c r="C832" s="12"/>
      <c r="D832" s="17"/>
      <c r="E832" s="17"/>
      <c r="F832" s="12"/>
      <c r="G832" s="17"/>
      <c r="H832" s="12"/>
      <c r="I832" s="12"/>
      <c r="J832" s="12"/>
      <c r="K832" s="12"/>
      <c r="L832" s="12"/>
      <c r="M832" s="12"/>
      <c r="N832" s="12"/>
      <c r="O832" s="12"/>
    </row>
    <row r="833" ht="13.5" customHeight="1">
      <c r="A833" s="17"/>
      <c r="B833" s="12"/>
      <c r="C833" s="12"/>
      <c r="D833" s="17"/>
      <c r="E833" s="17"/>
      <c r="F833" s="12"/>
      <c r="G833" s="17"/>
      <c r="H833" s="12"/>
      <c r="I833" s="12"/>
      <c r="J833" s="12"/>
      <c r="K833" s="12"/>
      <c r="L833" s="12"/>
      <c r="M833" s="12"/>
      <c r="N833" s="12"/>
      <c r="O833" s="12"/>
    </row>
    <row r="834" ht="13.5" customHeight="1">
      <c r="A834" s="17"/>
      <c r="B834" s="12"/>
      <c r="C834" s="12"/>
      <c r="D834" s="17"/>
      <c r="E834" s="17"/>
      <c r="F834" s="12"/>
      <c r="G834" s="17"/>
      <c r="H834" s="12"/>
      <c r="I834" s="12"/>
      <c r="J834" s="12"/>
      <c r="K834" s="12"/>
      <c r="L834" s="12"/>
      <c r="M834" s="12"/>
      <c r="N834" s="12"/>
      <c r="O834" s="12"/>
    </row>
    <row r="835" ht="13.5" customHeight="1">
      <c r="A835" s="17"/>
      <c r="B835" s="12"/>
      <c r="C835" s="12"/>
      <c r="D835" s="17"/>
      <c r="E835" s="17"/>
      <c r="F835" s="12"/>
      <c r="G835" s="17"/>
      <c r="H835" s="12"/>
      <c r="I835" s="12"/>
      <c r="J835" s="12"/>
      <c r="K835" s="12"/>
      <c r="L835" s="12"/>
      <c r="M835" s="12"/>
      <c r="N835" s="12"/>
      <c r="O835" s="12"/>
    </row>
    <row r="836" ht="13.5" customHeight="1">
      <c r="A836" s="17"/>
      <c r="B836" s="12"/>
      <c r="C836" s="12"/>
      <c r="D836" s="17"/>
      <c r="E836" s="17"/>
      <c r="F836" s="12"/>
      <c r="G836" s="17"/>
      <c r="H836" s="12"/>
      <c r="I836" s="12"/>
      <c r="J836" s="12"/>
      <c r="K836" s="12"/>
      <c r="L836" s="12"/>
      <c r="M836" s="12"/>
      <c r="N836" s="12"/>
      <c r="O836" s="12"/>
    </row>
    <row r="837" ht="13.5" customHeight="1">
      <c r="A837" s="17"/>
      <c r="B837" s="12"/>
      <c r="C837" s="12"/>
      <c r="D837" s="17"/>
      <c r="E837" s="17"/>
      <c r="F837" s="12"/>
      <c r="G837" s="17"/>
      <c r="H837" s="12"/>
      <c r="I837" s="12"/>
      <c r="J837" s="12"/>
      <c r="K837" s="12"/>
      <c r="L837" s="12"/>
      <c r="M837" s="12"/>
      <c r="N837" s="12"/>
      <c r="O837" s="12"/>
    </row>
    <row r="838" ht="13.5" customHeight="1">
      <c r="A838" s="17"/>
      <c r="B838" s="12"/>
      <c r="C838" s="12"/>
      <c r="D838" s="17"/>
      <c r="E838" s="17"/>
      <c r="F838" s="12"/>
      <c r="G838" s="17"/>
      <c r="H838" s="12"/>
      <c r="I838" s="12"/>
      <c r="J838" s="12"/>
      <c r="K838" s="12"/>
      <c r="L838" s="12"/>
      <c r="M838" s="12"/>
      <c r="N838" s="12"/>
      <c r="O838" s="12"/>
    </row>
    <row r="839" ht="13.5" customHeight="1">
      <c r="A839" s="17"/>
      <c r="B839" s="12"/>
      <c r="C839" s="12"/>
      <c r="D839" s="17"/>
      <c r="E839" s="17"/>
      <c r="F839" s="12"/>
      <c r="G839" s="17"/>
      <c r="H839" s="12"/>
      <c r="I839" s="12"/>
      <c r="J839" s="12"/>
      <c r="K839" s="12"/>
      <c r="L839" s="12"/>
      <c r="M839" s="12"/>
      <c r="N839" s="12"/>
      <c r="O839" s="12"/>
    </row>
    <row r="840" ht="13.5" customHeight="1">
      <c r="A840" s="17"/>
      <c r="B840" s="12"/>
      <c r="C840" s="12"/>
      <c r="D840" s="17"/>
      <c r="E840" s="17"/>
      <c r="F840" s="12"/>
      <c r="G840" s="17"/>
      <c r="H840" s="12"/>
      <c r="I840" s="12"/>
      <c r="J840" s="12"/>
      <c r="K840" s="12"/>
      <c r="L840" s="12"/>
      <c r="M840" s="12"/>
      <c r="N840" s="12"/>
      <c r="O840" s="12"/>
    </row>
    <row r="841" ht="13.5" customHeight="1">
      <c r="A841" s="17"/>
      <c r="B841" s="12"/>
      <c r="C841" s="12"/>
      <c r="D841" s="17"/>
      <c r="E841" s="17"/>
      <c r="F841" s="12"/>
      <c r="G841" s="17"/>
      <c r="H841" s="12"/>
      <c r="I841" s="12"/>
      <c r="J841" s="12"/>
      <c r="K841" s="12"/>
      <c r="L841" s="12"/>
      <c r="M841" s="12"/>
      <c r="N841" s="12"/>
      <c r="O841" s="12"/>
    </row>
    <row r="842" ht="13.5" customHeight="1">
      <c r="A842" s="17"/>
      <c r="B842" s="12"/>
      <c r="C842" s="12"/>
      <c r="D842" s="17"/>
      <c r="E842" s="17"/>
      <c r="F842" s="12"/>
      <c r="G842" s="17"/>
      <c r="H842" s="12"/>
      <c r="I842" s="12"/>
      <c r="J842" s="12"/>
      <c r="K842" s="12"/>
      <c r="L842" s="12"/>
      <c r="M842" s="12"/>
      <c r="N842" s="12"/>
      <c r="O842" s="12"/>
    </row>
    <row r="843" ht="13.5" customHeight="1">
      <c r="A843" s="17"/>
      <c r="B843" s="12"/>
      <c r="C843" s="12"/>
      <c r="D843" s="17"/>
      <c r="E843" s="17"/>
      <c r="F843" s="12"/>
      <c r="G843" s="17"/>
      <c r="H843" s="12"/>
      <c r="I843" s="12"/>
      <c r="J843" s="12"/>
      <c r="K843" s="12"/>
      <c r="L843" s="12"/>
      <c r="M843" s="12"/>
      <c r="N843" s="12"/>
      <c r="O843" s="12"/>
    </row>
    <row r="844" ht="13.5" customHeight="1">
      <c r="A844" s="17"/>
      <c r="B844" s="12"/>
      <c r="C844" s="12"/>
      <c r="D844" s="17"/>
      <c r="E844" s="17"/>
      <c r="F844" s="12"/>
      <c r="G844" s="17"/>
      <c r="H844" s="12"/>
      <c r="I844" s="12"/>
      <c r="J844" s="12"/>
      <c r="K844" s="12"/>
      <c r="L844" s="12"/>
      <c r="M844" s="12"/>
      <c r="N844" s="12"/>
      <c r="O844" s="12"/>
    </row>
    <row r="845" ht="13.5" customHeight="1">
      <c r="A845" s="17"/>
      <c r="B845" s="12"/>
      <c r="C845" s="12"/>
      <c r="D845" s="17"/>
      <c r="E845" s="17"/>
      <c r="F845" s="12"/>
      <c r="G845" s="17"/>
      <c r="H845" s="12"/>
      <c r="I845" s="12"/>
      <c r="J845" s="12"/>
      <c r="K845" s="12"/>
      <c r="L845" s="12"/>
      <c r="M845" s="12"/>
      <c r="N845" s="12"/>
      <c r="O845" s="12"/>
    </row>
    <row r="846" ht="13.5" customHeight="1">
      <c r="A846" s="17"/>
      <c r="B846" s="12"/>
      <c r="C846" s="12"/>
      <c r="D846" s="17"/>
      <c r="E846" s="17"/>
      <c r="F846" s="12"/>
      <c r="G846" s="17"/>
      <c r="H846" s="12"/>
      <c r="I846" s="12"/>
      <c r="J846" s="12"/>
      <c r="K846" s="12"/>
      <c r="L846" s="12"/>
      <c r="M846" s="12"/>
      <c r="N846" s="12"/>
      <c r="O846" s="12"/>
    </row>
    <row r="847" ht="13.5" customHeight="1">
      <c r="A847" s="17"/>
      <c r="B847" s="12"/>
      <c r="C847" s="12"/>
      <c r="D847" s="17"/>
      <c r="E847" s="17"/>
      <c r="F847" s="12"/>
      <c r="G847" s="17"/>
      <c r="H847" s="12"/>
      <c r="I847" s="12"/>
      <c r="J847" s="12"/>
      <c r="K847" s="12"/>
      <c r="L847" s="12"/>
      <c r="M847" s="12"/>
      <c r="N847" s="12"/>
      <c r="O847" s="12"/>
    </row>
    <row r="848" ht="13.5" customHeight="1">
      <c r="A848" s="17"/>
      <c r="B848" s="12"/>
      <c r="C848" s="12"/>
      <c r="D848" s="17"/>
      <c r="E848" s="17"/>
      <c r="F848" s="12"/>
      <c r="G848" s="17"/>
      <c r="H848" s="12"/>
      <c r="I848" s="12"/>
      <c r="J848" s="12"/>
      <c r="K848" s="12"/>
      <c r="L848" s="12"/>
      <c r="M848" s="12"/>
      <c r="N848" s="12"/>
      <c r="O848" s="12"/>
    </row>
    <row r="849" ht="13.5" customHeight="1">
      <c r="A849" s="17"/>
      <c r="B849" s="12"/>
      <c r="C849" s="12"/>
      <c r="D849" s="17"/>
      <c r="E849" s="17"/>
      <c r="F849" s="12"/>
      <c r="G849" s="17"/>
      <c r="H849" s="12"/>
      <c r="I849" s="12"/>
      <c r="J849" s="12"/>
      <c r="K849" s="12"/>
      <c r="L849" s="12"/>
      <c r="M849" s="12"/>
      <c r="N849" s="12"/>
      <c r="O849" s="12"/>
    </row>
    <row r="850" ht="13.5" customHeight="1">
      <c r="A850" s="17"/>
      <c r="B850" s="12"/>
      <c r="C850" s="12"/>
      <c r="D850" s="17"/>
      <c r="E850" s="17"/>
      <c r="F850" s="12"/>
      <c r="G850" s="17"/>
      <c r="H850" s="12"/>
      <c r="I850" s="12"/>
      <c r="J850" s="12"/>
      <c r="K850" s="12"/>
      <c r="L850" s="12"/>
      <c r="M850" s="12"/>
      <c r="N850" s="12"/>
      <c r="O850" s="12"/>
    </row>
    <row r="851" ht="13.5" customHeight="1">
      <c r="A851" s="17"/>
      <c r="B851" s="12"/>
      <c r="C851" s="12"/>
      <c r="D851" s="17"/>
      <c r="E851" s="17"/>
      <c r="F851" s="12"/>
      <c r="G851" s="17"/>
      <c r="H851" s="12"/>
      <c r="I851" s="12"/>
      <c r="J851" s="12"/>
      <c r="K851" s="12"/>
      <c r="L851" s="12"/>
      <c r="M851" s="12"/>
      <c r="N851" s="12"/>
      <c r="O851" s="12"/>
    </row>
    <row r="852" ht="13.5" customHeight="1">
      <c r="A852" s="17"/>
      <c r="B852" s="12"/>
      <c r="C852" s="12"/>
      <c r="D852" s="17"/>
      <c r="E852" s="17"/>
      <c r="F852" s="12"/>
      <c r="G852" s="17"/>
      <c r="H852" s="12"/>
      <c r="I852" s="12"/>
      <c r="J852" s="12"/>
      <c r="K852" s="12"/>
      <c r="L852" s="12"/>
      <c r="M852" s="12"/>
      <c r="N852" s="12"/>
      <c r="O852" s="12"/>
    </row>
    <row r="853" ht="13.5" customHeight="1">
      <c r="A853" s="17"/>
      <c r="B853" s="12"/>
      <c r="C853" s="12"/>
      <c r="D853" s="17"/>
      <c r="E853" s="17"/>
      <c r="F853" s="12"/>
      <c r="G853" s="17"/>
      <c r="H853" s="12"/>
      <c r="I853" s="12"/>
      <c r="J853" s="12"/>
      <c r="K853" s="12"/>
      <c r="L853" s="12"/>
      <c r="M853" s="12"/>
      <c r="N853" s="12"/>
      <c r="O853" s="12"/>
    </row>
    <row r="854" ht="13.5" customHeight="1">
      <c r="A854" s="17"/>
      <c r="B854" s="12"/>
      <c r="C854" s="12"/>
      <c r="D854" s="17"/>
      <c r="E854" s="17"/>
      <c r="F854" s="12"/>
      <c r="G854" s="17"/>
      <c r="H854" s="12"/>
      <c r="I854" s="12"/>
      <c r="J854" s="12"/>
      <c r="K854" s="12"/>
      <c r="L854" s="12"/>
      <c r="M854" s="12"/>
      <c r="N854" s="12"/>
      <c r="O854" s="12"/>
    </row>
    <row r="855" ht="13.5" customHeight="1">
      <c r="A855" s="17"/>
      <c r="B855" s="12"/>
      <c r="C855" s="12"/>
      <c r="D855" s="17"/>
      <c r="E855" s="17"/>
      <c r="F855" s="12"/>
      <c r="G855" s="17"/>
      <c r="H855" s="12"/>
      <c r="I855" s="12"/>
      <c r="J855" s="12"/>
      <c r="K855" s="12"/>
      <c r="L855" s="12"/>
      <c r="M855" s="12"/>
      <c r="N855" s="12"/>
      <c r="O855" s="12"/>
    </row>
    <row r="856" ht="13.5" customHeight="1">
      <c r="A856" s="17"/>
      <c r="B856" s="12"/>
      <c r="C856" s="12"/>
      <c r="D856" s="17"/>
      <c r="E856" s="17"/>
      <c r="F856" s="12"/>
      <c r="G856" s="17"/>
      <c r="H856" s="12"/>
      <c r="I856" s="12"/>
      <c r="J856" s="12"/>
      <c r="K856" s="12"/>
      <c r="L856" s="12"/>
      <c r="M856" s="12"/>
      <c r="N856" s="12"/>
      <c r="O856" s="12"/>
    </row>
    <row r="857" ht="13.5" customHeight="1">
      <c r="A857" s="17"/>
      <c r="B857" s="12"/>
      <c r="C857" s="12"/>
      <c r="D857" s="17"/>
      <c r="E857" s="17"/>
      <c r="F857" s="12"/>
      <c r="G857" s="17"/>
      <c r="H857" s="12"/>
      <c r="I857" s="12"/>
      <c r="J857" s="12"/>
      <c r="K857" s="12"/>
      <c r="L857" s="12"/>
      <c r="M857" s="12"/>
      <c r="N857" s="12"/>
      <c r="O857" s="12"/>
    </row>
    <row r="858" ht="13.5" customHeight="1">
      <c r="A858" s="17"/>
      <c r="B858" s="12"/>
      <c r="C858" s="12"/>
      <c r="D858" s="17"/>
      <c r="E858" s="17"/>
      <c r="F858" s="12"/>
      <c r="G858" s="17"/>
      <c r="H858" s="12"/>
      <c r="I858" s="12"/>
      <c r="J858" s="12"/>
      <c r="K858" s="12"/>
      <c r="L858" s="12"/>
      <c r="M858" s="12"/>
      <c r="N858" s="12"/>
      <c r="O858" s="12"/>
    </row>
    <row r="859" ht="13.5" customHeight="1">
      <c r="A859" s="17"/>
      <c r="B859" s="12"/>
      <c r="C859" s="12"/>
      <c r="D859" s="17"/>
      <c r="E859" s="17"/>
      <c r="F859" s="12"/>
      <c r="G859" s="17"/>
      <c r="H859" s="12"/>
      <c r="I859" s="12"/>
      <c r="J859" s="12"/>
      <c r="K859" s="12"/>
      <c r="L859" s="12"/>
      <c r="M859" s="12"/>
      <c r="N859" s="12"/>
      <c r="O859" s="12"/>
    </row>
    <row r="860" ht="13.5" customHeight="1">
      <c r="A860" s="17"/>
      <c r="B860" s="12"/>
      <c r="C860" s="12"/>
      <c r="D860" s="17"/>
      <c r="E860" s="17"/>
      <c r="F860" s="12"/>
      <c r="G860" s="17"/>
      <c r="H860" s="12"/>
      <c r="I860" s="12"/>
      <c r="J860" s="12"/>
      <c r="K860" s="12"/>
      <c r="L860" s="12"/>
      <c r="M860" s="12"/>
      <c r="N860" s="12"/>
      <c r="O860" s="12"/>
    </row>
    <row r="861" ht="13.5" customHeight="1">
      <c r="A861" s="17"/>
      <c r="B861" s="12"/>
      <c r="C861" s="12"/>
      <c r="D861" s="17"/>
      <c r="E861" s="17"/>
      <c r="F861" s="12"/>
      <c r="G861" s="17"/>
      <c r="H861" s="12"/>
      <c r="I861" s="12"/>
      <c r="J861" s="12"/>
      <c r="K861" s="12"/>
      <c r="L861" s="12"/>
      <c r="M861" s="12"/>
      <c r="N861" s="12"/>
      <c r="O861" s="12"/>
    </row>
    <row r="862" ht="13.5" customHeight="1">
      <c r="A862" s="17"/>
      <c r="B862" s="12"/>
      <c r="C862" s="12"/>
      <c r="D862" s="17"/>
      <c r="E862" s="17"/>
      <c r="F862" s="12"/>
      <c r="G862" s="17"/>
      <c r="H862" s="12"/>
      <c r="I862" s="12"/>
      <c r="J862" s="12"/>
      <c r="K862" s="12"/>
      <c r="L862" s="12"/>
      <c r="M862" s="12"/>
      <c r="N862" s="12"/>
      <c r="O862" s="12"/>
    </row>
    <row r="863" ht="13.5" customHeight="1">
      <c r="A863" s="17"/>
      <c r="B863" s="12"/>
      <c r="C863" s="12"/>
      <c r="D863" s="17"/>
      <c r="E863" s="17"/>
      <c r="F863" s="12"/>
      <c r="G863" s="17"/>
      <c r="H863" s="12"/>
      <c r="I863" s="12"/>
      <c r="J863" s="12"/>
      <c r="K863" s="12"/>
      <c r="L863" s="12"/>
      <c r="M863" s="12"/>
      <c r="N863" s="12"/>
      <c r="O863" s="12"/>
    </row>
    <row r="864" ht="13.5" customHeight="1">
      <c r="A864" s="17"/>
      <c r="B864" s="12"/>
      <c r="C864" s="12"/>
      <c r="D864" s="17"/>
      <c r="E864" s="17"/>
      <c r="F864" s="12"/>
      <c r="G864" s="17"/>
      <c r="H864" s="12"/>
      <c r="I864" s="12"/>
      <c r="J864" s="12"/>
      <c r="K864" s="12"/>
      <c r="L864" s="12"/>
      <c r="M864" s="12"/>
      <c r="N864" s="12"/>
      <c r="O864" s="12"/>
    </row>
    <row r="865" ht="13.5" customHeight="1">
      <c r="A865" s="17"/>
      <c r="B865" s="12"/>
      <c r="C865" s="12"/>
      <c r="D865" s="17"/>
      <c r="E865" s="17"/>
      <c r="F865" s="12"/>
      <c r="G865" s="17"/>
      <c r="H865" s="12"/>
      <c r="I865" s="12"/>
      <c r="J865" s="12"/>
      <c r="K865" s="12"/>
      <c r="L865" s="12"/>
      <c r="M865" s="12"/>
      <c r="N865" s="12"/>
      <c r="O865" s="12"/>
    </row>
    <row r="866" ht="13.5" customHeight="1">
      <c r="A866" s="17"/>
      <c r="B866" s="12"/>
      <c r="C866" s="12"/>
      <c r="D866" s="17"/>
      <c r="E866" s="17"/>
      <c r="F866" s="12"/>
      <c r="G866" s="17"/>
      <c r="H866" s="12"/>
      <c r="I866" s="12"/>
      <c r="J866" s="12"/>
      <c r="K866" s="12"/>
      <c r="L866" s="12"/>
      <c r="M866" s="12"/>
      <c r="N866" s="12"/>
      <c r="O866" s="12"/>
    </row>
    <row r="867" ht="13.5" customHeight="1">
      <c r="A867" s="17"/>
      <c r="B867" s="12"/>
      <c r="C867" s="12"/>
      <c r="D867" s="17"/>
      <c r="E867" s="17"/>
      <c r="F867" s="12"/>
      <c r="G867" s="17"/>
      <c r="H867" s="12"/>
      <c r="I867" s="12"/>
      <c r="J867" s="12"/>
      <c r="K867" s="12"/>
      <c r="L867" s="12"/>
      <c r="M867" s="12"/>
      <c r="N867" s="12"/>
      <c r="O867" s="12"/>
    </row>
    <row r="868" ht="13.5" customHeight="1">
      <c r="A868" s="17"/>
      <c r="B868" s="12"/>
      <c r="C868" s="12"/>
      <c r="D868" s="17"/>
      <c r="E868" s="17"/>
      <c r="F868" s="12"/>
      <c r="G868" s="17"/>
      <c r="H868" s="12"/>
      <c r="I868" s="12"/>
      <c r="J868" s="12"/>
      <c r="K868" s="12"/>
      <c r="L868" s="12"/>
      <c r="M868" s="12"/>
      <c r="N868" s="12"/>
      <c r="O868" s="12"/>
    </row>
    <row r="869" ht="13.5" customHeight="1">
      <c r="A869" s="17"/>
      <c r="B869" s="12"/>
      <c r="C869" s="12"/>
      <c r="D869" s="17"/>
      <c r="E869" s="17"/>
      <c r="F869" s="12"/>
      <c r="G869" s="17"/>
      <c r="H869" s="12"/>
      <c r="I869" s="12"/>
      <c r="J869" s="12"/>
      <c r="K869" s="12"/>
      <c r="L869" s="12"/>
      <c r="M869" s="12"/>
      <c r="N869" s="12"/>
      <c r="O869" s="12"/>
    </row>
    <row r="870" ht="13.5" customHeight="1">
      <c r="A870" s="17"/>
      <c r="B870" s="12"/>
      <c r="C870" s="12"/>
      <c r="D870" s="17"/>
      <c r="E870" s="17"/>
      <c r="F870" s="12"/>
      <c r="G870" s="17"/>
      <c r="H870" s="12"/>
      <c r="I870" s="12"/>
      <c r="J870" s="12"/>
      <c r="K870" s="12"/>
      <c r="L870" s="12"/>
      <c r="M870" s="12"/>
      <c r="N870" s="12"/>
      <c r="O870" s="12"/>
    </row>
    <row r="871" ht="13.5" customHeight="1">
      <c r="A871" s="17"/>
      <c r="B871" s="12"/>
      <c r="C871" s="12"/>
      <c r="D871" s="17"/>
      <c r="E871" s="17"/>
      <c r="F871" s="12"/>
      <c r="G871" s="17"/>
      <c r="H871" s="12"/>
      <c r="I871" s="12"/>
      <c r="J871" s="12"/>
      <c r="K871" s="12"/>
      <c r="L871" s="12"/>
      <c r="M871" s="12"/>
      <c r="N871" s="12"/>
      <c r="O871" s="12"/>
    </row>
    <row r="872" ht="13.5" customHeight="1">
      <c r="A872" s="17"/>
      <c r="B872" s="12"/>
      <c r="C872" s="12"/>
      <c r="D872" s="17"/>
      <c r="E872" s="17"/>
      <c r="F872" s="12"/>
      <c r="G872" s="17"/>
      <c r="H872" s="12"/>
      <c r="I872" s="12"/>
      <c r="J872" s="12"/>
      <c r="K872" s="12"/>
      <c r="L872" s="12"/>
      <c r="M872" s="12"/>
      <c r="N872" s="12"/>
      <c r="O872" s="12"/>
    </row>
    <row r="873" ht="13.5" customHeight="1">
      <c r="A873" s="17"/>
      <c r="B873" s="12"/>
      <c r="C873" s="12"/>
      <c r="D873" s="17"/>
      <c r="E873" s="17"/>
      <c r="F873" s="12"/>
      <c r="G873" s="17"/>
      <c r="H873" s="12"/>
      <c r="I873" s="12"/>
      <c r="J873" s="12"/>
      <c r="K873" s="12"/>
      <c r="L873" s="12"/>
      <c r="M873" s="12"/>
      <c r="N873" s="12"/>
      <c r="O873" s="12"/>
    </row>
    <row r="874" ht="13.5" customHeight="1">
      <c r="A874" s="17"/>
      <c r="B874" s="12"/>
      <c r="C874" s="12"/>
      <c r="D874" s="17"/>
      <c r="E874" s="17"/>
      <c r="F874" s="12"/>
      <c r="G874" s="17"/>
      <c r="H874" s="12"/>
      <c r="I874" s="12"/>
      <c r="J874" s="12"/>
      <c r="K874" s="12"/>
      <c r="L874" s="12"/>
      <c r="M874" s="12"/>
      <c r="N874" s="12"/>
      <c r="O874" s="12"/>
    </row>
    <row r="875" ht="13.5" customHeight="1">
      <c r="A875" s="17"/>
      <c r="B875" s="12"/>
      <c r="C875" s="12"/>
      <c r="D875" s="17"/>
      <c r="E875" s="17"/>
      <c r="F875" s="12"/>
      <c r="G875" s="17"/>
      <c r="H875" s="12"/>
      <c r="I875" s="12"/>
      <c r="J875" s="12"/>
      <c r="K875" s="12"/>
      <c r="L875" s="12"/>
      <c r="M875" s="12"/>
      <c r="N875" s="12"/>
      <c r="O875" s="12"/>
    </row>
    <row r="876" ht="13.5" customHeight="1">
      <c r="A876" s="17"/>
      <c r="B876" s="12"/>
      <c r="C876" s="12"/>
      <c r="D876" s="17"/>
      <c r="E876" s="17"/>
      <c r="F876" s="12"/>
      <c r="G876" s="17"/>
      <c r="H876" s="12"/>
      <c r="I876" s="12"/>
      <c r="J876" s="12"/>
      <c r="K876" s="12"/>
      <c r="L876" s="12"/>
      <c r="M876" s="12"/>
      <c r="N876" s="12"/>
      <c r="O876" s="12"/>
    </row>
    <row r="877" ht="13.5" customHeight="1">
      <c r="A877" s="17"/>
      <c r="B877" s="12"/>
      <c r="C877" s="12"/>
      <c r="D877" s="17"/>
      <c r="E877" s="17"/>
      <c r="F877" s="12"/>
      <c r="G877" s="17"/>
      <c r="H877" s="12"/>
      <c r="I877" s="12"/>
      <c r="J877" s="12"/>
      <c r="K877" s="12"/>
      <c r="L877" s="12"/>
      <c r="M877" s="12"/>
      <c r="N877" s="12"/>
      <c r="O877" s="12"/>
    </row>
    <row r="878" ht="13.5" customHeight="1">
      <c r="A878" s="17"/>
      <c r="B878" s="12"/>
      <c r="C878" s="12"/>
      <c r="D878" s="17"/>
      <c r="E878" s="17"/>
      <c r="F878" s="12"/>
      <c r="G878" s="17"/>
      <c r="H878" s="12"/>
      <c r="I878" s="12"/>
      <c r="J878" s="12"/>
      <c r="K878" s="12"/>
      <c r="L878" s="12"/>
      <c r="M878" s="12"/>
      <c r="N878" s="12"/>
      <c r="O878" s="12"/>
    </row>
    <row r="879" ht="13.5" customHeight="1">
      <c r="A879" s="17"/>
      <c r="B879" s="12"/>
      <c r="C879" s="12"/>
      <c r="D879" s="17"/>
      <c r="E879" s="17"/>
      <c r="F879" s="12"/>
      <c r="G879" s="17"/>
      <c r="H879" s="12"/>
      <c r="I879" s="12"/>
      <c r="J879" s="12"/>
      <c r="K879" s="12"/>
      <c r="L879" s="12"/>
      <c r="M879" s="12"/>
      <c r="N879" s="12"/>
      <c r="O879" s="12"/>
    </row>
    <row r="880" ht="13.5" customHeight="1">
      <c r="A880" s="17"/>
      <c r="B880" s="12"/>
      <c r="C880" s="12"/>
      <c r="D880" s="17"/>
      <c r="E880" s="17"/>
      <c r="F880" s="12"/>
      <c r="G880" s="17"/>
      <c r="H880" s="12"/>
      <c r="I880" s="12"/>
      <c r="J880" s="12"/>
      <c r="K880" s="12"/>
      <c r="L880" s="12"/>
      <c r="M880" s="12"/>
      <c r="N880" s="12"/>
      <c r="O880" s="12"/>
    </row>
    <row r="881" ht="13.5" customHeight="1">
      <c r="A881" s="17"/>
      <c r="B881" s="12"/>
      <c r="C881" s="12"/>
      <c r="D881" s="17"/>
      <c r="E881" s="17"/>
      <c r="F881" s="12"/>
      <c r="G881" s="17"/>
      <c r="H881" s="12"/>
      <c r="I881" s="12"/>
      <c r="J881" s="12"/>
      <c r="K881" s="12"/>
      <c r="L881" s="12"/>
      <c r="M881" s="12"/>
      <c r="N881" s="12"/>
      <c r="O881" s="12"/>
    </row>
    <row r="882" ht="13.5" customHeight="1">
      <c r="A882" s="17"/>
      <c r="B882" s="12"/>
      <c r="C882" s="12"/>
      <c r="D882" s="17"/>
      <c r="E882" s="17"/>
      <c r="F882" s="12"/>
      <c r="G882" s="17"/>
      <c r="H882" s="12"/>
      <c r="I882" s="12"/>
      <c r="J882" s="12"/>
      <c r="K882" s="12"/>
      <c r="L882" s="12"/>
      <c r="M882" s="12"/>
      <c r="N882" s="12"/>
      <c r="O882" s="12"/>
    </row>
    <row r="883" ht="13.5" customHeight="1">
      <c r="A883" s="17"/>
      <c r="B883" s="12"/>
      <c r="C883" s="12"/>
      <c r="D883" s="17"/>
      <c r="E883" s="17"/>
      <c r="F883" s="12"/>
      <c r="G883" s="17"/>
      <c r="H883" s="12"/>
      <c r="I883" s="12"/>
      <c r="J883" s="12"/>
      <c r="K883" s="12"/>
      <c r="L883" s="12"/>
      <c r="M883" s="12"/>
      <c r="N883" s="12"/>
      <c r="O883" s="12"/>
    </row>
    <row r="884" ht="13.5" customHeight="1">
      <c r="A884" s="17"/>
      <c r="B884" s="12"/>
      <c r="C884" s="12"/>
      <c r="D884" s="17"/>
      <c r="E884" s="17"/>
      <c r="F884" s="12"/>
      <c r="G884" s="17"/>
      <c r="H884" s="12"/>
      <c r="I884" s="12"/>
      <c r="J884" s="12"/>
      <c r="K884" s="12"/>
      <c r="L884" s="12"/>
      <c r="M884" s="12"/>
      <c r="N884" s="12"/>
      <c r="O884" s="12"/>
    </row>
    <row r="885" ht="13.5" customHeight="1">
      <c r="A885" s="17"/>
      <c r="B885" s="12"/>
      <c r="C885" s="12"/>
      <c r="D885" s="17"/>
      <c r="E885" s="17"/>
      <c r="F885" s="12"/>
      <c r="G885" s="17"/>
      <c r="H885" s="12"/>
      <c r="I885" s="12"/>
      <c r="J885" s="12"/>
      <c r="K885" s="12"/>
      <c r="L885" s="12"/>
      <c r="M885" s="12"/>
      <c r="N885" s="12"/>
      <c r="O885" s="12"/>
    </row>
    <row r="886" ht="13.5" customHeight="1">
      <c r="A886" s="17"/>
      <c r="B886" s="12"/>
      <c r="C886" s="12"/>
      <c r="D886" s="17"/>
      <c r="E886" s="17"/>
      <c r="F886" s="12"/>
      <c r="G886" s="17"/>
      <c r="H886" s="12"/>
      <c r="I886" s="12"/>
      <c r="J886" s="12"/>
      <c r="K886" s="12"/>
      <c r="L886" s="12"/>
      <c r="M886" s="12"/>
      <c r="N886" s="12"/>
      <c r="O886" s="12"/>
    </row>
    <row r="887" ht="13.5" customHeight="1">
      <c r="A887" s="17"/>
      <c r="B887" s="12"/>
      <c r="C887" s="12"/>
      <c r="D887" s="17"/>
      <c r="E887" s="17"/>
      <c r="F887" s="12"/>
      <c r="G887" s="17"/>
      <c r="H887" s="12"/>
      <c r="I887" s="12"/>
      <c r="J887" s="12"/>
      <c r="K887" s="12"/>
      <c r="L887" s="12"/>
      <c r="M887" s="12"/>
      <c r="N887" s="12"/>
      <c r="O887" s="12"/>
    </row>
    <row r="888" ht="13.5" customHeight="1">
      <c r="A888" s="17"/>
      <c r="B888" s="12"/>
      <c r="C888" s="12"/>
      <c r="D888" s="17"/>
      <c r="E888" s="17"/>
      <c r="F888" s="12"/>
      <c r="G888" s="17"/>
      <c r="H888" s="12"/>
      <c r="I888" s="12"/>
      <c r="J888" s="12"/>
      <c r="K888" s="12"/>
      <c r="L888" s="12"/>
      <c r="M888" s="12"/>
      <c r="N888" s="12"/>
      <c r="O888" s="12"/>
    </row>
    <row r="889" ht="13.5" customHeight="1">
      <c r="A889" s="17"/>
      <c r="B889" s="12"/>
      <c r="C889" s="12"/>
      <c r="D889" s="17"/>
      <c r="E889" s="17"/>
      <c r="F889" s="12"/>
      <c r="G889" s="17"/>
      <c r="H889" s="12"/>
      <c r="I889" s="12"/>
      <c r="J889" s="12"/>
      <c r="K889" s="12"/>
      <c r="L889" s="12"/>
      <c r="M889" s="12"/>
      <c r="N889" s="12"/>
      <c r="O889" s="12"/>
    </row>
    <row r="890" ht="13.5" customHeight="1">
      <c r="A890" s="17"/>
      <c r="B890" s="12"/>
      <c r="C890" s="12"/>
      <c r="D890" s="17"/>
      <c r="E890" s="17"/>
      <c r="F890" s="12"/>
      <c r="G890" s="17"/>
      <c r="H890" s="12"/>
      <c r="I890" s="12"/>
      <c r="J890" s="12"/>
      <c r="K890" s="12"/>
      <c r="L890" s="12"/>
      <c r="M890" s="12"/>
      <c r="N890" s="12"/>
      <c r="O890" s="12"/>
    </row>
    <row r="891" ht="13.5" customHeight="1">
      <c r="A891" s="17"/>
      <c r="B891" s="12"/>
      <c r="C891" s="12"/>
      <c r="D891" s="17"/>
      <c r="E891" s="17"/>
      <c r="F891" s="12"/>
      <c r="G891" s="17"/>
      <c r="H891" s="12"/>
      <c r="I891" s="12"/>
      <c r="J891" s="12"/>
      <c r="K891" s="12"/>
      <c r="L891" s="12"/>
      <c r="M891" s="12"/>
      <c r="N891" s="12"/>
      <c r="O891" s="12"/>
    </row>
    <row r="892" ht="13.5" customHeight="1">
      <c r="A892" s="17"/>
      <c r="B892" s="12"/>
      <c r="C892" s="12"/>
      <c r="D892" s="17"/>
      <c r="E892" s="17"/>
      <c r="F892" s="12"/>
      <c r="G892" s="17"/>
      <c r="H892" s="12"/>
      <c r="I892" s="12"/>
      <c r="J892" s="12"/>
      <c r="K892" s="12"/>
      <c r="L892" s="12"/>
      <c r="M892" s="12"/>
      <c r="N892" s="12"/>
      <c r="O892" s="12"/>
    </row>
    <row r="893" ht="13.5" customHeight="1">
      <c r="A893" s="17"/>
      <c r="B893" s="12"/>
      <c r="C893" s="12"/>
      <c r="D893" s="17"/>
      <c r="E893" s="17"/>
      <c r="F893" s="12"/>
      <c r="G893" s="17"/>
      <c r="H893" s="12"/>
      <c r="I893" s="12"/>
      <c r="J893" s="12"/>
      <c r="K893" s="12"/>
      <c r="L893" s="12"/>
      <c r="M893" s="12"/>
      <c r="N893" s="12"/>
      <c r="O893" s="12"/>
    </row>
    <row r="894" ht="13.5" customHeight="1">
      <c r="A894" s="17"/>
      <c r="B894" s="12"/>
      <c r="C894" s="12"/>
      <c r="D894" s="17"/>
      <c r="E894" s="17"/>
      <c r="F894" s="12"/>
      <c r="G894" s="17"/>
      <c r="H894" s="12"/>
      <c r="I894" s="12"/>
      <c r="J894" s="12"/>
      <c r="K894" s="12"/>
      <c r="L894" s="12"/>
      <c r="M894" s="12"/>
      <c r="N894" s="12"/>
      <c r="O894" s="12"/>
    </row>
    <row r="895" ht="13.5" customHeight="1">
      <c r="A895" s="17"/>
      <c r="B895" s="12"/>
      <c r="C895" s="12"/>
      <c r="D895" s="17"/>
      <c r="E895" s="17"/>
      <c r="F895" s="12"/>
      <c r="G895" s="17"/>
      <c r="H895" s="12"/>
      <c r="I895" s="12"/>
      <c r="J895" s="12"/>
      <c r="K895" s="12"/>
      <c r="L895" s="12"/>
      <c r="M895" s="12"/>
      <c r="N895" s="12"/>
      <c r="O895" s="12"/>
    </row>
    <row r="896" ht="13.5" customHeight="1">
      <c r="A896" s="17"/>
      <c r="B896" s="12"/>
      <c r="C896" s="12"/>
      <c r="D896" s="17"/>
      <c r="E896" s="17"/>
      <c r="F896" s="12"/>
      <c r="G896" s="17"/>
      <c r="H896" s="12"/>
      <c r="I896" s="12"/>
      <c r="J896" s="12"/>
      <c r="K896" s="12"/>
      <c r="L896" s="12"/>
      <c r="M896" s="12"/>
      <c r="N896" s="12"/>
      <c r="O896" s="12"/>
    </row>
    <row r="897" ht="13.5" customHeight="1">
      <c r="A897" s="17"/>
      <c r="B897" s="12"/>
      <c r="C897" s="12"/>
      <c r="D897" s="17"/>
      <c r="E897" s="17"/>
      <c r="F897" s="12"/>
      <c r="G897" s="17"/>
      <c r="H897" s="12"/>
      <c r="I897" s="12"/>
      <c r="J897" s="12"/>
      <c r="K897" s="12"/>
      <c r="L897" s="12"/>
      <c r="M897" s="12"/>
      <c r="N897" s="12"/>
      <c r="O897" s="12"/>
    </row>
    <row r="898" ht="13.5" customHeight="1">
      <c r="A898" s="17"/>
      <c r="B898" s="12"/>
      <c r="C898" s="12"/>
      <c r="D898" s="17"/>
      <c r="E898" s="17"/>
      <c r="F898" s="12"/>
      <c r="G898" s="17"/>
      <c r="H898" s="12"/>
      <c r="I898" s="12"/>
      <c r="J898" s="12"/>
      <c r="K898" s="12"/>
      <c r="L898" s="12"/>
      <c r="M898" s="12"/>
      <c r="N898" s="12"/>
      <c r="O898" s="12"/>
    </row>
    <row r="899" ht="13.5" customHeight="1">
      <c r="A899" s="17"/>
      <c r="B899" s="12"/>
      <c r="C899" s="12"/>
      <c r="D899" s="17"/>
      <c r="E899" s="17"/>
      <c r="F899" s="12"/>
      <c r="G899" s="17"/>
      <c r="H899" s="12"/>
      <c r="I899" s="12"/>
      <c r="J899" s="12"/>
      <c r="K899" s="12"/>
      <c r="L899" s="12"/>
      <c r="M899" s="12"/>
      <c r="N899" s="12"/>
      <c r="O899" s="12"/>
    </row>
    <row r="900" ht="13.5" customHeight="1">
      <c r="A900" s="17"/>
      <c r="B900" s="12"/>
      <c r="C900" s="12"/>
      <c r="D900" s="17"/>
      <c r="E900" s="17"/>
      <c r="F900" s="12"/>
      <c r="G900" s="17"/>
      <c r="H900" s="12"/>
      <c r="I900" s="12"/>
      <c r="J900" s="12"/>
      <c r="K900" s="12"/>
      <c r="L900" s="12"/>
      <c r="M900" s="12"/>
      <c r="N900" s="12"/>
      <c r="O900" s="12"/>
    </row>
    <row r="901" ht="13.5" customHeight="1">
      <c r="A901" s="17"/>
      <c r="B901" s="12"/>
      <c r="C901" s="12"/>
      <c r="D901" s="17"/>
      <c r="E901" s="17"/>
      <c r="F901" s="12"/>
      <c r="G901" s="17"/>
      <c r="H901" s="12"/>
      <c r="I901" s="12"/>
      <c r="J901" s="12"/>
      <c r="K901" s="12"/>
      <c r="L901" s="12"/>
      <c r="M901" s="12"/>
      <c r="N901" s="12"/>
      <c r="O901" s="12"/>
    </row>
    <row r="902" ht="13.5" customHeight="1">
      <c r="A902" s="17"/>
      <c r="B902" s="12"/>
      <c r="C902" s="12"/>
      <c r="D902" s="17"/>
      <c r="E902" s="17"/>
      <c r="F902" s="12"/>
      <c r="G902" s="17"/>
      <c r="H902" s="12"/>
      <c r="I902" s="12"/>
      <c r="J902" s="12"/>
      <c r="K902" s="12"/>
      <c r="L902" s="12"/>
      <c r="M902" s="12"/>
      <c r="N902" s="12"/>
      <c r="O902" s="12"/>
    </row>
    <row r="903" ht="13.5" customHeight="1">
      <c r="A903" s="17"/>
      <c r="B903" s="12"/>
      <c r="C903" s="12"/>
      <c r="D903" s="17"/>
      <c r="E903" s="17"/>
      <c r="F903" s="12"/>
      <c r="G903" s="17"/>
      <c r="H903" s="12"/>
      <c r="I903" s="12"/>
      <c r="J903" s="12"/>
      <c r="K903" s="12"/>
      <c r="L903" s="12"/>
      <c r="M903" s="12"/>
      <c r="N903" s="12"/>
      <c r="O903" s="12"/>
    </row>
    <row r="904" ht="13.5" customHeight="1">
      <c r="A904" s="17"/>
      <c r="B904" s="12"/>
      <c r="C904" s="12"/>
      <c r="D904" s="17"/>
      <c r="E904" s="17"/>
      <c r="F904" s="12"/>
      <c r="G904" s="17"/>
      <c r="H904" s="12"/>
      <c r="I904" s="12"/>
      <c r="J904" s="12"/>
      <c r="K904" s="12"/>
      <c r="L904" s="12"/>
      <c r="M904" s="12"/>
      <c r="N904" s="12"/>
      <c r="O904" s="12"/>
    </row>
    <row r="905" ht="13.5" customHeight="1">
      <c r="A905" s="17"/>
      <c r="B905" s="12"/>
      <c r="C905" s="12"/>
      <c r="D905" s="17"/>
      <c r="E905" s="17"/>
      <c r="F905" s="12"/>
      <c r="G905" s="17"/>
      <c r="H905" s="12"/>
      <c r="I905" s="12"/>
      <c r="J905" s="12"/>
      <c r="K905" s="12"/>
      <c r="L905" s="12"/>
      <c r="M905" s="12"/>
      <c r="N905" s="12"/>
      <c r="O905" s="12"/>
    </row>
    <row r="906" ht="13.5" customHeight="1">
      <c r="A906" s="17"/>
      <c r="B906" s="12"/>
      <c r="C906" s="12"/>
      <c r="D906" s="17"/>
      <c r="E906" s="17"/>
      <c r="F906" s="12"/>
      <c r="G906" s="17"/>
      <c r="H906" s="12"/>
      <c r="I906" s="12"/>
      <c r="J906" s="12"/>
      <c r="K906" s="12"/>
      <c r="L906" s="12"/>
      <c r="M906" s="12"/>
      <c r="N906" s="12"/>
      <c r="O906" s="12"/>
    </row>
    <row r="907" ht="13.5" customHeight="1">
      <c r="A907" s="17"/>
      <c r="B907" s="12"/>
      <c r="C907" s="12"/>
      <c r="D907" s="17"/>
      <c r="E907" s="17"/>
      <c r="F907" s="12"/>
      <c r="G907" s="17"/>
      <c r="H907" s="12"/>
      <c r="I907" s="12"/>
      <c r="J907" s="12"/>
      <c r="K907" s="12"/>
      <c r="L907" s="12"/>
      <c r="M907" s="12"/>
      <c r="N907" s="12"/>
      <c r="O907" s="12"/>
    </row>
    <row r="908" ht="13.5" customHeight="1">
      <c r="A908" s="17"/>
      <c r="B908" s="12"/>
      <c r="C908" s="12"/>
      <c r="D908" s="17"/>
      <c r="E908" s="17"/>
      <c r="F908" s="12"/>
      <c r="G908" s="17"/>
      <c r="H908" s="12"/>
      <c r="I908" s="12"/>
      <c r="J908" s="12"/>
      <c r="K908" s="12"/>
      <c r="L908" s="12"/>
      <c r="M908" s="12"/>
      <c r="N908" s="12"/>
      <c r="O908" s="12"/>
    </row>
    <row r="909" ht="13.5" customHeight="1">
      <c r="A909" s="17"/>
      <c r="B909" s="12"/>
      <c r="C909" s="12"/>
      <c r="D909" s="17"/>
      <c r="E909" s="17"/>
      <c r="F909" s="12"/>
      <c r="G909" s="17"/>
      <c r="H909" s="12"/>
      <c r="I909" s="12"/>
      <c r="J909" s="12"/>
      <c r="K909" s="12"/>
      <c r="L909" s="12"/>
      <c r="M909" s="12"/>
      <c r="N909" s="12"/>
      <c r="O909" s="12"/>
    </row>
    <row r="910" ht="13.5" customHeight="1">
      <c r="A910" s="17"/>
      <c r="B910" s="12"/>
      <c r="C910" s="12"/>
      <c r="D910" s="17"/>
      <c r="E910" s="17"/>
      <c r="F910" s="12"/>
      <c r="G910" s="17"/>
      <c r="H910" s="12"/>
      <c r="I910" s="12"/>
      <c r="J910" s="12"/>
      <c r="K910" s="12"/>
      <c r="L910" s="12"/>
      <c r="M910" s="12"/>
      <c r="N910" s="12"/>
      <c r="O910" s="12"/>
    </row>
    <row r="911" ht="13.5" customHeight="1">
      <c r="A911" s="17"/>
      <c r="B911" s="12"/>
      <c r="C911" s="12"/>
      <c r="D911" s="17"/>
      <c r="E911" s="17"/>
      <c r="F911" s="12"/>
      <c r="G911" s="17"/>
      <c r="H911" s="12"/>
      <c r="I911" s="12"/>
      <c r="J911" s="12"/>
      <c r="K911" s="12"/>
      <c r="L911" s="12"/>
      <c r="M911" s="12"/>
      <c r="N911" s="12"/>
      <c r="O911" s="12"/>
    </row>
    <row r="912" ht="13.5" customHeight="1">
      <c r="A912" s="17"/>
      <c r="B912" s="12"/>
      <c r="C912" s="12"/>
      <c r="D912" s="17"/>
      <c r="E912" s="17"/>
      <c r="F912" s="12"/>
      <c r="G912" s="17"/>
      <c r="H912" s="12"/>
      <c r="I912" s="12"/>
      <c r="J912" s="12"/>
      <c r="K912" s="12"/>
      <c r="L912" s="12"/>
      <c r="M912" s="12"/>
      <c r="N912" s="12"/>
      <c r="O912" s="12"/>
    </row>
    <row r="913" ht="13.5" customHeight="1">
      <c r="A913" s="17"/>
      <c r="B913" s="12"/>
      <c r="C913" s="12"/>
      <c r="D913" s="17"/>
      <c r="E913" s="17"/>
      <c r="F913" s="12"/>
      <c r="G913" s="17"/>
      <c r="H913" s="12"/>
      <c r="I913" s="12"/>
      <c r="J913" s="12"/>
      <c r="K913" s="12"/>
      <c r="L913" s="12"/>
      <c r="M913" s="12"/>
      <c r="N913" s="12"/>
      <c r="O913" s="12"/>
    </row>
    <row r="914" ht="13.5" customHeight="1">
      <c r="A914" s="17"/>
      <c r="B914" s="12"/>
      <c r="C914" s="12"/>
      <c r="D914" s="17"/>
      <c r="E914" s="17"/>
      <c r="F914" s="12"/>
      <c r="G914" s="17"/>
      <c r="H914" s="12"/>
      <c r="I914" s="12"/>
      <c r="J914" s="12"/>
      <c r="K914" s="12"/>
      <c r="L914" s="12"/>
      <c r="M914" s="12"/>
      <c r="N914" s="12"/>
      <c r="O914" s="12"/>
    </row>
    <row r="915" ht="13.5" customHeight="1">
      <c r="A915" s="17"/>
      <c r="B915" s="12"/>
      <c r="C915" s="12"/>
      <c r="D915" s="17"/>
      <c r="E915" s="17"/>
      <c r="F915" s="12"/>
      <c r="G915" s="17"/>
      <c r="H915" s="12"/>
      <c r="I915" s="12"/>
      <c r="J915" s="12"/>
      <c r="K915" s="12"/>
      <c r="L915" s="12"/>
      <c r="M915" s="12"/>
      <c r="N915" s="12"/>
      <c r="O915" s="12"/>
    </row>
    <row r="916" ht="13.5" customHeight="1">
      <c r="A916" s="17"/>
      <c r="B916" s="12"/>
      <c r="C916" s="12"/>
      <c r="D916" s="17"/>
      <c r="E916" s="17"/>
      <c r="F916" s="12"/>
      <c r="G916" s="17"/>
      <c r="H916" s="12"/>
      <c r="I916" s="12"/>
      <c r="J916" s="12"/>
      <c r="K916" s="12"/>
      <c r="L916" s="12"/>
      <c r="M916" s="12"/>
      <c r="N916" s="12"/>
      <c r="O916" s="12"/>
    </row>
    <row r="917" ht="13.5" customHeight="1">
      <c r="A917" s="17"/>
      <c r="B917" s="12"/>
      <c r="C917" s="12"/>
      <c r="D917" s="17"/>
      <c r="E917" s="17"/>
      <c r="F917" s="12"/>
      <c r="G917" s="17"/>
      <c r="H917" s="12"/>
      <c r="I917" s="12"/>
      <c r="J917" s="12"/>
      <c r="K917" s="12"/>
      <c r="L917" s="12"/>
      <c r="M917" s="12"/>
      <c r="N917" s="12"/>
      <c r="O917" s="12"/>
    </row>
    <row r="918" ht="13.5" customHeight="1">
      <c r="A918" s="17"/>
      <c r="B918" s="12"/>
      <c r="C918" s="12"/>
      <c r="D918" s="17"/>
      <c r="E918" s="17"/>
      <c r="F918" s="12"/>
      <c r="G918" s="17"/>
      <c r="H918" s="12"/>
      <c r="I918" s="12"/>
      <c r="J918" s="12"/>
      <c r="K918" s="12"/>
      <c r="L918" s="12"/>
      <c r="M918" s="12"/>
      <c r="N918" s="12"/>
      <c r="O918" s="12"/>
    </row>
    <row r="919" ht="13.5" customHeight="1">
      <c r="A919" s="17"/>
      <c r="B919" s="12"/>
      <c r="C919" s="12"/>
      <c r="D919" s="17"/>
      <c r="E919" s="17"/>
      <c r="F919" s="12"/>
      <c r="G919" s="17"/>
      <c r="H919" s="12"/>
      <c r="I919" s="12"/>
      <c r="J919" s="12"/>
      <c r="K919" s="12"/>
      <c r="L919" s="12"/>
      <c r="M919" s="12"/>
      <c r="N919" s="12"/>
      <c r="O919" s="12"/>
    </row>
    <row r="920" ht="13.5" customHeight="1">
      <c r="A920" s="17"/>
      <c r="B920" s="12"/>
      <c r="C920" s="12"/>
      <c r="D920" s="17"/>
      <c r="E920" s="17"/>
      <c r="F920" s="12"/>
      <c r="G920" s="17"/>
      <c r="H920" s="12"/>
      <c r="I920" s="12"/>
      <c r="J920" s="12"/>
      <c r="K920" s="12"/>
      <c r="L920" s="12"/>
      <c r="M920" s="12"/>
      <c r="N920" s="12"/>
      <c r="O920" s="12"/>
    </row>
    <row r="921" ht="13.5" customHeight="1">
      <c r="A921" s="17"/>
      <c r="B921" s="12"/>
      <c r="C921" s="12"/>
      <c r="D921" s="17"/>
      <c r="E921" s="17"/>
      <c r="F921" s="12"/>
      <c r="G921" s="17"/>
      <c r="H921" s="12"/>
      <c r="I921" s="12"/>
      <c r="J921" s="12"/>
      <c r="K921" s="12"/>
      <c r="L921" s="12"/>
      <c r="M921" s="12"/>
      <c r="N921" s="12"/>
      <c r="O921" s="12"/>
    </row>
    <row r="922" ht="13.5" customHeight="1">
      <c r="A922" s="17"/>
      <c r="B922" s="12"/>
      <c r="C922" s="12"/>
      <c r="D922" s="17"/>
      <c r="E922" s="17"/>
      <c r="F922" s="12"/>
      <c r="G922" s="17"/>
      <c r="H922" s="12"/>
      <c r="I922" s="12"/>
      <c r="J922" s="12"/>
      <c r="K922" s="12"/>
      <c r="L922" s="12"/>
      <c r="M922" s="12"/>
      <c r="N922" s="12"/>
      <c r="O922" s="12"/>
    </row>
    <row r="923" ht="13.5" customHeight="1">
      <c r="A923" s="17"/>
      <c r="B923" s="12"/>
      <c r="C923" s="12"/>
      <c r="D923" s="17"/>
      <c r="E923" s="17"/>
      <c r="F923" s="12"/>
      <c r="G923" s="17"/>
      <c r="H923" s="12"/>
      <c r="I923" s="12"/>
      <c r="J923" s="12"/>
      <c r="K923" s="12"/>
      <c r="L923" s="12"/>
      <c r="M923" s="12"/>
      <c r="N923" s="12"/>
      <c r="O923" s="12"/>
    </row>
    <row r="924" ht="13.5" customHeight="1">
      <c r="A924" s="17"/>
      <c r="B924" s="12"/>
      <c r="C924" s="12"/>
      <c r="D924" s="17"/>
      <c r="E924" s="17"/>
      <c r="F924" s="12"/>
      <c r="G924" s="17"/>
      <c r="H924" s="12"/>
      <c r="I924" s="12"/>
      <c r="J924" s="12"/>
      <c r="K924" s="12"/>
      <c r="L924" s="12"/>
      <c r="M924" s="12"/>
      <c r="N924" s="12"/>
      <c r="O924" s="12"/>
    </row>
    <row r="925" ht="13.5" customHeight="1">
      <c r="A925" s="17"/>
      <c r="B925" s="12"/>
      <c r="C925" s="12"/>
      <c r="D925" s="17"/>
      <c r="E925" s="17"/>
      <c r="F925" s="12"/>
      <c r="G925" s="17"/>
      <c r="H925" s="12"/>
      <c r="I925" s="12"/>
      <c r="J925" s="12"/>
      <c r="K925" s="12"/>
      <c r="L925" s="12"/>
      <c r="M925" s="12"/>
      <c r="N925" s="12"/>
      <c r="O925" s="12"/>
    </row>
    <row r="926" ht="13.5" customHeight="1">
      <c r="A926" s="17"/>
      <c r="B926" s="12"/>
      <c r="C926" s="12"/>
      <c r="D926" s="17"/>
      <c r="E926" s="17"/>
      <c r="F926" s="12"/>
      <c r="G926" s="17"/>
      <c r="H926" s="12"/>
      <c r="I926" s="12"/>
      <c r="J926" s="12"/>
      <c r="K926" s="12"/>
      <c r="L926" s="12"/>
      <c r="M926" s="12"/>
      <c r="N926" s="12"/>
      <c r="O926" s="12"/>
    </row>
    <row r="927" ht="13.5" customHeight="1">
      <c r="A927" s="17"/>
      <c r="B927" s="12"/>
      <c r="C927" s="12"/>
      <c r="D927" s="17"/>
      <c r="E927" s="17"/>
      <c r="F927" s="12"/>
      <c r="G927" s="17"/>
      <c r="H927" s="12"/>
      <c r="I927" s="12"/>
      <c r="J927" s="12"/>
      <c r="K927" s="12"/>
      <c r="L927" s="12"/>
      <c r="M927" s="12"/>
      <c r="N927" s="12"/>
      <c r="O927" s="12"/>
    </row>
    <row r="928" ht="13.5" customHeight="1">
      <c r="A928" s="17"/>
      <c r="B928" s="12"/>
      <c r="C928" s="12"/>
      <c r="D928" s="17"/>
      <c r="E928" s="17"/>
      <c r="F928" s="12"/>
      <c r="G928" s="17"/>
      <c r="H928" s="12"/>
      <c r="I928" s="12"/>
      <c r="J928" s="12"/>
      <c r="K928" s="12"/>
      <c r="L928" s="12"/>
      <c r="M928" s="12"/>
      <c r="N928" s="12"/>
      <c r="O928" s="12"/>
    </row>
    <row r="929" ht="13.5" customHeight="1">
      <c r="A929" s="17"/>
      <c r="B929" s="12"/>
      <c r="C929" s="12"/>
      <c r="D929" s="17"/>
      <c r="E929" s="17"/>
      <c r="F929" s="12"/>
      <c r="G929" s="17"/>
      <c r="H929" s="12"/>
      <c r="I929" s="12"/>
      <c r="J929" s="12"/>
      <c r="K929" s="12"/>
      <c r="L929" s="12"/>
      <c r="M929" s="12"/>
      <c r="N929" s="12"/>
      <c r="O929" s="12"/>
    </row>
    <row r="930" ht="13.5" customHeight="1">
      <c r="A930" s="17"/>
      <c r="B930" s="12"/>
      <c r="C930" s="12"/>
      <c r="D930" s="17"/>
      <c r="E930" s="17"/>
      <c r="F930" s="12"/>
      <c r="G930" s="17"/>
      <c r="H930" s="12"/>
      <c r="I930" s="12"/>
      <c r="J930" s="12"/>
      <c r="K930" s="12"/>
      <c r="L930" s="12"/>
      <c r="M930" s="12"/>
      <c r="N930" s="12"/>
      <c r="O930" s="12"/>
    </row>
    <row r="931" ht="13.5" customHeight="1">
      <c r="A931" s="17"/>
      <c r="B931" s="12"/>
      <c r="C931" s="12"/>
      <c r="D931" s="17"/>
      <c r="E931" s="17"/>
      <c r="F931" s="12"/>
      <c r="G931" s="17"/>
      <c r="H931" s="12"/>
      <c r="I931" s="12"/>
      <c r="J931" s="12"/>
      <c r="K931" s="12"/>
      <c r="L931" s="12"/>
      <c r="M931" s="12"/>
      <c r="N931" s="12"/>
      <c r="O931" s="12"/>
    </row>
    <row r="932" ht="13.5" customHeight="1">
      <c r="A932" s="17"/>
      <c r="B932" s="12"/>
      <c r="C932" s="12"/>
      <c r="D932" s="17"/>
      <c r="E932" s="17"/>
      <c r="F932" s="12"/>
      <c r="G932" s="17"/>
      <c r="H932" s="12"/>
      <c r="I932" s="12"/>
      <c r="J932" s="12"/>
      <c r="K932" s="12"/>
      <c r="L932" s="12"/>
      <c r="M932" s="12"/>
      <c r="N932" s="12"/>
      <c r="O932" s="12"/>
    </row>
    <row r="933" ht="13.5" customHeight="1">
      <c r="A933" s="17"/>
      <c r="B933" s="12"/>
      <c r="C933" s="12"/>
      <c r="D933" s="17"/>
      <c r="E933" s="17"/>
      <c r="F933" s="12"/>
      <c r="G933" s="17"/>
      <c r="H933" s="12"/>
      <c r="I933" s="12"/>
      <c r="J933" s="12"/>
      <c r="K933" s="12"/>
      <c r="L933" s="12"/>
      <c r="M933" s="12"/>
      <c r="N933" s="12"/>
      <c r="O933" s="12"/>
    </row>
    <row r="934" ht="13.5" customHeight="1">
      <c r="A934" s="17"/>
      <c r="B934" s="12"/>
      <c r="C934" s="12"/>
      <c r="D934" s="17"/>
      <c r="E934" s="17"/>
      <c r="F934" s="12"/>
      <c r="G934" s="17"/>
      <c r="H934" s="12"/>
      <c r="I934" s="12"/>
      <c r="J934" s="12"/>
      <c r="K934" s="12"/>
      <c r="L934" s="12"/>
      <c r="M934" s="12"/>
      <c r="N934" s="12"/>
      <c r="O934" s="12"/>
    </row>
    <row r="935" ht="13.5" customHeight="1">
      <c r="A935" s="17"/>
      <c r="B935" s="12"/>
      <c r="C935" s="12"/>
      <c r="D935" s="17"/>
      <c r="E935" s="17"/>
      <c r="F935" s="12"/>
      <c r="G935" s="17"/>
      <c r="H935" s="12"/>
      <c r="I935" s="12"/>
      <c r="J935" s="12"/>
      <c r="K935" s="12"/>
      <c r="L935" s="12"/>
      <c r="M935" s="12"/>
      <c r="N935" s="12"/>
      <c r="O935" s="12"/>
    </row>
    <row r="936" ht="13.5" customHeight="1">
      <c r="A936" s="17"/>
      <c r="B936" s="12"/>
      <c r="C936" s="12"/>
      <c r="D936" s="17"/>
      <c r="E936" s="17"/>
      <c r="F936" s="12"/>
      <c r="G936" s="17"/>
      <c r="H936" s="12"/>
      <c r="I936" s="12"/>
      <c r="J936" s="12"/>
      <c r="K936" s="12"/>
      <c r="L936" s="12"/>
      <c r="M936" s="12"/>
      <c r="N936" s="12"/>
      <c r="O936" s="12"/>
    </row>
    <row r="937" ht="13.5" customHeight="1">
      <c r="A937" s="17"/>
      <c r="B937" s="12"/>
      <c r="C937" s="12"/>
      <c r="D937" s="17"/>
      <c r="E937" s="17"/>
      <c r="F937" s="12"/>
      <c r="G937" s="17"/>
      <c r="H937" s="12"/>
      <c r="I937" s="12"/>
      <c r="J937" s="12"/>
      <c r="K937" s="12"/>
      <c r="L937" s="12"/>
      <c r="M937" s="12"/>
      <c r="N937" s="12"/>
      <c r="O937" s="12"/>
    </row>
    <row r="938" ht="13.5" customHeight="1">
      <c r="A938" s="17"/>
      <c r="B938" s="12"/>
      <c r="C938" s="12"/>
      <c r="D938" s="17"/>
      <c r="E938" s="17"/>
      <c r="F938" s="12"/>
      <c r="G938" s="17"/>
      <c r="H938" s="12"/>
      <c r="I938" s="12"/>
      <c r="J938" s="12"/>
      <c r="K938" s="12"/>
      <c r="L938" s="12"/>
      <c r="M938" s="12"/>
      <c r="N938" s="12"/>
      <c r="O938" s="12"/>
    </row>
    <row r="939" ht="13.5" customHeight="1">
      <c r="A939" s="17"/>
      <c r="B939" s="12"/>
      <c r="C939" s="12"/>
      <c r="D939" s="17"/>
      <c r="E939" s="17"/>
      <c r="F939" s="12"/>
      <c r="G939" s="17"/>
      <c r="H939" s="12"/>
      <c r="I939" s="12"/>
      <c r="J939" s="12"/>
      <c r="K939" s="12"/>
      <c r="L939" s="12"/>
      <c r="M939" s="12"/>
      <c r="N939" s="12"/>
      <c r="O939" s="12"/>
    </row>
    <row r="940" ht="13.5" customHeight="1">
      <c r="A940" s="17"/>
      <c r="B940" s="12"/>
      <c r="C940" s="12"/>
      <c r="D940" s="17"/>
      <c r="E940" s="17"/>
      <c r="F940" s="12"/>
      <c r="G940" s="17"/>
      <c r="H940" s="12"/>
      <c r="I940" s="12"/>
      <c r="J940" s="12"/>
      <c r="K940" s="12"/>
      <c r="L940" s="12"/>
      <c r="M940" s="12"/>
      <c r="N940" s="12"/>
      <c r="O940" s="12"/>
    </row>
    <row r="941" ht="13.5" customHeight="1">
      <c r="A941" s="17"/>
      <c r="B941" s="12"/>
      <c r="C941" s="12"/>
      <c r="D941" s="17"/>
      <c r="E941" s="17"/>
      <c r="F941" s="12"/>
      <c r="G941" s="17"/>
      <c r="H941" s="12"/>
      <c r="I941" s="12"/>
      <c r="J941" s="12"/>
      <c r="K941" s="12"/>
      <c r="L941" s="12"/>
      <c r="M941" s="12"/>
      <c r="N941" s="12"/>
      <c r="O941" s="12"/>
    </row>
    <row r="942" ht="13.5" customHeight="1">
      <c r="A942" s="17"/>
      <c r="B942" s="12"/>
      <c r="C942" s="12"/>
      <c r="D942" s="17"/>
      <c r="E942" s="17"/>
      <c r="F942" s="12"/>
      <c r="G942" s="17"/>
      <c r="H942" s="12"/>
      <c r="I942" s="12"/>
      <c r="J942" s="12"/>
      <c r="K942" s="12"/>
      <c r="L942" s="12"/>
      <c r="M942" s="12"/>
      <c r="N942" s="12"/>
      <c r="O942" s="12"/>
    </row>
    <row r="943" ht="13.5" customHeight="1">
      <c r="A943" s="17"/>
      <c r="B943" s="12"/>
      <c r="C943" s="12"/>
      <c r="D943" s="17"/>
      <c r="E943" s="17"/>
      <c r="F943" s="12"/>
      <c r="G943" s="17"/>
      <c r="H943" s="12"/>
      <c r="I943" s="12"/>
      <c r="J943" s="12"/>
      <c r="K943" s="12"/>
      <c r="L943" s="12"/>
      <c r="M943" s="12"/>
      <c r="N943" s="12"/>
      <c r="O943" s="12"/>
    </row>
    <row r="944" ht="13.5" customHeight="1">
      <c r="A944" s="17"/>
      <c r="B944" s="12"/>
      <c r="C944" s="12"/>
      <c r="D944" s="17"/>
      <c r="E944" s="17"/>
      <c r="F944" s="12"/>
      <c r="G944" s="17"/>
      <c r="H944" s="12"/>
      <c r="I944" s="12"/>
      <c r="J944" s="12"/>
      <c r="K944" s="12"/>
      <c r="L944" s="12"/>
      <c r="M944" s="12"/>
      <c r="N944" s="12"/>
      <c r="O944" s="12"/>
    </row>
    <row r="945" ht="13.5" customHeight="1">
      <c r="A945" s="17"/>
      <c r="B945" s="12"/>
      <c r="C945" s="12"/>
      <c r="D945" s="17"/>
      <c r="E945" s="17"/>
      <c r="F945" s="12"/>
      <c r="G945" s="17"/>
      <c r="H945" s="12"/>
      <c r="I945" s="12"/>
      <c r="J945" s="12"/>
      <c r="K945" s="12"/>
      <c r="L945" s="12"/>
      <c r="M945" s="12"/>
      <c r="N945" s="12"/>
      <c r="O945" s="12"/>
    </row>
    <row r="946" ht="13.5" customHeight="1">
      <c r="A946" s="17"/>
      <c r="B946" s="12"/>
      <c r="C946" s="12"/>
      <c r="D946" s="17"/>
      <c r="E946" s="17"/>
      <c r="F946" s="12"/>
      <c r="G946" s="17"/>
      <c r="H946" s="12"/>
      <c r="I946" s="12"/>
      <c r="J946" s="12"/>
      <c r="K946" s="12"/>
      <c r="L946" s="12"/>
      <c r="M946" s="12"/>
      <c r="N946" s="12"/>
      <c r="O946" s="12"/>
    </row>
    <row r="947" ht="13.5" customHeight="1">
      <c r="A947" s="17"/>
      <c r="B947" s="12"/>
      <c r="C947" s="12"/>
      <c r="D947" s="17"/>
      <c r="E947" s="17"/>
      <c r="F947" s="12"/>
      <c r="G947" s="17"/>
      <c r="H947" s="12"/>
      <c r="I947" s="12"/>
      <c r="J947" s="12"/>
      <c r="K947" s="12"/>
      <c r="L947" s="12"/>
      <c r="M947" s="12"/>
      <c r="N947" s="12"/>
      <c r="O947" s="12"/>
    </row>
    <row r="948" ht="13.5" customHeight="1">
      <c r="A948" s="17"/>
      <c r="B948" s="12"/>
      <c r="C948" s="12"/>
      <c r="D948" s="17"/>
      <c r="E948" s="17"/>
      <c r="F948" s="12"/>
      <c r="G948" s="17"/>
      <c r="H948" s="12"/>
      <c r="I948" s="12"/>
      <c r="J948" s="12"/>
      <c r="K948" s="12"/>
      <c r="L948" s="12"/>
      <c r="M948" s="12"/>
      <c r="N948" s="12"/>
      <c r="O948" s="12"/>
    </row>
    <row r="949" ht="13.5" customHeight="1">
      <c r="A949" s="17"/>
      <c r="B949" s="12"/>
      <c r="C949" s="12"/>
      <c r="D949" s="17"/>
      <c r="E949" s="17"/>
      <c r="F949" s="12"/>
      <c r="G949" s="17"/>
      <c r="H949" s="12"/>
      <c r="I949" s="12"/>
      <c r="J949" s="12"/>
      <c r="K949" s="12"/>
      <c r="L949" s="12"/>
      <c r="M949" s="12"/>
      <c r="N949" s="12"/>
      <c r="O949" s="12"/>
    </row>
    <row r="950" ht="13.5" customHeight="1">
      <c r="A950" s="17"/>
      <c r="B950" s="12"/>
      <c r="C950" s="12"/>
      <c r="D950" s="17"/>
      <c r="E950" s="17"/>
      <c r="F950" s="12"/>
      <c r="G950" s="17"/>
      <c r="H950" s="12"/>
      <c r="I950" s="12"/>
      <c r="J950" s="12"/>
      <c r="K950" s="12"/>
      <c r="L950" s="12"/>
      <c r="M950" s="12"/>
      <c r="N950" s="12"/>
      <c r="O950" s="12"/>
    </row>
    <row r="951" ht="13.5" customHeight="1">
      <c r="A951" s="17"/>
      <c r="B951" s="12"/>
      <c r="C951" s="12"/>
      <c r="D951" s="17"/>
      <c r="E951" s="17"/>
      <c r="F951" s="12"/>
      <c r="G951" s="17"/>
      <c r="H951" s="12"/>
      <c r="I951" s="12"/>
      <c r="J951" s="12"/>
      <c r="K951" s="12"/>
      <c r="L951" s="12"/>
      <c r="M951" s="12"/>
      <c r="N951" s="12"/>
      <c r="O951" s="12"/>
    </row>
    <row r="952" ht="13.5" customHeight="1">
      <c r="A952" s="17"/>
      <c r="B952" s="12"/>
      <c r="C952" s="12"/>
      <c r="D952" s="17"/>
      <c r="E952" s="17"/>
      <c r="F952" s="12"/>
      <c r="G952" s="17"/>
      <c r="H952" s="12"/>
      <c r="I952" s="12"/>
      <c r="J952" s="12"/>
      <c r="K952" s="12"/>
      <c r="L952" s="12"/>
      <c r="M952" s="12"/>
      <c r="N952" s="12"/>
      <c r="O952" s="12"/>
    </row>
    <row r="953" ht="13.5" customHeight="1">
      <c r="A953" s="17"/>
      <c r="B953" s="12"/>
      <c r="C953" s="12"/>
      <c r="D953" s="17"/>
      <c r="E953" s="17"/>
      <c r="F953" s="12"/>
      <c r="G953" s="17"/>
      <c r="H953" s="12"/>
      <c r="I953" s="12"/>
      <c r="J953" s="12"/>
      <c r="K953" s="12"/>
      <c r="L953" s="12"/>
      <c r="M953" s="12"/>
      <c r="N953" s="12"/>
      <c r="O953" s="12"/>
    </row>
    <row r="954" ht="13.5" customHeight="1">
      <c r="A954" s="17"/>
      <c r="B954" s="12"/>
      <c r="C954" s="12"/>
      <c r="D954" s="17"/>
      <c r="E954" s="17"/>
      <c r="F954" s="12"/>
      <c r="G954" s="17"/>
      <c r="H954" s="12"/>
      <c r="I954" s="12"/>
      <c r="J954" s="12"/>
      <c r="K954" s="12"/>
      <c r="L954" s="12"/>
      <c r="M954" s="12"/>
      <c r="N954" s="12"/>
      <c r="O954" s="12"/>
    </row>
    <row r="955" ht="13.5" customHeight="1">
      <c r="A955" s="17"/>
      <c r="B955" s="12"/>
      <c r="C955" s="12"/>
      <c r="D955" s="17"/>
      <c r="E955" s="17"/>
      <c r="F955" s="12"/>
      <c r="G955" s="17"/>
      <c r="H955" s="12"/>
      <c r="I955" s="12"/>
      <c r="J955" s="12"/>
      <c r="K955" s="12"/>
      <c r="L955" s="12"/>
      <c r="M955" s="12"/>
      <c r="N955" s="12"/>
      <c r="O955" s="12"/>
    </row>
    <row r="956" ht="13.5" customHeight="1">
      <c r="A956" s="17"/>
      <c r="B956" s="12"/>
      <c r="C956" s="12"/>
      <c r="D956" s="17"/>
      <c r="E956" s="17"/>
      <c r="F956" s="12"/>
      <c r="G956" s="17"/>
      <c r="H956" s="12"/>
      <c r="I956" s="12"/>
      <c r="J956" s="12"/>
      <c r="K956" s="12"/>
      <c r="L956" s="12"/>
      <c r="M956" s="12"/>
      <c r="N956" s="12"/>
      <c r="O956" s="12"/>
    </row>
    <row r="957" ht="13.5" customHeight="1">
      <c r="A957" s="17"/>
      <c r="B957" s="12"/>
      <c r="C957" s="12"/>
      <c r="D957" s="17"/>
      <c r="E957" s="17"/>
      <c r="F957" s="12"/>
      <c r="G957" s="17"/>
      <c r="H957" s="12"/>
      <c r="I957" s="12"/>
      <c r="J957" s="12"/>
      <c r="K957" s="12"/>
      <c r="L957" s="12"/>
      <c r="M957" s="12"/>
      <c r="N957" s="12"/>
      <c r="O957" s="12"/>
    </row>
    <row r="958" ht="13.5" customHeight="1">
      <c r="A958" s="17"/>
      <c r="B958" s="12"/>
      <c r="C958" s="12"/>
      <c r="D958" s="17"/>
      <c r="E958" s="17"/>
      <c r="F958" s="12"/>
      <c r="G958" s="17"/>
      <c r="H958" s="12"/>
      <c r="I958" s="12"/>
      <c r="J958" s="12"/>
      <c r="K958" s="12"/>
      <c r="L958" s="12"/>
      <c r="M958" s="12"/>
      <c r="N958" s="12"/>
      <c r="O958" s="12"/>
    </row>
    <row r="959" ht="13.5" customHeight="1">
      <c r="A959" s="17"/>
      <c r="B959" s="12"/>
      <c r="C959" s="12"/>
      <c r="D959" s="17"/>
      <c r="E959" s="17"/>
      <c r="F959" s="12"/>
      <c r="G959" s="17"/>
      <c r="H959" s="12"/>
      <c r="I959" s="12"/>
      <c r="J959" s="12"/>
      <c r="K959" s="12"/>
      <c r="L959" s="12"/>
      <c r="M959" s="12"/>
      <c r="N959" s="12"/>
      <c r="O959" s="12"/>
    </row>
    <row r="960" ht="13.5" customHeight="1">
      <c r="A960" s="17"/>
      <c r="B960" s="12"/>
      <c r="C960" s="12"/>
      <c r="D960" s="17"/>
      <c r="E960" s="17"/>
      <c r="F960" s="12"/>
      <c r="G960" s="17"/>
      <c r="H960" s="12"/>
      <c r="I960" s="12"/>
      <c r="J960" s="12"/>
      <c r="K960" s="12"/>
      <c r="L960" s="12"/>
      <c r="M960" s="12"/>
      <c r="N960" s="12"/>
      <c r="O960" s="12"/>
    </row>
    <row r="961" ht="13.5" customHeight="1">
      <c r="A961" s="17"/>
      <c r="B961" s="12"/>
      <c r="C961" s="12"/>
      <c r="D961" s="17"/>
      <c r="E961" s="17"/>
      <c r="F961" s="12"/>
      <c r="G961" s="17"/>
      <c r="H961" s="12"/>
      <c r="I961" s="12"/>
      <c r="J961" s="12"/>
      <c r="K961" s="12"/>
      <c r="L961" s="12"/>
      <c r="M961" s="12"/>
      <c r="N961" s="12"/>
      <c r="O961" s="12"/>
    </row>
    <row r="962" ht="13.5" customHeight="1">
      <c r="A962" s="17"/>
      <c r="B962" s="12"/>
      <c r="C962" s="12"/>
      <c r="D962" s="17"/>
      <c r="E962" s="17"/>
      <c r="F962" s="12"/>
      <c r="G962" s="17"/>
      <c r="H962" s="12"/>
      <c r="I962" s="12"/>
      <c r="J962" s="12"/>
      <c r="K962" s="12"/>
      <c r="L962" s="12"/>
      <c r="M962" s="12"/>
      <c r="N962" s="12"/>
      <c r="O962" s="12"/>
    </row>
    <row r="963" ht="13.5" customHeight="1">
      <c r="A963" s="17"/>
      <c r="B963" s="12"/>
      <c r="C963" s="12"/>
      <c r="D963" s="17"/>
      <c r="E963" s="17"/>
      <c r="F963" s="12"/>
      <c r="G963" s="17"/>
      <c r="H963" s="12"/>
      <c r="I963" s="12"/>
      <c r="J963" s="12"/>
      <c r="K963" s="12"/>
      <c r="L963" s="12"/>
      <c r="M963" s="12"/>
      <c r="N963" s="12"/>
      <c r="O963" s="12"/>
    </row>
    <row r="964" ht="13.5" customHeight="1">
      <c r="A964" s="17"/>
      <c r="B964" s="12"/>
      <c r="C964" s="12"/>
      <c r="D964" s="17"/>
      <c r="E964" s="17"/>
      <c r="F964" s="12"/>
      <c r="G964" s="17"/>
      <c r="H964" s="12"/>
      <c r="I964" s="12"/>
      <c r="J964" s="12"/>
      <c r="K964" s="12"/>
      <c r="L964" s="12"/>
      <c r="M964" s="12"/>
      <c r="N964" s="12"/>
      <c r="O964" s="12"/>
    </row>
    <row r="965" ht="13.5" customHeight="1">
      <c r="A965" s="17"/>
      <c r="B965" s="12"/>
      <c r="C965" s="12"/>
      <c r="D965" s="17"/>
      <c r="E965" s="17"/>
      <c r="F965" s="12"/>
      <c r="G965" s="17"/>
      <c r="H965" s="12"/>
      <c r="I965" s="12"/>
      <c r="J965" s="12"/>
      <c r="K965" s="12"/>
      <c r="L965" s="12"/>
      <c r="M965" s="12"/>
      <c r="N965" s="12"/>
      <c r="O965" s="12"/>
    </row>
    <row r="966" ht="13.5" customHeight="1">
      <c r="A966" s="17"/>
      <c r="B966" s="12"/>
      <c r="C966" s="12"/>
      <c r="D966" s="17"/>
      <c r="E966" s="17"/>
      <c r="F966" s="12"/>
      <c r="G966" s="17"/>
      <c r="H966" s="12"/>
      <c r="I966" s="12"/>
      <c r="J966" s="12"/>
      <c r="K966" s="12"/>
      <c r="L966" s="12"/>
      <c r="M966" s="12"/>
      <c r="N966" s="12"/>
      <c r="O966" s="12"/>
    </row>
    <row r="967" ht="13.5" customHeight="1">
      <c r="A967" s="17"/>
      <c r="B967" s="12"/>
      <c r="C967" s="12"/>
      <c r="D967" s="17"/>
      <c r="E967" s="17"/>
      <c r="F967" s="12"/>
      <c r="G967" s="17"/>
      <c r="H967" s="12"/>
      <c r="I967" s="12"/>
      <c r="J967" s="12"/>
      <c r="K967" s="12"/>
      <c r="L967" s="12"/>
      <c r="M967" s="12"/>
      <c r="N967" s="12"/>
      <c r="O967" s="12"/>
    </row>
    <row r="968" ht="13.5" customHeight="1">
      <c r="A968" s="17"/>
      <c r="B968" s="12"/>
      <c r="C968" s="12"/>
      <c r="D968" s="17"/>
      <c r="E968" s="17"/>
      <c r="F968" s="12"/>
      <c r="G968" s="17"/>
      <c r="H968" s="12"/>
      <c r="I968" s="12"/>
      <c r="J968" s="12"/>
      <c r="K968" s="12"/>
      <c r="L968" s="12"/>
      <c r="M968" s="12"/>
      <c r="N968" s="12"/>
      <c r="O968" s="12"/>
    </row>
    <row r="969" ht="13.5" customHeight="1">
      <c r="A969" s="17"/>
      <c r="B969" s="12"/>
      <c r="C969" s="12"/>
      <c r="D969" s="17"/>
      <c r="E969" s="17"/>
      <c r="F969" s="12"/>
      <c r="G969" s="17"/>
      <c r="H969" s="12"/>
      <c r="I969" s="12"/>
      <c r="J969" s="12"/>
      <c r="K969" s="12"/>
      <c r="L969" s="12"/>
      <c r="M969" s="12"/>
      <c r="N969" s="12"/>
      <c r="O969" s="12"/>
    </row>
    <row r="970" ht="13.5" customHeight="1">
      <c r="A970" s="17"/>
      <c r="B970" s="12"/>
      <c r="C970" s="12"/>
      <c r="D970" s="17"/>
      <c r="E970" s="17"/>
      <c r="F970" s="12"/>
      <c r="G970" s="17"/>
      <c r="H970" s="12"/>
      <c r="I970" s="12"/>
      <c r="J970" s="12"/>
      <c r="K970" s="12"/>
      <c r="L970" s="12"/>
      <c r="M970" s="12"/>
      <c r="N970" s="12"/>
      <c r="O970" s="12"/>
    </row>
    <row r="971" ht="13.5" customHeight="1">
      <c r="A971" s="17"/>
      <c r="B971" s="12"/>
      <c r="C971" s="12"/>
      <c r="D971" s="17"/>
      <c r="E971" s="17"/>
      <c r="F971" s="12"/>
      <c r="G971" s="17"/>
      <c r="H971" s="12"/>
      <c r="I971" s="12"/>
      <c r="J971" s="12"/>
      <c r="K971" s="12"/>
      <c r="L971" s="12"/>
      <c r="M971" s="12"/>
      <c r="N971" s="12"/>
      <c r="O971" s="12"/>
    </row>
    <row r="972" ht="13.5" customHeight="1">
      <c r="A972" s="17"/>
      <c r="B972" s="12"/>
      <c r="C972" s="12"/>
      <c r="D972" s="17"/>
      <c r="E972" s="17"/>
      <c r="F972" s="12"/>
      <c r="G972" s="17"/>
      <c r="H972" s="12"/>
      <c r="I972" s="12"/>
      <c r="J972" s="12"/>
      <c r="K972" s="12"/>
      <c r="L972" s="12"/>
      <c r="M972" s="12"/>
      <c r="N972" s="12"/>
      <c r="O972" s="12"/>
    </row>
    <row r="973" ht="13.5" customHeight="1">
      <c r="A973" s="17"/>
      <c r="B973" s="12"/>
      <c r="C973" s="12"/>
      <c r="D973" s="17"/>
      <c r="E973" s="17"/>
      <c r="F973" s="12"/>
      <c r="G973" s="17"/>
      <c r="H973" s="12"/>
      <c r="I973" s="12"/>
      <c r="J973" s="12"/>
      <c r="K973" s="12"/>
      <c r="L973" s="12"/>
      <c r="M973" s="12"/>
      <c r="N973" s="12"/>
      <c r="O973" s="12"/>
    </row>
    <row r="974" ht="13.5" customHeight="1">
      <c r="A974" s="17"/>
      <c r="B974" s="12"/>
      <c r="C974" s="12"/>
      <c r="D974" s="17"/>
      <c r="E974" s="17"/>
      <c r="F974" s="12"/>
      <c r="G974" s="17"/>
      <c r="H974" s="12"/>
      <c r="I974" s="12"/>
      <c r="J974" s="12"/>
      <c r="K974" s="12"/>
      <c r="L974" s="12"/>
      <c r="M974" s="12"/>
      <c r="N974" s="12"/>
      <c r="O974" s="12"/>
    </row>
    <row r="975" ht="13.5" customHeight="1">
      <c r="A975" s="17"/>
      <c r="B975" s="12"/>
      <c r="C975" s="12"/>
      <c r="D975" s="17"/>
      <c r="E975" s="17"/>
      <c r="F975" s="12"/>
      <c r="G975" s="17"/>
      <c r="H975" s="12"/>
      <c r="I975" s="12"/>
      <c r="J975" s="12"/>
      <c r="K975" s="12"/>
      <c r="L975" s="12"/>
      <c r="M975" s="12"/>
      <c r="N975" s="12"/>
      <c r="O975" s="12"/>
    </row>
    <row r="976" ht="13.5" customHeight="1">
      <c r="A976" s="17"/>
      <c r="B976" s="12"/>
      <c r="C976" s="12"/>
      <c r="D976" s="17"/>
      <c r="E976" s="17"/>
      <c r="F976" s="12"/>
      <c r="G976" s="17"/>
      <c r="H976" s="12"/>
      <c r="I976" s="12"/>
      <c r="J976" s="12"/>
      <c r="K976" s="12"/>
      <c r="L976" s="12"/>
      <c r="M976" s="12"/>
      <c r="N976" s="12"/>
      <c r="O976" s="12"/>
    </row>
    <row r="977" ht="13.5" customHeight="1">
      <c r="A977" s="17"/>
      <c r="B977" s="12"/>
      <c r="C977" s="12"/>
      <c r="D977" s="17"/>
      <c r="E977" s="17"/>
      <c r="F977" s="12"/>
      <c r="G977" s="17"/>
      <c r="H977" s="12"/>
      <c r="I977" s="12"/>
      <c r="J977" s="12"/>
      <c r="K977" s="12"/>
      <c r="L977" s="12"/>
      <c r="M977" s="12"/>
      <c r="N977" s="12"/>
      <c r="O977" s="12"/>
    </row>
    <row r="978" ht="13.5" customHeight="1">
      <c r="A978" s="17"/>
      <c r="B978" s="12"/>
      <c r="C978" s="12"/>
      <c r="D978" s="17"/>
      <c r="E978" s="17"/>
      <c r="F978" s="12"/>
      <c r="G978" s="17"/>
      <c r="H978" s="12"/>
      <c r="I978" s="12"/>
      <c r="J978" s="12"/>
      <c r="K978" s="12"/>
      <c r="L978" s="12"/>
      <c r="M978" s="12"/>
      <c r="N978" s="12"/>
      <c r="O978" s="12"/>
    </row>
    <row r="979" ht="13.5" customHeight="1">
      <c r="A979" s="17"/>
      <c r="B979" s="12"/>
      <c r="C979" s="12"/>
      <c r="D979" s="17"/>
      <c r="E979" s="17"/>
      <c r="F979" s="12"/>
      <c r="G979" s="17"/>
      <c r="H979" s="12"/>
      <c r="I979" s="12"/>
      <c r="J979" s="12"/>
      <c r="K979" s="12"/>
      <c r="L979" s="12"/>
      <c r="M979" s="12"/>
      <c r="N979" s="12"/>
      <c r="O979" s="12"/>
    </row>
    <row r="980" ht="13.5" customHeight="1">
      <c r="A980" s="17"/>
      <c r="B980" s="12"/>
      <c r="C980" s="12"/>
      <c r="D980" s="17"/>
      <c r="E980" s="17"/>
      <c r="F980" s="12"/>
      <c r="G980" s="17"/>
      <c r="H980" s="12"/>
      <c r="I980" s="12"/>
      <c r="J980" s="12"/>
      <c r="K980" s="12"/>
      <c r="L980" s="12"/>
      <c r="M980" s="12"/>
      <c r="N980" s="12"/>
      <c r="O980" s="12"/>
    </row>
    <row r="981" ht="13.5" customHeight="1">
      <c r="A981" s="17"/>
      <c r="B981" s="12"/>
      <c r="C981" s="12"/>
      <c r="D981" s="17"/>
      <c r="E981" s="17"/>
      <c r="F981" s="12"/>
      <c r="G981" s="17"/>
      <c r="H981" s="12"/>
      <c r="I981" s="12"/>
      <c r="J981" s="12"/>
      <c r="K981" s="12"/>
      <c r="L981" s="12"/>
      <c r="M981" s="12"/>
      <c r="N981" s="12"/>
      <c r="O981" s="12"/>
    </row>
    <row r="982" ht="13.5" customHeight="1">
      <c r="A982" s="17"/>
      <c r="B982" s="12"/>
      <c r="C982" s="12"/>
      <c r="D982" s="17"/>
      <c r="E982" s="17"/>
      <c r="F982" s="12"/>
      <c r="G982" s="17"/>
      <c r="H982" s="12"/>
      <c r="I982" s="12"/>
      <c r="J982" s="12"/>
      <c r="K982" s="12"/>
      <c r="L982" s="12"/>
      <c r="M982" s="12"/>
      <c r="N982" s="12"/>
      <c r="O982" s="12"/>
    </row>
    <row r="983" ht="13.5" customHeight="1">
      <c r="A983" s="17"/>
      <c r="B983" s="12"/>
      <c r="C983" s="12"/>
      <c r="D983" s="17"/>
      <c r="E983" s="17"/>
      <c r="F983" s="12"/>
      <c r="G983" s="17"/>
      <c r="H983" s="12"/>
      <c r="I983" s="12"/>
      <c r="J983" s="12"/>
      <c r="K983" s="12"/>
      <c r="L983" s="12"/>
      <c r="M983" s="12"/>
      <c r="N983" s="12"/>
      <c r="O983" s="12"/>
    </row>
    <row r="984" ht="13.5" customHeight="1">
      <c r="A984" s="17"/>
      <c r="B984" s="12"/>
      <c r="C984" s="12"/>
      <c r="D984" s="17"/>
      <c r="E984" s="17"/>
      <c r="F984" s="12"/>
      <c r="G984" s="17"/>
      <c r="H984" s="12"/>
      <c r="I984" s="12"/>
      <c r="J984" s="12"/>
      <c r="K984" s="12"/>
      <c r="L984" s="12"/>
      <c r="M984" s="12"/>
      <c r="N984" s="12"/>
      <c r="O984" s="12"/>
    </row>
    <row r="985" ht="13.5" customHeight="1">
      <c r="A985" s="17"/>
      <c r="B985" s="12"/>
      <c r="C985" s="12"/>
      <c r="D985" s="17"/>
      <c r="E985" s="17"/>
      <c r="F985" s="12"/>
      <c r="G985" s="17"/>
      <c r="H985" s="12"/>
      <c r="I985" s="12"/>
      <c r="J985" s="12"/>
      <c r="K985" s="12"/>
      <c r="L985" s="12"/>
      <c r="M985" s="12"/>
      <c r="N985" s="12"/>
      <c r="O985" s="12"/>
    </row>
    <row r="986" ht="13.5" customHeight="1">
      <c r="A986" s="17"/>
      <c r="B986" s="12"/>
      <c r="C986" s="12"/>
      <c r="D986" s="17"/>
      <c r="E986" s="17"/>
      <c r="F986" s="12"/>
      <c r="G986" s="17"/>
      <c r="H986" s="12"/>
      <c r="I986" s="12"/>
      <c r="J986" s="12"/>
      <c r="K986" s="12"/>
      <c r="L986" s="12"/>
      <c r="M986" s="12"/>
      <c r="N986" s="12"/>
      <c r="O986" s="12"/>
    </row>
    <row r="987" ht="13.5" customHeight="1">
      <c r="A987" s="17"/>
      <c r="B987" s="12"/>
      <c r="C987" s="12"/>
      <c r="D987" s="17"/>
      <c r="E987" s="17"/>
      <c r="F987" s="12"/>
      <c r="G987" s="17"/>
      <c r="H987" s="12"/>
      <c r="I987" s="12"/>
      <c r="J987" s="12"/>
      <c r="K987" s="12"/>
      <c r="L987" s="12"/>
      <c r="M987" s="12"/>
      <c r="N987" s="12"/>
      <c r="O987" s="12"/>
    </row>
    <row r="988" ht="13.5" customHeight="1">
      <c r="A988" s="17"/>
      <c r="B988" s="12"/>
      <c r="C988" s="12"/>
      <c r="D988" s="17"/>
      <c r="E988" s="17"/>
      <c r="F988" s="12"/>
      <c r="G988" s="17"/>
      <c r="H988" s="12"/>
      <c r="I988" s="12"/>
      <c r="J988" s="12"/>
      <c r="K988" s="12"/>
      <c r="L988" s="12"/>
      <c r="M988" s="12"/>
      <c r="N988" s="12"/>
      <c r="O988" s="12"/>
    </row>
    <row r="989" ht="13.5" customHeight="1">
      <c r="A989" s="17"/>
      <c r="B989" s="12"/>
      <c r="C989" s="12"/>
      <c r="D989" s="17"/>
      <c r="E989" s="17"/>
      <c r="F989" s="12"/>
      <c r="G989" s="17"/>
      <c r="H989" s="12"/>
      <c r="I989" s="12"/>
      <c r="J989" s="12"/>
      <c r="K989" s="12"/>
      <c r="L989" s="12"/>
      <c r="M989" s="12"/>
      <c r="N989" s="12"/>
      <c r="O989" s="12"/>
    </row>
    <row r="990" ht="13.5" customHeight="1">
      <c r="A990" s="17"/>
      <c r="B990" s="12"/>
      <c r="C990" s="12"/>
      <c r="D990" s="17"/>
      <c r="E990" s="17"/>
      <c r="F990" s="12"/>
      <c r="G990" s="17"/>
      <c r="H990" s="12"/>
      <c r="I990" s="12"/>
      <c r="J990" s="12"/>
      <c r="K990" s="12"/>
      <c r="L990" s="12"/>
      <c r="M990" s="12"/>
      <c r="N990" s="12"/>
      <c r="O990" s="12"/>
    </row>
    <row r="991" ht="13.5" customHeight="1">
      <c r="A991" s="17"/>
      <c r="B991" s="12"/>
      <c r="C991" s="12"/>
      <c r="D991" s="17"/>
      <c r="E991" s="17"/>
      <c r="F991" s="12"/>
      <c r="G991" s="17"/>
      <c r="H991" s="12"/>
      <c r="I991" s="12"/>
      <c r="J991" s="12"/>
      <c r="K991" s="12"/>
      <c r="L991" s="12"/>
      <c r="M991" s="12"/>
      <c r="N991" s="12"/>
      <c r="O991" s="12"/>
    </row>
    <row r="992" ht="13.5" customHeight="1">
      <c r="A992" s="17"/>
      <c r="B992" s="12"/>
      <c r="C992" s="12"/>
      <c r="D992" s="17"/>
      <c r="E992" s="17"/>
      <c r="F992" s="12"/>
      <c r="G992" s="17"/>
      <c r="H992" s="12"/>
      <c r="I992" s="12"/>
      <c r="J992" s="12"/>
      <c r="K992" s="12"/>
      <c r="L992" s="12"/>
      <c r="M992" s="12"/>
      <c r="N992" s="12"/>
      <c r="O992" s="12"/>
    </row>
    <row r="993" ht="13.5" customHeight="1">
      <c r="A993" s="17"/>
      <c r="B993" s="12"/>
      <c r="C993" s="12"/>
      <c r="D993" s="17"/>
      <c r="E993" s="17"/>
      <c r="F993" s="12"/>
      <c r="G993" s="17"/>
      <c r="H993" s="12"/>
      <c r="I993" s="12"/>
      <c r="J993" s="12"/>
      <c r="K993" s="12"/>
      <c r="L993" s="12"/>
      <c r="M993" s="12"/>
      <c r="N993" s="12"/>
      <c r="O993" s="12"/>
    </row>
    <row r="994" ht="13.5" customHeight="1">
      <c r="A994" s="17"/>
      <c r="B994" s="12"/>
      <c r="C994" s="12"/>
      <c r="D994" s="17"/>
      <c r="E994" s="17"/>
      <c r="F994" s="12"/>
      <c r="G994" s="17"/>
      <c r="H994" s="12"/>
      <c r="I994" s="12"/>
      <c r="J994" s="12"/>
      <c r="K994" s="12"/>
      <c r="L994" s="12"/>
      <c r="M994" s="12"/>
      <c r="N994" s="12"/>
      <c r="O994" s="12"/>
    </row>
    <row r="995" ht="13.5" customHeight="1">
      <c r="A995" s="17"/>
      <c r="B995" s="12"/>
      <c r="C995" s="12"/>
      <c r="D995" s="17"/>
      <c r="E995" s="17"/>
      <c r="F995" s="12"/>
      <c r="G995" s="17"/>
      <c r="H995" s="12"/>
      <c r="I995" s="12"/>
      <c r="J995" s="12"/>
      <c r="K995" s="12"/>
      <c r="L995" s="12"/>
      <c r="M995" s="12"/>
      <c r="N995" s="12"/>
      <c r="O995" s="12"/>
    </row>
    <row r="996" ht="13.5" customHeight="1">
      <c r="A996" s="17"/>
      <c r="B996" s="12"/>
      <c r="C996" s="12"/>
      <c r="D996" s="17"/>
      <c r="E996" s="17"/>
      <c r="F996" s="12"/>
      <c r="G996" s="17"/>
      <c r="H996" s="12"/>
      <c r="I996" s="12"/>
      <c r="J996" s="12"/>
      <c r="K996" s="12"/>
      <c r="L996" s="12"/>
      <c r="M996" s="12"/>
      <c r="N996" s="12"/>
      <c r="O996" s="12"/>
    </row>
  </sheetData>
  <autoFilter ref="$A$1:$O$996"/>
  <customSheetViews>
    <customSheetView guid="{029C2313-9411-4E27-907A-EFD996D6C4E5}" filter="1" showAutoFilter="1">
      <autoFilter ref="$F$1:$O$996">
        <filterColumn colId="0">
          <filters blank="1"/>
        </filterColumn>
      </autoFilter>
    </customSheetView>
    <customSheetView guid="{7E71B5F7-61AF-4C93-AAAA-D905E381EEB1}" filter="1" showAutoFilter="1">
      <autoFilter ref="$F$18"/>
    </customSheetView>
    <customSheetView guid="{3EDA368C-82AF-4F91-99D0-447C6D0C3AC0}" filter="1" showAutoFilter="1">
      <autoFilter ref="$A$1:$I$996"/>
    </customSheetView>
  </customSheetViews>
  <conditionalFormatting sqref="F17 J17:O17">
    <cfRule type="cellIs" dxfId="0" priority="1" operator="equal">
      <formula>"closed"</formula>
    </cfRule>
  </conditionalFormatting>
  <conditionalFormatting sqref="F2:F22 I2:I27 H5">
    <cfRule type="containsText" dxfId="1" priority="2" operator="containsText" text="Open">
      <formula>NOT(ISERROR(SEARCH(("Open"),(F2))))</formula>
    </cfRule>
  </conditionalFormatting>
  <conditionalFormatting sqref="F2:F22 I2:I27 H5">
    <cfRule type="containsText" dxfId="0" priority="3" operator="containsText" text="Closed">
      <formula>NOT(ISERROR(SEARCH(("Closed"),(F2))))</formula>
    </cfRule>
  </conditionalFormatting>
  <conditionalFormatting sqref="F2:F22 I2:I27 H5">
    <cfRule type="containsText" dxfId="3" priority="4" operator="containsText" text="Monitor">
      <formula>NOT(ISERROR(SEARCH(("Monitor"),(F2))))</formula>
    </cfRule>
  </conditionalFormatting>
  <dataValidations>
    <dataValidation type="list" allowBlank="1" sqref="C2:C15">
      <formula1>Option!$E$2:$E$13</formula1>
    </dataValidation>
    <dataValidation type="list" allowBlank="1" sqref="D2:D15">
      <formula1>Option!$D$2:$D$15</formula1>
    </dataValidation>
    <dataValidation type="list" allowBlank="1" sqref="F2:F996">
      <formula1>Option!$F$2:$F$4</formula1>
    </dataValidation>
    <dataValidation type="list" allowBlank="1" sqref="L2:L15">
      <formula1>"1.SCH,2.PCB,3.BOM,4.Parameter,5.SW/ME/RF/ANT/Component/MFG/Vendor,6.No Change"</formula1>
    </dataValidation>
    <dataValidation type="list" allowBlank="1" sqref="B2:B15">
      <formula1>Option!$C$4:$C$13</formula1>
    </dataValidation>
    <dataValidation type="list" allowBlank="1" sqref="E2:E22">
      <formula1>Option!$G$2:$G$5</formula1>
    </dataValidation>
  </dataValidations>
  <drawing r:id="rId4"/>
  <legacyDrawing r:id="rId5"/>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1" max="1" width="11.0"/>
    <col customWidth="1" min="2" max="2" width="9.38"/>
    <col customWidth="1" min="3" max="4" width="12.63"/>
    <col customWidth="1" min="5" max="5" width="11.13"/>
    <col customWidth="1" min="6" max="6" width="10.13"/>
    <col customWidth="1" min="7" max="7" width="104.0"/>
    <col customWidth="1" min="8" max="8" width="13.25"/>
    <col customWidth="1" min="9" max="14" width="14.75"/>
  </cols>
  <sheetData>
    <row r="1" ht="24.0" customHeight="1">
      <c r="A1" s="1" t="s">
        <v>0</v>
      </c>
      <c r="B1" s="1" t="s">
        <v>1</v>
      </c>
      <c r="C1" s="1" t="s">
        <v>2</v>
      </c>
      <c r="D1" s="1" t="s">
        <v>3</v>
      </c>
      <c r="E1" s="1" t="s">
        <v>4</v>
      </c>
      <c r="F1" s="1" t="s">
        <v>5</v>
      </c>
      <c r="G1" s="1" t="s">
        <v>6</v>
      </c>
      <c r="H1" s="1" t="s">
        <v>7</v>
      </c>
      <c r="I1" s="2" t="s">
        <v>8</v>
      </c>
      <c r="J1" s="3" t="s">
        <v>9</v>
      </c>
      <c r="K1" s="4" t="s">
        <v>10</v>
      </c>
      <c r="L1" s="4" t="s">
        <v>11</v>
      </c>
      <c r="M1" s="213"/>
      <c r="N1" s="213"/>
    </row>
    <row r="2" ht="47.25" customHeight="1">
      <c r="A2" s="15">
        <v>42886.0</v>
      </c>
      <c r="B2" s="7" t="s">
        <v>25</v>
      </c>
      <c r="C2" s="9"/>
      <c r="D2" s="9" t="s">
        <v>1189</v>
      </c>
      <c r="E2" s="9" t="s">
        <v>22</v>
      </c>
      <c r="F2" s="7" t="s">
        <v>16</v>
      </c>
      <c r="G2" s="7" t="s">
        <v>1190</v>
      </c>
      <c r="H2" s="10" t="str">
        <f>HYPERLINK("https://docs.google.com/presentation/d/1Ov-ZON6CTM6-BXdt3MfLoy2RzV1dK66npUVf5pRB_Qs/edit#slide=id.p7","here")</f>
        <v>here</v>
      </c>
      <c r="I2" s="18" t="s">
        <v>1191</v>
      </c>
      <c r="J2" s="18"/>
      <c r="K2" s="18"/>
      <c r="L2" s="18"/>
      <c r="M2" s="225"/>
      <c r="N2" s="225"/>
    </row>
    <row r="3" ht="47.25" customHeight="1">
      <c r="A3" s="15">
        <v>42886.0</v>
      </c>
      <c r="B3" s="7" t="s">
        <v>25</v>
      </c>
      <c r="C3" s="9"/>
      <c r="D3" s="9" t="s">
        <v>1189</v>
      </c>
      <c r="E3" s="9" t="s">
        <v>64</v>
      </c>
      <c r="F3" s="7" t="s">
        <v>16</v>
      </c>
      <c r="G3" s="7" t="s">
        <v>1192</v>
      </c>
      <c r="H3" s="10" t="str">
        <f>HYPERLINK("https://docs.google.com/presentation/d/1u8YhbWbyVJaiIvtSXiuJxJKoXbybON_bvARw7FUhMyI/edit#slide=id.p7","here")</f>
        <v>here</v>
      </c>
      <c r="I3" s="18" t="s">
        <v>1182</v>
      </c>
      <c r="J3" s="18"/>
      <c r="K3" s="18"/>
      <c r="L3" s="18"/>
      <c r="M3" s="225"/>
      <c r="N3" s="225"/>
    </row>
    <row r="4" ht="47.25" customHeight="1">
      <c r="A4" s="15">
        <v>42875.0</v>
      </c>
      <c r="B4" s="7" t="s">
        <v>19</v>
      </c>
      <c r="C4" s="9"/>
      <c r="D4" s="9" t="s">
        <v>1189</v>
      </c>
      <c r="E4" s="9" t="s">
        <v>15</v>
      </c>
      <c r="F4" s="7" t="s">
        <v>16</v>
      </c>
      <c r="G4" s="7" t="s">
        <v>1193</v>
      </c>
      <c r="H4" s="10" t="str">
        <f>HYPERLINK("https://docs.google.com/presentation/d/1HkAZUpemlfy4C71Pq2BjSAtUKbVNZ02Ru5S299gEv-w/edit#slide=id.p7","here")</f>
        <v>here</v>
      </c>
      <c r="I4" s="18" t="s">
        <v>1182</v>
      </c>
      <c r="J4" s="18"/>
      <c r="K4" s="18"/>
      <c r="L4" s="18"/>
      <c r="M4" s="225"/>
      <c r="N4" s="225"/>
    </row>
    <row r="5" ht="47.25" customHeight="1">
      <c r="A5" s="15">
        <v>42853.0</v>
      </c>
      <c r="B5" s="7" t="s">
        <v>19</v>
      </c>
      <c r="C5" s="9"/>
      <c r="D5" s="9" t="s">
        <v>1194</v>
      </c>
      <c r="E5" s="9" t="s">
        <v>64</v>
      </c>
      <c r="F5" s="7" t="s">
        <v>16</v>
      </c>
      <c r="G5" s="7" t="s">
        <v>1195</v>
      </c>
      <c r="H5" s="10" t="str">
        <f>HYPERLINK("https://drive.google.com/drive/folders/0B0I-5xttxg9eM0RFa0JwVlFRWjA","here")</f>
        <v>here</v>
      </c>
      <c r="I5" s="18" t="s">
        <v>391</v>
      </c>
      <c r="J5" s="18"/>
      <c r="K5" s="18"/>
      <c r="L5" s="18"/>
      <c r="M5" s="225"/>
      <c r="N5" s="225"/>
    </row>
    <row r="6" ht="47.25" customHeight="1">
      <c r="A6" s="15">
        <v>42853.0</v>
      </c>
      <c r="B6" s="7" t="s">
        <v>19</v>
      </c>
      <c r="C6" s="9"/>
      <c r="D6" s="9" t="s">
        <v>1196</v>
      </c>
      <c r="E6" s="9" t="s">
        <v>22</v>
      </c>
      <c r="F6" s="7" t="s">
        <v>16</v>
      </c>
      <c r="G6" s="7" t="s">
        <v>1197</v>
      </c>
      <c r="H6" s="13" t="s">
        <v>748</v>
      </c>
      <c r="I6" s="18" t="s">
        <v>1182</v>
      </c>
      <c r="J6" s="18"/>
      <c r="K6" s="18"/>
      <c r="L6" s="18"/>
      <c r="M6" s="225"/>
      <c r="N6" s="225"/>
    </row>
    <row r="7" ht="47.25" customHeight="1">
      <c r="A7" s="15">
        <v>42845.0</v>
      </c>
      <c r="B7" s="7" t="s">
        <v>19</v>
      </c>
      <c r="C7" s="9"/>
      <c r="D7" s="9" t="s">
        <v>1189</v>
      </c>
      <c r="E7" s="9" t="s">
        <v>64</v>
      </c>
      <c r="F7" s="7" t="s">
        <v>16</v>
      </c>
      <c r="G7" s="7" t="s">
        <v>1198</v>
      </c>
      <c r="H7" s="10" t="str">
        <f>HYPERLINK("https://docs.google.com/presentation/d/1VqJO7yEuCjWIiuLEKq61bpLjR2TRMlnj1iHPWMlJhOQ/edit#slide=id.p4","here")</f>
        <v>here</v>
      </c>
      <c r="I7" s="18" t="s">
        <v>1199</v>
      </c>
      <c r="J7" s="18"/>
      <c r="K7" s="18"/>
      <c r="L7" s="18"/>
      <c r="M7" s="225"/>
      <c r="N7" s="225"/>
    </row>
    <row r="8" ht="47.25" customHeight="1">
      <c r="A8" s="15">
        <v>42845.0</v>
      </c>
      <c r="B8" s="7" t="s">
        <v>19</v>
      </c>
      <c r="C8" s="9"/>
      <c r="D8" s="9" t="s">
        <v>1189</v>
      </c>
      <c r="E8" s="9" t="s">
        <v>22</v>
      </c>
      <c r="F8" s="7" t="s">
        <v>16</v>
      </c>
      <c r="G8" s="7" t="s">
        <v>1200</v>
      </c>
      <c r="H8" s="10" t="str">
        <f>HYPERLINK("https://docs.google.com/a/motorola.com/presentation/d/1gjJMf8FAmNf24VfOYGHiBLLB55msUI8rGgqcn4shRmw/edit?usp=drive_web","here")</f>
        <v>here</v>
      </c>
      <c r="I8" s="18" t="s">
        <v>381</v>
      </c>
      <c r="J8" s="18"/>
      <c r="K8" s="18"/>
      <c r="L8" s="18"/>
      <c r="M8" s="225"/>
      <c r="N8" s="225"/>
    </row>
    <row r="9" ht="27.75" customHeight="1">
      <c r="A9" s="15">
        <v>42844.0</v>
      </c>
      <c r="B9" s="7" t="s">
        <v>19</v>
      </c>
      <c r="C9" s="9"/>
      <c r="D9" s="9" t="s">
        <v>1189</v>
      </c>
      <c r="E9" s="9" t="s">
        <v>22</v>
      </c>
      <c r="F9" s="7" t="s">
        <v>16</v>
      </c>
      <c r="G9" s="7" t="s">
        <v>1201</v>
      </c>
      <c r="H9" s="10" t="str">
        <f>HYPERLINK("https://docs.google.com/presentation/d/1uNgfuBboE996rb9ExRSqmO6sSipwGnTmAps3PQNs4S0/edit#slide=id.p4","here")</f>
        <v>here</v>
      </c>
      <c r="I9" s="18" t="s">
        <v>381</v>
      </c>
      <c r="J9" s="18"/>
      <c r="K9" s="18"/>
      <c r="L9" s="18"/>
      <c r="M9" s="225"/>
      <c r="N9" s="225"/>
    </row>
    <row r="10" ht="27.75" customHeight="1">
      <c r="A10" s="15">
        <v>42842.0</v>
      </c>
      <c r="B10" s="7" t="s">
        <v>19</v>
      </c>
      <c r="C10" s="9"/>
      <c r="D10" s="9" t="s">
        <v>1189</v>
      </c>
      <c r="E10" s="9" t="s">
        <v>64</v>
      </c>
      <c r="F10" s="7" t="s">
        <v>16</v>
      </c>
      <c r="G10" s="7" t="s">
        <v>1202</v>
      </c>
      <c r="H10" s="10" t="str">
        <f>HYPERLINK("https://docs.google.com/presentation/d/1YdmjFKy23U-IIDDQfqc_rtdBcDfP8HEt0TtdessfV4I/edit","here")</f>
        <v>here</v>
      </c>
      <c r="I10" s="18" t="s">
        <v>381</v>
      </c>
      <c r="J10" s="18"/>
      <c r="K10" s="18"/>
      <c r="L10" s="18"/>
      <c r="M10" s="225"/>
      <c r="N10" s="225"/>
    </row>
    <row r="11" ht="27.75" customHeight="1">
      <c r="A11" s="15">
        <v>42801.0</v>
      </c>
      <c r="B11" s="7" t="s">
        <v>43</v>
      </c>
      <c r="C11" s="9"/>
      <c r="D11" s="9" t="s">
        <v>1189</v>
      </c>
      <c r="E11" s="9" t="s">
        <v>64</v>
      </c>
      <c r="F11" s="7" t="s">
        <v>16</v>
      </c>
      <c r="G11" s="7" t="s">
        <v>1203</v>
      </c>
      <c r="H11" s="10" t="str">
        <f>HYPERLINK("https://docs.google.com/presentation/d/1_FzgrD-atL5soZ-_d2zYY4-UGO_Xl81TILmeeAvBD_I/edit#slide=id.p8","here")</f>
        <v>here</v>
      </c>
      <c r="I11" s="7" t="s">
        <v>1199</v>
      </c>
      <c r="J11" s="7"/>
      <c r="K11" s="7"/>
      <c r="L11" s="7"/>
      <c r="M11" s="300"/>
      <c r="N11" s="300"/>
    </row>
    <row r="12" ht="27.75" customHeight="1">
      <c r="A12" s="15">
        <v>42819.0</v>
      </c>
      <c r="B12" s="7" t="s">
        <v>43</v>
      </c>
      <c r="C12" s="9"/>
      <c r="D12" s="9" t="s">
        <v>1189</v>
      </c>
      <c r="E12" s="9" t="s">
        <v>64</v>
      </c>
      <c r="F12" s="7" t="s">
        <v>16</v>
      </c>
      <c r="G12" s="7" t="s">
        <v>1204</v>
      </c>
      <c r="H12" s="10" t="str">
        <f>HYPERLINK("https://docs.google.com/presentation/d/1VqJO7yEuCjWIiuLEKq61bpLjR2TRMlnj1iHPWMlJhOQ/edit#slide=id.p4","Link")</f>
        <v>Link</v>
      </c>
      <c r="I12" s="7" t="s">
        <v>1199</v>
      </c>
      <c r="J12" s="7"/>
      <c r="K12" s="7"/>
      <c r="L12" s="7"/>
      <c r="M12" s="300"/>
      <c r="N12" s="300"/>
    </row>
    <row r="13" ht="60.75" customHeight="1">
      <c r="A13" s="15">
        <v>42801.0</v>
      </c>
      <c r="B13" s="7" t="s">
        <v>43</v>
      </c>
      <c r="C13" s="9"/>
      <c r="D13" s="9" t="s">
        <v>1189</v>
      </c>
      <c r="E13" s="9" t="s">
        <v>64</v>
      </c>
      <c r="F13" s="7" t="s">
        <v>16</v>
      </c>
      <c r="G13" s="7" t="s">
        <v>1205</v>
      </c>
      <c r="H13" s="10" t="str">
        <f>HYPERLINK("https://drive.google.com/open?id=0B5PRJ-tdvTiwYmR0dXpKX3RZQ3M","here")</f>
        <v>here</v>
      </c>
      <c r="I13" s="7" t="s">
        <v>1199</v>
      </c>
      <c r="J13" s="7"/>
      <c r="K13" s="7"/>
      <c r="L13" s="7"/>
      <c r="M13" s="300"/>
      <c r="N13" s="300"/>
    </row>
    <row r="14" ht="27.75" customHeight="1">
      <c r="A14" s="15">
        <v>42842.0</v>
      </c>
      <c r="B14" s="7" t="s">
        <v>19</v>
      </c>
      <c r="C14" s="9"/>
      <c r="D14" s="9" t="s">
        <v>1189</v>
      </c>
      <c r="E14" s="9" t="s">
        <v>64</v>
      </c>
      <c r="F14" s="7" t="s">
        <v>16</v>
      </c>
      <c r="G14" s="7" t="s">
        <v>1206</v>
      </c>
      <c r="H14" s="10" t="str">
        <f>HYPERLINK("https://docs.google.com/presentation/d/1JQsI7dNSCT_Ns65A3dlcRVZemvVkjbq8l6Yu4kNyaiM/edit#slide=id.p4","here")</f>
        <v>here</v>
      </c>
      <c r="I14" s="18" t="s">
        <v>381</v>
      </c>
      <c r="J14" s="18"/>
      <c r="K14" s="18"/>
      <c r="L14" s="18"/>
      <c r="M14" s="225"/>
      <c r="N14" s="225"/>
    </row>
    <row r="15" ht="27.75" customHeight="1">
      <c r="A15" s="15">
        <v>42838.0</v>
      </c>
      <c r="B15" s="7" t="s">
        <v>19</v>
      </c>
      <c r="C15" s="9"/>
      <c r="D15" s="9" t="s">
        <v>1189</v>
      </c>
      <c r="E15" s="9" t="s">
        <v>64</v>
      </c>
      <c r="F15" s="7" t="s">
        <v>16</v>
      </c>
      <c r="G15" s="7" t="s">
        <v>1207</v>
      </c>
      <c r="H15" s="10" t="str">
        <f>HYPERLINK("https://docs.google.com/presentation/d/1EHUN0ecG7GVQKSz_J4H2UFa_IR3gC9UfI8d2FKZQzYI/edit?ts=58ef102b#slide=id.g2068b69e32_2_0","here")</f>
        <v>here</v>
      </c>
      <c r="I15" s="7" t="s">
        <v>1208</v>
      </c>
      <c r="J15" s="7"/>
      <c r="K15" s="7"/>
      <c r="L15" s="7"/>
      <c r="M15" s="300"/>
      <c r="N15" s="300"/>
    </row>
    <row r="16" ht="32.25" customHeight="1">
      <c r="A16" s="15">
        <v>42809.0</v>
      </c>
      <c r="B16" s="7" t="s">
        <v>43</v>
      </c>
      <c r="C16" s="9"/>
      <c r="D16" s="9" t="s">
        <v>1194</v>
      </c>
      <c r="E16" s="9" t="s">
        <v>64</v>
      </c>
      <c r="F16" s="7" t="s">
        <v>16</v>
      </c>
      <c r="G16" s="7"/>
      <c r="H16" s="10" t="str">
        <f>HYPERLINK("https://docs.google.com/presentation/d/1XXEcbY6TcD8Hyq4r1JwuLvLjUTIbgTOy7hM39ED296Y/edit#slide=id.p4","here")</f>
        <v>here</v>
      </c>
      <c r="I16" s="7" t="s">
        <v>381</v>
      </c>
      <c r="J16" s="7"/>
      <c r="K16" s="7"/>
      <c r="L16" s="7"/>
      <c r="M16" s="300"/>
      <c r="N16" s="300"/>
    </row>
    <row r="17" ht="27.75" customHeight="1">
      <c r="A17" s="15">
        <v>42801.0</v>
      </c>
      <c r="B17" s="7" t="s">
        <v>43</v>
      </c>
      <c r="C17" s="9"/>
      <c r="D17" s="9" t="s">
        <v>1189</v>
      </c>
      <c r="E17" s="9" t="s">
        <v>64</v>
      </c>
      <c r="F17" s="7" t="s">
        <v>16</v>
      </c>
      <c r="G17" s="7" t="s">
        <v>1209</v>
      </c>
      <c r="H17" s="10" t="str">
        <f>HYPERLINK("https://docs.google.com/a/motorola.com/presentation/d/1VqJO7yEuCjWIiuLEKq61bpLjR2TRMlnj1iHPWMlJhOQ/edit?usp=drive_web","here")</f>
        <v>here</v>
      </c>
      <c r="I17" s="7" t="s">
        <v>1199</v>
      </c>
      <c r="J17" s="7"/>
      <c r="K17" s="7"/>
      <c r="L17" s="7"/>
      <c r="M17" s="300"/>
      <c r="N17" s="300"/>
    </row>
    <row r="18" ht="50.25" customHeight="1">
      <c r="A18" s="15">
        <v>42809.0</v>
      </c>
      <c r="B18" s="7" t="s">
        <v>43</v>
      </c>
      <c r="C18" s="9"/>
      <c r="D18" s="9" t="s">
        <v>1194</v>
      </c>
      <c r="E18" s="9" t="s">
        <v>64</v>
      </c>
      <c r="F18" s="7" t="s">
        <v>16</v>
      </c>
      <c r="G18" s="7" t="s">
        <v>1210</v>
      </c>
      <c r="H18" s="10" t="str">
        <f>HYPERLINK("https://docs.google.com/a/motorola.com/presentation/d/1XXEcbY6TcD8Hyq4r1JwuLvLjUTIbgTOy7hM39ED296Y/edit?usp=drive_web","here")</f>
        <v>here</v>
      </c>
      <c r="I18" s="7" t="s">
        <v>381</v>
      </c>
      <c r="J18" s="7"/>
      <c r="K18" s="7"/>
      <c r="L18" s="7"/>
      <c r="M18" s="300"/>
      <c r="N18" s="300"/>
    </row>
    <row r="19" ht="27.75" customHeight="1">
      <c r="A19" s="15">
        <v>42801.0</v>
      </c>
      <c r="B19" s="7" t="s">
        <v>43</v>
      </c>
      <c r="C19" s="9"/>
      <c r="D19" s="9" t="s">
        <v>1211</v>
      </c>
      <c r="E19" s="9" t="s">
        <v>64</v>
      </c>
      <c r="F19" s="7" t="s">
        <v>16</v>
      </c>
      <c r="G19" s="7" t="s">
        <v>1212</v>
      </c>
      <c r="H19" s="10" t="str">
        <f>HYPERLINK("https://drive.google.com/open?id=1QaXNVS7GoitCNAv4hOBpvTax1Oac9ERdZqFYKKLqgbk","here")</f>
        <v>here</v>
      </c>
      <c r="I19" s="7" t="s">
        <v>1199</v>
      </c>
      <c r="J19" s="7"/>
      <c r="K19" s="7"/>
      <c r="L19" s="7"/>
      <c r="M19" s="300"/>
      <c r="N19" s="300"/>
    </row>
    <row r="20" ht="27.75" customHeight="1">
      <c r="A20" s="15">
        <v>42751.0</v>
      </c>
      <c r="B20" s="7" t="s">
        <v>56</v>
      </c>
      <c r="C20" s="9"/>
      <c r="D20" s="9" t="s">
        <v>1211</v>
      </c>
      <c r="E20" s="9" t="s">
        <v>64</v>
      </c>
      <c r="F20" s="7" t="s">
        <v>16</v>
      </c>
      <c r="G20" s="7" t="s">
        <v>1213</v>
      </c>
      <c r="H20" s="13"/>
      <c r="I20" s="7" t="s">
        <v>358</v>
      </c>
      <c r="J20" s="7"/>
      <c r="K20" s="7"/>
      <c r="L20" s="7"/>
      <c r="M20" s="300"/>
      <c r="N20" s="300"/>
    </row>
    <row r="21" ht="27.75" customHeight="1">
      <c r="A21" s="15">
        <v>42751.0</v>
      </c>
      <c r="B21" s="7" t="s">
        <v>56</v>
      </c>
      <c r="C21" s="9"/>
      <c r="D21" s="9" t="s">
        <v>1189</v>
      </c>
      <c r="E21" s="9" t="s">
        <v>64</v>
      </c>
      <c r="F21" s="7" t="s">
        <v>16</v>
      </c>
      <c r="G21" s="7" t="s">
        <v>1214</v>
      </c>
      <c r="H21" s="10" t="str">
        <f>HYPERLINK("https://docs.google.com/presentation/d/1HjAK4ltG2v3LiuenYA3M9P-p5ATu8AgDi14AJ2QiZiA/edit#slide=id.p4","here")</f>
        <v>here</v>
      </c>
      <c r="I21" s="7" t="s">
        <v>1215</v>
      </c>
      <c r="J21" s="7"/>
      <c r="K21" s="7"/>
      <c r="L21" s="7"/>
      <c r="M21" s="300"/>
      <c r="N21" s="300"/>
    </row>
    <row r="22" ht="27.75" customHeight="1">
      <c r="A22" s="15">
        <v>42748.0</v>
      </c>
      <c r="B22" s="7" t="s">
        <v>56</v>
      </c>
      <c r="C22" s="9"/>
      <c r="D22" s="9" t="s">
        <v>1194</v>
      </c>
      <c r="E22" s="9" t="s">
        <v>64</v>
      </c>
      <c r="F22" s="7" t="s">
        <v>16</v>
      </c>
      <c r="G22" s="7" t="s">
        <v>1216</v>
      </c>
      <c r="H22" s="10" t="str">
        <f>HYPERLINK("https://drive.google.com/open?id=0B5PRJ-tdvTiwaWRrazJjVlc2aVk","here")</f>
        <v>here</v>
      </c>
      <c r="I22" s="7" t="s">
        <v>1217</v>
      </c>
      <c r="J22" s="7"/>
      <c r="K22" s="7"/>
      <c r="L22" s="7"/>
      <c r="M22" s="300"/>
      <c r="N22" s="300"/>
    </row>
    <row r="23" ht="27.75" customHeight="1">
      <c r="A23" s="15"/>
      <c r="B23" s="7"/>
      <c r="C23" s="9"/>
      <c r="D23" s="9"/>
      <c r="E23" s="9"/>
      <c r="F23" s="7"/>
      <c r="G23" s="7"/>
      <c r="H23" s="13"/>
      <c r="I23" s="7"/>
      <c r="J23" s="300"/>
      <c r="K23" s="300"/>
      <c r="L23" s="300"/>
      <c r="M23" s="300"/>
      <c r="N23" s="300"/>
    </row>
    <row r="24" ht="27.75" customHeight="1">
      <c r="A24" s="15"/>
      <c r="B24" s="7"/>
      <c r="C24" s="9"/>
      <c r="D24" s="9"/>
      <c r="E24" s="9"/>
      <c r="F24" s="7"/>
      <c r="G24" s="7"/>
      <c r="H24" s="13"/>
      <c r="I24" s="7"/>
      <c r="J24" s="300"/>
      <c r="K24" s="300"/>
      <c r="L24" s="300"/>
      <c r="M24" s="300"/>
      <c r="N24" s="300"/>
    </row>
    <row r="25" ht="27.75" customHeight="1">
      <c r="A25" s="15"/>
      <c r="B25" s="7"/>
      <c r="C25" s="9"/>
      <c r="D25" s="9"/>
      <c r="E25" s="9"/>
      <c r="F25" s="7"/>
      <c r="G25" s="7"/>
      <c r="H25" s="13"/>
      <c r="I25" s="7"/>
      <c r="J25" s="300"/>
      <c r="K25" s="300"/>
      <c r="L25" s="300"/>
      <c r="M25" s="300"/>
      <c r="N25" s="300"/>
    </row>
    <row r="26" ht="27.75" customHeight="1">
      <c r="A26" s="15"/>
      <c r="B26" s="7"/>
      <c r="C26" s="9"/>
      <c r="D26" s="9"/>
      <c r="E26" s="9"/>
      <c r="F26" s="7"/>
      <c r="G26" s="7"/>
      <c r="H26" s="13"/>
      <c r="I26" s="7"/>
      <c r="J26" s="300"/>
      <c r="K26" s="300"/>
      <c r="L26" s="300"/>
      <c r="M26" s="300"/>
      <c r="N26" s="300"/>
    </row>
    <row r="27" ht="27.75" customHeight="1">
      <c r="A27" s="15"/>
      <c r="B27" s="7"/>
      <c r="C27" s="9"/>
      <c r="D27" s="9"/>
      <c r="E27" s="9"/>
      <c r="F27" s="7"/>
      <c r="G27" s="7"/>
      <c r="H27" s="13"/>
      <c r="I27" s="7"/>
      <c r="J27" s="300"/>
      <c r="K27" s="300"/>
      <c r="L27" s="300"/>
      <c r="M27" s="300"/>
      <c r="N27" s="300"/>
    </row>
    <row r="28" ht="27.75" customHeight="1">
      <c r="A28" s="15"/>
      <c r="B28" s="7"/>
      <c r="C28" s="9"/>
      <c r="D28" s="9"/>
      <c r="E28" s="9"/>
      <c r="F28" s="7"/>
      <c r="G28" s="7"/>
      <c r="H28" s="13"/>
      <c r="I28" s="7"/>
      <c r="J28" s="300"/>
      <c r="K28" s="300"/>
      <c r="L28" s="300"/>
      <c r="M28" s="300"/>
      <c r="N28" s="300"/>
    </row>
    <row r="29" ht="27.75" customHeight="1">
      <c r="A29" s="15"/>
      <c r="B29" s="7"/>
      <c r="C29" s="9"/>
      <c r="D29" s="9"/>
      <c r="E29" s="9"/>
      <c r="F29" s="7"/>
      <c r="G29" s="7"/>
      <c r="H29" s="13"/>
      <c r="I29" s="7"/>
      <c r="J29" s="300"/>
      <c r="K29" s="300"/>
      <c r="L29" s="300"/>
      <c r="M29" s="300"/>
      <c r="N29" s="300"/>
    </row>
    <row r="30" ht="27.75" customHeight="1">
      <c r="A30" s="15"/>
      <c r="B30" s="7"/>
      <c r="C30" s="9"/>
      <c r="D30" s="9"/>
      <c r="E30" s="9"/>
      <c r="F30" s="7"/>
      <c r="G30" s="7"/>
      <c r="H30" s="13"/>
      <c r="I30" s="7"/>
      <c r="J30" s="300"/>
      <c r="K30" s="300"/>
      <c r="L30" s="300"/>
      <c r="M30" s="300"/>
      <c r="N30" s="300"/>
    </row>
    <row r="31" ht="27.75" customHeight="1">
      <c r="A31" s="15"/>
      <c r="B31" s="7"/>
      <c r="C31" s="9"/>
      <c r="D31" s="9"/>
      <c r="E31" s="9"/>
      <c r="F31" s="7"/>
      <c r="G31" s="7"/>
      <c r="H31" s="13"/>
      <c r="I31" s="7"/>
      <c r="J31" s="300"/>
      <c r="K31" s="300"/>
      <c r="L31" s="300"/>
      <c r="M31" s="300"/>
      <c r="N31" s="300"/>
    </row>
    <row r="32" ht="27.75" customHeight="1">
      <c r="A32" s="15"/>
      <c r="B32" s="7"/>
      <c r="C32" s="9"/>
      <c r="D32" s="9"/>
      <c r="E32" s="9"/>
      <c r="F32" s="7"/>
      <c r="G32" s="7"/>
      <c r="H32" s="13"/>
      <c r="I32" s="7"/>
      <c r="J32" s="300"/>
      <c r="K32" s="300"/>
      <c r="L32" s="300"/>
      <c r="M32" s="300"/>
      <c r="N32" s="300"/>
    </row>
    <row r="33" ht="27.75" customHeight="1">
      <c r="A33" s="15"/>
      <c r="B33" s="7"/>
      <c r="C33" s="9"/>
      <c r="D33" s="9"/>
      <c r="E33" s="9"/>
      <c r="F33" s="7"/>
      <c r="G33" s="7"/>
      <c r="H33" s="13"/>
      <c r="I33" s="7"/>
      <c r="J33" s="300"/>
      <c r="K33" s="300"/>
      <c r="L33" s="300"/>
      <c r="M33" s="300"/>
      <c r="N33" s="300"/>
    </row>
    <row r="34" ht="25.5" customHeight="1">
      <c r="A34" s="16"/>
      <c r="B34" s="16"/>
      <c r="C34" s="16"/>
      <c r="D34" s="16"/>
      <c r="E34" s="12"/>
      <c r="F34" s="12"/>
      <c r="G34" s="16"/>
      <c r="H34" s="16"/>
      <c r="I34" s="16"/>
      <c r="J34" s="16"/>
      <c r="K34" s="16"/>
      <c r="L34" s="16"/>
      <c r="M34" s="16"/>
      <c r="N34" s="16"/>
    </row>
    <row r="35" ht="25.5" customHeight="1">
      <c r="A35" s="16"/>
      <c r="B35" s="16"/>
      <c r="C35" s="16"/>
      <c r="D35" s="16"/>
      <c r="E35" s="12"/>
      <c r="F35" s="12"/>
      <c r="G35" s="16"/>
      <c r="H35" s="16"/>
      <c r="I35" s="16"/>
      <c r="J35" s="16"/>
      <c r="K35" s="16"/>
      <c r="L35" s="16"/>
      <c r="M35" s="16"/>
      <c r="N35" s="16"/>
    </row>
    <row r="36" ht="25.5" customHeight="1">
      <c r="A36" s="16"/>
      <c r="B36" s="16"/>
      <c r="C36" s="16"/>
      <c r="D36" s="16"/>
      <c r="E36" s="12"/>
      <c r="F36" s="12"/>
      <c r="G36" s="16"/>
      <c r="H36" s="16"/>
      <c r="I36" s="16"/>
      <c r="J36" s="16"/>
      <c r="K36" s="16"/>
      <c r="L36" s="16"/>
      <c r="M36" s="16"/>
      <c r="N36" s="16"/>
    </row>
    <row r="37" ht="25.5" customHeight="1">
      <c r="A37" s="16"/>
      <c r="B37" s="16"/>
      <c r="C37" s="16"/>
      <c r="D37" s="16"/>
      <c r="E37" s="12"/>
      <c r="F37" s="12"/>
      <c r="G37" s="16"/>
      <c r="H37" s="16"/>
      <c r="I37" s="16"/>
      <c r="J37" s="16"/>
      <c r="K37" s="16"/>
      <c r="L37" s="16"/>
      <c r="M37" s="16"/>
      <c r="N37" s="16"/>
    </row>
    <row r="38" ht="25.5" customHeight="1">
      <c r="A38" s="17"/>
      <c r="B38" s="12"/>
      <c r="C38" s="17"/>
      <c r="D38" s="17"/>
      <c r="E38" s="12"/>
      <c r="F38" s="12"/>
      <c r="G38" s="17"/>
      <c r="H38" s="17"/>
      <c r="I38" s="12"/>
      <c r="J38" s="12"/>
      <c r="K38" s="12"/>
      <c r="L38" s="12"/>
      <c r="M38" s="12"/>
      <c r="N38" s="12"/>
    </row>
    <row r="39" ht="25.5" customHeight="1">
      <c r="A39" s="17"/>
      <c r="B39" s="12"/>
      <c r="C39" s="17"/>
      <c r="D39" s="17"/>
      <c r="E39" s="12"/>
      <c r="F39" s="12"/>
      <c r="G39" s="17"/>
      <c r="H39" s="17"/>
      <c r="I39" s="12"/>
      <c r="J39" s="12"/>
      <c r="K39" s="12"/>
      <c r="L39" s="12"/>
      <c r="M39" s="12"/>
      <c r="N39" s="12"/>
    </row>
    <row r="40" ht="25.5" customHeight="1">
      <c r="A40" s="17"/>
      <c r="B40" s="12"/>
      <c r="C40" s="17"/>
      <c r="D40" s="17"/>
      <c r="E40" s="12"/>
      <c r="F40" s="12"/>
      <c r="G40" s="17"/>
      <c r="H40" s="17"/>
      <c r="I40" s="12"/>
      <c r="J40" s="12"/>
      <c r="K40" s="12"/>
      <c r="L40" s="12"/>
      <c r="M40" s="12"/>
      <c r="N40" s="12"/>
    </row>
    <row r="41" ht="25.5" customHeight="1">
      <c r="A41" s="17"/>
      <c r="B41" s="12"/>
      <c r="C41" s="17"/>
      <c r="D41" s="17"/>
      <c r="E41" s="12"/>
      <c r="F41" s="12"/>
      <c r="G41" s="17"/>
      <c r="H41" s="17"/>
      <c r="I41" s="12"/>
      <c r="J41" s="12"/>
      <c r="K41" s="12"/>
      <c r="L41" s="12"/>
      <c r="M41" s="12"/>
      <c r="N41" s="12"/>
    </row>
    <row r="42" ht="25.5" customHeight="1">
      <c r="A42" s="17"/>
      <c r="B42" s="12"/>
      <c r="C42" s="17"/>
      <c r="D42" s="17"/>
      <c r="E42" s="12"/>
      <c r="F42" s="12"/>
      <c r="G42" s="17"/>
      <c r="H42" s="17"/>
      <c r="I42" s="12"/>
      <c r="J42" s="12"/>
      <c r="K42" s="12"/>
      <c r="L42" s="12"/>
      <c r="M42" s="12"/>
      <c r="N42" s="12"/>
    </row>
    <row r="43" ht="25.5" customHeight="1">
      <c r="A43" s="17"/>
      <c r="B43" s="12"/>
      <c r="C43" s="17"/>
      <c r="D43" s="17"/>
      <c r="E43" s="12"/>
      <c r="F43" s="12"/>
      <c r="G43" s="17"/>
      <c r="H43" s="17"/>
      <c r="I43" s="12"/>
      <c r="J43" s="12"/>
      <c r="K43" s="12"/>
      <c r="L43" s="12"/>
      <c r="M43" s="12"/>
      <c r="N43" s="12"/>
    </row>
    <row r="44" ht="25.5" customHeight="1">
      <c r="A44" s="17"/>
      <c r="B44" s="12"/>
      <c r="C44" s="17"/>
      <c r="D44" s="17"/>
      <c r="E44" s="12"/>
      <c r="F44" s="12"/>
      <c r="G44" s="17"/>
      <c r="H44" s="17"/>
      <c r="I44" s="12"/>
      <c r="J44" s="12"/>
      <c r="K44" s="12"/>
      <c r="L44" s="12"/>
      <c r="M44" s="12"/>
      <c r="N44" s="12"/>
    </row>
    <row r="45" ht="25.5" customHeight="1">
      <c r="A45" s="17"/>
      <c r="B45" s="12"/>
      <c r="C45" s="17"/>
      <c r="D45" s="17"/>
      <c r="E45" s="12"/>
      <c r="F45" s="12"/>
      <c r="G45" s="17"/>
      <c r="H45" s="17"/>
      <c r="I45" s="12"/>
      <c r="J45" s="12"/>
      <c r="K45" s="12"/>
      <c r="L45" s="12"/>
      <c r="M45" s="12"/>
      <c r="N45" s="12"/>
    </row>
    <row r="46" ht="25.5" customHeight="1">
      <c r="A46" s="17"/>
      <c r="B46" s="12"/>
      <c r="C46" s="17"/>
      <c r="D46" s="17"/>
      <c r="E46" s="12"/>
      <c r="F46" s="12"/>
      <c r="G46" s="17"/>
      <c r="H46" s="17"/>
      <c r="I46" s="12"/>
      <c r="J46" s="12"/>
      <c r="K46" s="12"/>
      <c r="L46" s="12"/>
      <c r="M46" s="12"/>
      <c r="N46" s="12"/>
    </row>
    <row r="47" ht="25.5" customHeight="1">
      <c r="A47" s="17"/>
      <c r="B47" s="12"/>
      <c r="C47" s="17"/>
      <c r="D47" s="17"/>
      <c r="E47" s="12"/>
      <c r="F47" s="12"/>
      <c r="G47" s="17"/>
      <c r="H47" s="17"/>
      <c r="I47" s="12"/>
      <c r="J47" s="12"/>
      <c r="K47" s="12"/>
      <c r="L47" s="12"/>
      <c r="M47" s="12"/>
      <c r="N47" s="12"/>
    </row>
    <row r="48" ht="25.5" customHeight="1">
      <c r="A48" s="17"/>
      <c r="B48" s="12"/>
      <c r="C48" s="17"/>
      <c r="D48" s="17"/>
      <c r="E48" s="12"/>
      <c r="F48" s="12"/>
      <c r="G48" s="17"/>
      <c r="H48" s="17"/>
      <c r="I48" s="12"/>
      <c r="J48" s="12"/>
      <c r="K48" s="12"/>
      <c r="L48" s="12"/>
      <c r="M48" s="12"/>
      <c r="N48" s="12"/>
    </row>
    <row r="49" ht="25.5" customHeight="1">
      <c r="A49" s="17"/>
      <c r="B49" s="12"/>
      <c r="C49" s="17"/>
      <c r="D49" s="17"/>
      <c r="E49" s="12"/>
      <c r="F49" s="12"/>
      <c r="G49" s="17"/>
      <c r="H49" s="17"/>
      <c r="I49" s="12"/>
      <c r="J49" s="12"/>
      <c r="K49" s="12"/>
      <c r="L49" s="12"/>
      <c r="M49" s="12"/>
      <c r="N49" s="12"/>
    </row>
    <row r="50" ht="25.5" customHeight="1">
      <c r="A50" s="17"/>
      <c r="B50" s="12"/>
      <c r="C50" s="17"/>
      <c r="D50" s="17"/>
      <c r="E50" s="12"/>
      <c r="F50" s="12"/>
      <c r="G50" s="17"/>
      <c r="H50" s="17"/>
      <c r="I50" s="12"/>
      <c r="J50" s="12"/>
      <c r="K50" s="12"/>
      <c r="L50" s="12"/>
      <c r="M50" s="12"/>
      <c r="N50" s="12"/>
    </row>
    <row r="51" ht="25.5" customHeight="1">
      <c r="A51" s="17"/>
      <c r="B51" s="12"/>
      <c r="C51" s="17"/>
      <c r="D51" s="17"/>
      <c r="E51" s="12"/>
      <c r="F51" s="12"/>
      <c r="G51" s="17"/>
      <c r="H51" s="17"/>
      <c r="I51" s="12"/>
      <c r="J51" s="12"/>
      <c r="K51" s="12"/>
      <c r="L51" s="12"/>
      <c r="M51" s="12"/>
      <c r="N51" s="12"/>
    </row>
    <row r="52" ht="25.5" customHeight="1">
      <c r="A52" s="17"/>
      <c r="B52" s="12"/>
      <c r="C52" s="17"/>
      <c r="D52" s="17"/>
      <c r="E52" s="12"/>
      <c r="F52" s="12"/>
      <c r="G52" s="17"/>
      <c r="H52" s="17"/>
      <c r="I52" s="12"/>
      <c r="J52" s="12"/>
      <c r="K52" s="12"/>
      <c r="L52" s="12"/>
      <c r="M52" s="12"/>
      <c r="N52" s="12"/>
    </row>
    <row r="53" ht="25.5" customHeight="1">
      <c r="A53" s="17"/>
      <c r="B53" s="12"/>
      <c r="C53" s="17"/>
      <c r="D53" s="17"/>
      <c r="E53" s="12"/>
      <c r="F53" s="12"/>
      <c r="G53" s="17"/>
      <c r="H53" s="17"/>
      <c r="I53" s="12"/>
      <c r="J53" s="12"/>
      <c r="K53" s="12"/>
      <c r="L53" s="12"/>
      <c r="M53" s="12"/>
      <c r="N53" s="12"/>
    </row>
    <row r="54" ht="25.5" customHeight="1">
      <c r="A54" s="17"/>
      <c r="B54" s="12"/>
      <c r="C54" s="17"/>
      <c r="D54" s="17"/>
      <c r="E54" s="12"/>
      <c r="F54" s="12"/>
      <c r="G54" s="17"/>
      <c r="H54" s="17"/>
      <c r="I54" s="12"/>
      <c r="J54" s="12"/>
      <c r="K54" s="12"/>
      <c r="L54" s="12"/>
      <c r="M54" s="12"/>
      <c r="N54" s="12"/>
    </row>
    <row r="55" ht="25.5" customHeight="1">
      <c r="A55" s="17"/>
      <c r="B55" s="12"/>
      <c r="C55" s="17"/>
      <c r="D55" s="17"/>
      <c r="E55" s="12"/>
      <c r="F55" s="12"/>
      <c r="G55" s="17"/>
      <c r="H55" s="17"/>
      <c r="I55" s="12"/>
      <c r="J55" s="12"/>
      <c r="K55" s="12"/>
      <c r="L55" s="12"/>
      <c r="M55" s="12"/>
      <c r="N55" s="12"/>
    </row>
    <row r="56" ht="25.5" customHeight="1">
      <c r="A56" s="17"/>
      <c r="B56" s="12"/>
      <c r="C56" s="17"/>
      <c r="D56" s="17"/>
      <c r="E56" s="12"/>
      <c r="F56" s="12"/>
      <c r="G56" s="17"/>
      <c r="H56" s="17"/>
      <c r="I56" s="12"/>
      <c r="J56" s="12"/>
      <c r="K56" s="12"/>
      <c r="L56" s="12"/>
      <c r="M56" s="12"/>
      <c r="N56" s="12"/>
    </row>
    <row r="57" ht="25.5" customHeight="1">
      <c r="A57" s="17"/>
      <c r="B57" s="12"/>
      <c r="C57" s="17"/>
      <c r="D57" s="17"/>
      <c r="E57" s="12"/>
      <c r="F57" s="12"/>
      <c r="G57" s="17"/>
      <c r="H57" s="17"/>
      <c r="I57" s="12"/>
      <c r="J57" s="12"/>
      <c r="K57" s="12"/>
      <c r="L57" s="12"/>
      <c r="M57" s="12"/>
      <c r="N57" s="12"/>
    </row>
    <row r="58" ht="25.5" customHeight="1">
      <c r="A58" s="17"/>
      <c r="B58" s="12"/>
      <c r="C58" s="17"/>
      <c r="D58" s="17"/>
      <c r="E58" s="12"/>
      <c r="F58" s="12"/>
      <c r="G58" s="17"/>
      <c r="H58" s="17"/>
      <c r="I58" s="12"/>
      <c r="J58" s="12"/>
      <c r="K58" s="12"/>
      <c r="L58" s="12"/>
      <c r="M58" s="12"/>
      <c r="N58" s="12"/>
    </row>
    <row r="59" ht="25.5" customHeight="1">
      <c r="A59" s="17"/>
      <c r="B59" s="12"/>
      <c r="C59" s="17"/>
      <c r="D59" s="17"/>
      <c r="E59" s="12"/>
      <c r="F59" s="12"/>
      <c r="G59" s="17"/>
      <c r="H59" s="17"/>
      <c r="I59" s="12"/>
      <c r="J59" s="12"/>
      <c r="K59" s="12"/>
      <c r="L59" s="12"/>
      <c r="M59" s="12"/>
      <c r="N59" s="12"/>
    </row>
    <row r="60" ht="25.5" customHeight="1">
      <c r="A60" s="17"/>
      <c r="B60" s="12"/>
      <c r="C60" s="17"/>
      <c r="D60" s="17"/>
      <c r="E60" s="12"/>
      <c r="F60" s="12"/>
      <c r="G60" s="17"/>
      <c r="H60" s="17"/>
      <c r="I60" s="12"/>
      <c r="J60" s="12"/>
      <c r="K60" s="12"/>
      <c r="L60" s="12"/>
      <c r="M60" s="12"/>
      <c r="N60" s="12"/>
    </row>
    <row r="61" ht="25.5" customHeight="1">
      <c r="A61" s="17"/>
      <c r="B61" s="12"/>
      <c r="C61" s="17"/>
      <c r="D61" s="17"/>
      <c r="E61" s="12"/>
      <c r="F61" s="12"/>
      <c r="G61" s="17"/>
      <c r="H61" s="17"/>
      <c r="I61" s="12"/>
      <c r="J61" s="12"/>
      <c r="K61" s="12"/>
      <c r="L61" s="12"/>
      <c r="M61" s="12"/>
      <c r="N61" s="12"/>
    </row>
    <row r="62" ht="25.5" customHeight="1">
      <c r="A62" s="17"/>
      <c r="B62" s="12"/>
      <c r="C62" s="17"/>
      <c r="D62" s="17"/>
      <c r="E62" s="12"/>
      <c r="F62" s="12"/>
      <c r="G62" s="17"/>
      <c r="H62" s="17"/>
      <c r="I62" s="12"/>
      <c r="J62" s="12"/>
      <c r="K62" s="12"/>
      <c r="L62" s="12"/>
      <c r="M62" s="12"/>
      <c r="N62" s="12"/>
    </row>
    <row r="63" ht="25.5" customHeight="1">
      <c r="A63" s="17"/>
      <c r="B63" s="12"/>
      <c r="C63" s="17"/>
      <c r="D63" s="17"/>
      <c r="E63" s="12"/>
      <c r="F63" s="12"/>
      <c r="G63" s="17"/>
      <c r="H63" s="17"/>
      <c r="I63" s="12"/>
      <c r="J63" s="12"/>
      <c r="K63" s="12"/>
      <c r="L63" s="12"/>
      <c r="M63" s="12"/>
      <c r="N63" s="12"/>
    </row>
    <row r="64" ht="25.5" customHeight="1">
      <c r="A64" s="17"/>
      <c r="B64" s="12"/>
      <c r="C64" s="17"/>
      <c r="D64" s="17"/>
      <c r="E64" s="12"/>
      <c r="F64" s="12"/>
      <c r="G64" s="17"/>
      <c r="H64" s="17"/>
      <c r="I64" s="12"/>
      <c r="J64" s="12"/>
      <c r="K64" s="12"/>
      <c r="L64" s="12"/>
      <c r="M64" s="12"/>
      <c r="N64" s="12"/>
    </row>
    <row r="65" ht="25.5" customHeight="1">
      <c r="A65" s="17"/>
      <c r="B65" s="12"/>
      <c r="C65" s="17"/>
      <c r="D65" s="17"/>
      <c r="E65" s="12"/>
      <c r="F65" s="12"/>
      <c r="G65" s="17"/>
      <c r="H65" s="17"/>
      <c r="I65" s="12"/>
      <c r="J65" s="12"/>
      <c r="K65" s="12"/>
      <c r="L65" s="12"/>
      <c r="M65" s="12"/>
      <c r="N65" s="12"/>
    </row>
    <row r="66" ht="25.5" customHeight="1">
      <c r="A66" s="17"/>
      <c r="B66" s="12"/>
      <c r="C66" s="17"/>
      <c r="D66" s="17"/>
      <c r="E66" s="12"/>
      <c r="F66" s="12"/>
      <c r="G66" s="17"/>
      <c r="H66" s="17"/>
      <c r="I66" s="12"/>
      <c r="J66" s="12"/>
      <c r="K66" s="12"/>
      <c r="L66" s="12"/>
      <c r="M66" s="12"/>
      <c r="N66" s="12"/>
    </row>
    <row r="67" ht="25.5" customHeight="1">
      <c r="A67" s="17"/>
      <c r="B67" s="12"/>
      <c r="C67" s="17"/>
      <c r="D67" s="17"/>
      <c r="E67" s="12"/>
      <c r="F67" s="12"/>
      <c r="G67" s="17"/>
      <c r="H67" s="17"/>
      <c r="I67" s="12"/>
      <c r="J67" s="12"/>
      <c r="K67" s="12"/>
      <c r="L67" s="12"/>
      <c r="M67" s="12"/>
      <c r="N67" s="12"/>
    </row>
    <row r="68" ht="25.5" customHeight="1">
      <c r="A68" s="17"/>
      <c r="B68" s="12"/>
      <c r="C68" s="17"/>
      <c r="D68" s="17"/>
      <c r="E68" s="12"/>
      <c r="F68" s="12"/>
      <c r="G68" s="17"/>
      <c r="H68" s="17"/>
      <c r="I68" s="12"/>
      <c r="J68" s="12"/>
      <c r="K68" s="12"/>
      <c r="L68" s="12"/>
      <c r="M68" s="12"/>
      <c r="N68" s="12"/>
    </row>
    <row r="69" ht="25.5" customHeight="1">
      <c r="A69" s="17"/>
      <c r="B69" s="12"/>
      <c r="C69" s="17"/>
      <c r="D69" s="17"/>
      <c r="E69" s="12"/>
      <c r="F69" s="12"/>
      <c r="G69" s="17"/>
      <c r="H69" s="17"/>
      <c r="I69" s="12"/>
      <c r="J69" s="12"/>
      <c r="K69" s="12"/>
      <c r="L69" s="12"/>
      <c r="M69" s="12"/>
      <c r="N69" s="12"/>
    </row>
    <row r="70" ht="25.5" customHeight="1">
      <c r="A70" s="17"/>
      <c r="B70" s="12"/>
      <c r="C70" s="17"/>
      <c r="D70" s="17"/>
      <c r="E70" s="12"/>
      <c r="F70" s="12"/>
      <c r="G70" s="17"/>
      <c r="H70" s="17"/>
      <c r="I70" s="12"/>
      <c r="J70" s="12"/>
      <c r="K70" s="12"/>
      <c r="L70" s="12"/>
      <c r="M70" s="12"/>
      <c r="N70" s="12"/>
    </row>
    <row r="71" ht="25.5" customHeight="1">
      <c r="A71" s="17"/>
      <c r="B71" s="12"/>
      <c r="C71" s="17"/>
      <c r="D71" s="17"/>
      <c r="E71" s="12"/>
      <c r="F71" s="12"/>
      <c r="G71" s="17"/>
      <c r="H71" s="17"/>
      <c r="I71" s="12"/>
      <c r="J71" s="12"/>
      <c r="K71" s="12"/>
      <c r="L71" s="12"/>
      <c r="M71" s="12"/>
      <c r="N71" s="12"/>
    </row>
    <row r="72" ht="25.5" customHeight="1">
      <c r="A72" s="17"/>
      <c r="B72" s="12"/>
      <c r="C72" s="17"/>
      <c r="D72" s="17"/>
      <c r="E72" s="12"/>
      <c r="F72" s="12"/>
      <c r="G72" s="17"/>
      <c r="H72" s="17"/>
      <c r="I72" s="12"/>
      <c r="J72" s="12"/>
      <c r="K72" s="12"/>
      <c r="L72" s="12"/>
      <c r="M72" s="12"/>
      <c r="N72" s="12"/>
    </row>
    <row r="73" ht="25.5" customHeight="1">
      <c r="A73" s="17"/>
      <c r="B73" s="12"/>
      <c r="C73" s="17"/>
      <c r="D73" s="17"/>
      <c r="E73" s="12"/>
      <c r="F73" s="12"/>
      <c r="G73" s="17"/>
      <c r="H73" s="17"/>
      <c r="I73" s="12"/>
      <c r="J73" s="12"/>
      <c r="K73" s="12"/>
      <c r="L73" s="12"/>
      <c r="M73" s="12"/>
      <c r="N73" s="12"/>
    </row>
    <row r="74" ht="25.5" customHeight="1">
      <c r="A74" s="17"/>
      <c r="B74" s="12"/>
      <c r="C74" s="17"/>
      <c r="D74" s="17"/>
      <c r="E74" s="12"/>
      <c r="F74" s="12"/>
      <c r="G74" s="17"/>
      <c r="H74" s="17"/>
      <c r="I74" s="12"/>
      <c r="J74" s="12"/>
      <c r="K74" s="12"/>
      <c r="L74" s="12"/>
      <c r="M74" s="12"/>
      <c r="N74" s="12"/>
    </row>
    <row r="75" ht="25.5" customHeight="1">
      <c r="A75" s="17"/>
      <c r="B75" s="12"/>
      <c r="C75" s="17"/>
      <c r="D75" s="17"/>
      <c r="E75" s="12"/>
      <c r="F75" s="12"/>
      <c r="G75" s="17"/>
      <c r="H75" s="17"/>
      <c r="I75" s="12"/>
      <c r="J75" s="12"/>
      <c r="K75" s="12"/>
      <c r="L75" s="12"/>
      <c r="M75" s="12"/>
      <c r="N75" s="12"/>
    </row>
    <row r="76" ht="25.5" customHeight="1">
      <c r="A76" s="17"/>
      <c r="B76" s="12"/>
      <c r="C76" s="17"/>
      <c r="D76" s="17"/>
      <c r="E76" s="12"/>
      <c r="F76" s="12"/>
      <c r="G76" s="17"/>
      <c r="H76" s="17"/>
      <c r="I76" s="12"/>
      <c r="J76" s="12"/>
      <c r="K76" s="12"/>
      <c r="L76" s="12"/>
      <c r="M76" s="12"/>
      <c r="N76" s="12"/>
    </row>
    <row r="77" ht="25.5" customHeight="1">
      <c r="A77" s="17"/>
      <c r="B77" s="12"/>
      <c r="C77" s="17"/>
      <c r="D77" s="17"/>
      <c r="E77" s="12"/>
      <c r="F77" s="12"/>
      <c r="G77" s="17"/>
      <c r="H77" s="17"/>
      <c r="I77" s="12"/>
      <c r="J77" s="12"/>
      <c r="K77" s="12"/>
      <c r="L77" s="12"/>
      <c r="M77" s="12"/>
      <c r="N77" s="12"/>
    </row>
    <row r="78" ht="25.5" customHeight="1">
      <c r="A78" s="17"/>
      <c r="B78" s="12"/>
      <c r="C78" s="17"/>
      <c r="D78" s="17"/>
      <c r="E78" s="12"/>
      <c r="F78" s="12"/>
      <c r="G78" s="17"/>
      <c r="H78" s="17"/>
      <c r="I78" s="12"/>
      <c r="J78" s="12"/>
      <c r="K78" s="12"/>
      <c r="L78" s="12"/>
      <c r="M78" s="12"/>
      <c r="N78" s="12"/>
    </row>
    <row r="79" ht="25.5" customHeight="1">
      <c r="A79" s="17"/>
      <c r="B79" s="12"/>
      <c r="C79" s="17"/>
      <c r="D79" s="17"/>
      <c r="E79" s="12"/>
      <c r="F79" s="12"/>
      <c r="G79" s="17"/>
      <c r="H79" s="17"/>
      <c r="I79" s="12"/>
      <c r="J79" s="12"/>
      <c r="K79" s="12"/>
      <c r="L79" s="12"/>
      <c r="M79" s="12"/>
      <c r="N79" s="12"/>
    </row>
    <row r="80" ht="25.5" customHeight="1">
      <c r="A80" s="17"/>
      <c r="B80" s="12"/>
      <c r="C80" s="17"/>
      <c r="D80" s="17"/>
      <c r="E80" s="12"/>
      <c r="F80" s="12"/>
      <c r="G80" s="17"/>
      <c r="H80" s="17"/>
      <c r="I80" s="12"/>
      <c r="J80" s="12"/>
      <c r="K80" s="12"/>
      <c r="L80" s="12"/>
      <c r="M80" s="12"/>
      <c r="N80" s="12"/>
    </row>
    <row r="81" ht="25.5" customHeight="1">
      <c r="A81" s="17"/>
      <c r="B81" s="12"/>
      <c r="C81" s="17"/>
      <c r="D81" s="17"/>
      <c r="E81" s="12"/>
      <c r="F81" s="12"/>
      <c r="G81" s="17"/>
      <c r="H81" s="17"/>
      <c r="I81" s="12"/>
      <c r="J81" s="12"/>
      <c r="K81" s="12"/>
      <c r="L81" s="12"/>
      <c r="M81" s="12"/>
      <c r="N81" s="12"/>
    </row>
    <row r="82" ht="25.5" customHeight="1">
      <c r="A82" s="17"/>
      <c r="B82" s="12"/>
      <c r="C82" s="17"/>
      <c r="D82" s="17"/>
      <c r="E82" s="12"/>
      <c r="F82" s="12"/>
      <c r="G82" s="17"/>
      <c r="H82" s="17"/>
      <c r="I82" s="12"/>
      <c r="J82" s="12"/>
      <c r="K82" s="12"/>
      <c r="L82" s="12"/>
      <c r="M82" s="12"/>
      <c r="N82" s="12"/>
    </row>
    <row r="83" ht="25.5" customHeight="1">
      <c r="A83" s="17"/>
      <c r="B83" s="12"/>
      <c r="C83" s="17"/>
      <c r="D83" s="17"/>
      <c r="E83" s="12"/>
      <c r="F83" s="12"/>
      <c r="G83" s="17"/>
      <c r="H83" s="17"/>
      <c r="I83" s="12"/>
      <c r="J83" s="12"/>
      <c r="K83" s="12"/>
      <c r="L83" s="12"/>
      <c r="M83" s="12"/>
      <c r="N83" s="12"/>
    </row>
    <row r="84" ht="13.5" customHeight="1">
      <c r="A84" s="17"/>
      <c r="B84" s="12"/>
      <c r="C84" s="17"/>
      <c r="D84" s="17"/>
      <c r="E84" s="12"/>
      <c r="F84" s="12"/>
      <c r="G84" s="17"/>
      <c r="H84" s="17"/>
      <c r="I84" s="12"/>
      <c r="J84" s="12"/>
      <c r="K84" s="12"/>
      <c r="L84" s="12"/>
      <c r="M84" s="12"/>
      <c r="N84" s="12"/>
    </row>
    <row r="85" ht="13.5" customHeight="1">
      <c r="A85" s="17"/>
      <c r="B85" s="12"/>
      <c r="C85" s="17"/>
      <c r="D85" s="17"/>
      <c r="E85" s="12"/>
      <c r="F85" s="12"/>
      <c r="G85" s="17"/>
      <c r="H85" s="17"/>
      <c r="I85" s="12"/>
      <c r="J85" s="12"/>
      <c r="K85" s="12"/>
      <c r="L85" s="12"/>
      <c r="M85" s="12"/>
      <c r="N85" s="12"/>
    </row>
    <row r="86" ht="13.5" customHeight="1">
      <c r="A86" s="17"/>
      <c r="B86" s="12"/>
      <c r="C86" s="17"/>
      <c r="D86" s="17"/>
      <c r="E86" s="12"/>
      <c r="F86" s="12"/>
      <c r="G86" s="17"/>
      <c r="H86" s="17"/>
      <c r="I86" s="12"/>
      <c r="J86" s="12"/>
      <c r="K86" s="12"/>
      <c r="L86" s="12"/>
      <c r="M86" s="12"/>
      <c r="N86" s="12"/>
    </row>
    <row r="87" ht="13.5" customHeight="1">
      <c r="A87" s="17"/>
      <c r="B87" s="12"/>
      <c r="C87" s="17"/>
      <c r="D87" s="17"/>
      <c r="E87" s="12"/>
      <c r="F87" s="12"/>
      <c r="G87" s="17"/>
      <c r="H87" s="17"/>
      <c r="I87" s="12"/>
      <c r="J87" s="12"/>
      <c r="K87" s="12"/>
      <c r="L87" s="12"/>
      <c r="M87" s="12"/>
      <c r="N87" s="12"/>
    </row>
    <row r="88" ht="13.5" customHeight="1">
      <c r="A88" s="17"/>
      <c r="B88" s="12"/>
      <c r="C88" s="17"/>
      <c r="D88" s="17"/>
      <c r="E88" s="12"/>
      <c r="F88" s="12"/>
      <c r="G88" s="17"/>
      <c r="H88" s="17"/>
      <c r="I88" s="12"/>
      <c r="J88" s="12"/>
      <c r="K88" s="12"/>
      <c r="L88" s="12"/>
      <c r="M88" s="12"/>
      <c r="N88" s="12"/>
    </row>
    <row r="89" ht="13.5" customHeight="1">
      <c r="A89" s="17"/>
      <c r="B89" s="12"/>
      <c r="C89" s="17"/>
      <c r="D89" s="17"/>
      <c r="E89" s="12"/>
      <c r="F89" s="12"/>
      <c r="G89" s="17"/>
      <c r="H89" s="17"/>
      <c r="I89" s="12"/>
      <c r="J89" s="12"/>
      <c r="K89" s="12"/>
      <c r="L89" s="12"/>
      <c r="M89" s="12"/>
      <c r="N89" s="12"/>
    </row>
    <row r="90" ht="13.5" customHeight="1">
      <c r="A90" s="17"/>
      <c r="B90" s="12"/>
      <c r="C90" s="17"/>
      <c r="D90" s="17"/>
      <c r="E90" s="12"/>
      <c r="F90" s="12"/>
      <c r="G90" s="17"/>
      <c r="H90" s="17"/>
      <c r="I90" s="12"/>
      <c r="J90" s="12"/>
      <c r="K90" s="12"/>
      <c r="L90" s="12"/>
      <c r="M90" s="12"/>
      <c r="N90" s="12"/>
    </row>
    <row r="91" ht="13.5" customHeight="1">
      <c r="A91" s="17"/>
      <c r="B91" s="12"/>
      <c r="C91" s="17"/>
      <c r="D91" s="17"/>
      <c r="E91" s="12"/>
      <c r="F91" s="12"/>
      <c r="G91" s="17"/>
      <c r="H91" s="17"/>
      <c r="I91" s="12"/>
      <c r="J91" s="12"/>
      <c r="K91" s="12"/>
      <c r="L91" s="12"/>
      <c r="M91" s="12"/>
      <c r="N91" s="12"/>
    </row>
    <row r="92" ht="13.5" customHeight="1">
      <c r="A92" s="17"/>
      <c r="B92" s="12"/>
      <c r="C92" s="17"/>
      <c r="D92" s="17"/>
      <c r="E92" s="12"/>
      <c r="F92" s="12"/>
      <c r="G92" s="17"/>
      <c r="H92" s="17"/>
      <c r="I92" s="12"/>
      <c r="J92" s="12"/>
      <c r="K92" s="12"/>
      <c r="L92" s="12"/>
      <c r="M92" s="12"/>
      <c r="N92" s="12"/>
    </row>
    <row r="93" ht="13.5" customHeight="1">
      <c r="A93" s="17"/>
      <c r="B93" s="12"/>
      <c r="C93" s="17"/>
      <c r="D93" s="17"/>
      <c r="E93" s="12"/>
      <c r="F93" s="12"/>
      <c r="G93" s="17"/>
      <c r="H93" s="17"/>
      <c r="I93" s="12"/>
      <c r="J93" s="12"/>
      <c r="K93" s="12"/>
      <c r="L93" s="12"/>
      <c r="M93" s="12"/>
      <c r="N93" s="12"/>
    </row>
    <row r="94" ht="13.5" customHeight="1">
      <c r="A94" s="17"/>
      <c r="B94" s="12"/>
      <c r="C94" s="17"/>
      <c r="D94" s="17"/>
      <c r="E94" s="12"/>
      <c r="F94" s="12"/>
      <c r="G94" s="17"/>
      <c r="H94" s="17"/>
      <c r="I94" s="12"/>
      <c r="J94" s="12"/>
      <c r="K94" s="12"/>
      <c r="L94" s="12"/>
      <c r="M94" s="12"/>
      <c r="N94" s="12"/>
    </row>
    <row r="95" ht="13.5" customHeight="1">
      <c r="A95" s="17"/>
      <c r="B95" s="12"/>
      <c r="C95" s="17"/>
      <c r="D95" s="17"/>
      <c r="E95" s="12"/>
      <c r="F95" s="12"/>
      <c r="G95" s="17"/>
      <c r="H95" s="17"/>
      <c r="I95" s="12"/>
      <c r="J95" s="12"/>
      <c r="K95" s="12"/>
      <c r="L95" s="12"/>
      <c r="M95" s="12"/>
      <c r="N95" s="12"/>
    </row>
    <row r="96" ht="13.5" customHeight="1">
      <c r="A96" s="17"/>
      <c r="B96" s="12"/>
      <c r="C96" s="17"/>
      <c r="D96" s="17"/>
      <c r="E96" s="12"/>
      <c r="F96" s="12"/>
      <c r="G96" s="17"/>
      <c r="H96" s="17"/>
      <c r="I96" s="12"/>
      <c r="J96" s="12"/>
      <c r="K96" s="12"/>
      <c r="L96" s="12"/>
      <c r="M96" s="12"/>
      <c r="N96" s="12"/>
    </row>
    <row r="97" ht="13.5" customHeight="1">
      <c r="A97" s="17"/>
      <c r="B97" s="12"/>
      <c r="C97" s="17"/>
      <c r="D97" s="17"/>
      <c r="E97" s="12"/>
      <c r="F97" s="12"/>
      <c r="G97" s="17"/>
      <c r="H97" s="17"/>
      <c r="I97" s="12"/>
      <c r="J97" s="12"/>
      <c r="K97" s="12"/>
      <c r="L97" s="12"/>
      <c r="M97" s="12"/>
      <c r="N97" s="12"/>
    </row>
    <row r="98" ht="13.5" customHeight="1">
      <c r="A98" s="17"/>
      <c r="B98" s="12"/>
      <c r="C98" s="17"/>
      <c r="D98" s="17"/>
      <c r="E98" s="12"/>
      <c r="F98" s="12"/>
      <c r="G98" s="17"/>
      <c r="H98" s="17"/>
      <c r="I98" s="12"/>
      <c r="J98" s="12"/>
      <c r="K98" s="12"/>
      <c r="L98" s="12"/>
      <c r="M98" s="12"/>
      <c r="N98" s="12"/>
    </row>
    <row r="99" ht="13.5" customHeight="1">
      <c r="A99" s="17"/>
      <c r="B99" s="12"/>
      <c r="C99" s="17"/>
      <c r="D99" s="17"/>
      <c r="E99" s="12"/>
      <c r="F99" s="12"/>
      <c r="G99" s="17"/>
      <c r="H99" s="17"/>
      <c r="I99" s="12"/>
      <c r="J99" s="12"/>
      <c r="K99" s="12"/>
      <c r="L99" s="12"/>
      <c r="M99" s="12"/>
      <c r="N99" s="12"/>
    </row>
    <row r="100" ht="13.5" customHeight="1">
      <c r="A100" s="17"/>
      <c r="B100" s="12"/>
      <c r="C100" s="17"/>
      <c r="D100" s="17"/>
      <c r="E100" s="12"/>
      <c r="F100" s="12"/>
      <c r="G100" s="17"/>
      <c r="H100" s="17"/>
      <c r="I100" s="12"/>
      <c r="J100" s="12"/>
      <c r="K100" s="12"/>
      <c r="L100" s="12"/>
      <c r="M100" s="12"/>
      <c r="N100" s="12"/>
    </row>
    <row r="101" ht="13.5" customHeight="1">
      <c r="A101" s="17"/>
      <c r="B101" s="12"/>
      <c r="C101" s="17"/>
      <c r="D101" s="17"/>
      <c r="E101" s="12"/>
      <c r="F101" s="12"/>
      <c r="G101" s="17"/>
      <c r="H101" s="17"/>
      <c r="I101" s="12"/>
      <c r="J101" s="12"/>
      <c r="K101" s="12"/>
      <c r="L101" s="12"/>
      <c r="M101" s="12"/>
      <c r="N101" s="12"/>
    </row>
    <row r="102" ht="13.5" customHeight="1">
      <c r="A102" s="17"/>
      <c r="B102" s="12"/>
      <c r="C102" s="17"/>
      <c r="D102" s="17"/>
      <c r="E102" s="12"/>
      <c r="F102" s="12"/>
      <c r="G102" s="17"/>
      <c r="H102" s="17"/>
      <c r="I102" s="12"/>
      <c r="J102" s="12"/>
      <c r="K102" s="12"/>
      <c r="L102" s="12"/>
      <c r="M102" s="12"/>
      <c r="N102" s="12"/>
    </row>
    <row r="103" ht="13.5" customHeight="1">
      <c r="A103" s="17"/>
      <c r="B103" s="12"/>
      <c r="C103" s="17"/>
      <c r="D103" s="17"/>
      <c r="E103" s="12"/>
      <c r="F103" s="12"/>
      <c r="G103" s="17"/>
      <c r="H103" s="17"/>
      <c r="I103" s="12"/>
      <c r="J103" s="12"/>
      <c r="K103" s="12"/>
      <c r="L103" s="12"/>
      <c r="M103" s="12"/>
      <c r="N103" s="12"/>
    </row>
    <row r="104" ht="13.5" customHeight="1">
      <c r="A104" s="17"/>
      <c r="B104" s="12"/>
      <c r="C104" s="17"/>
      <c r="D104" s="17"/>
      <c r="E104" s="12"/>
      <c r="F104" s="12"/>
      <c r="G104" s="17"/>
      <c r="H104" s="17"/>
      <c r="I104" s="12"/>
      <c r="J104" s="12"/>
      <c r="K104" s="12"/>
      <c r="L104" s="12"/>
      <c r="M104" s="12"/>
      <c r="N104" s="12"/>
    </row>
    <row r="105" ht="13.5" customHeight="1">
      <c r="A105" s="17"/>
      <c r="B105" s="12"/>
      <c r="C105" s="17"/>
      <c r="D105" s="17"/>
      <c r="E105" s="12"/>
      <c r="F105" s="12"/>
      <c r="G105" s="17"/>
      <c r="H105" s="17"/>
      <c r="I105" s="12"/>
      <c r="J105" s="12"/>
      <c r="K105" s="12"/>
      <c r="L105" s="12"/>
      <c r="M105" s="12"/>
      <c r="N105" s="12"/>
    </row>
    <row r="106" ht="13.5" customHeight="1">
      <c r="A106" s="17"/>
      <c r="B106" s="12"/>
      <c r="C106" s="17"/>
      <c r="D106" s="17"/>
      <c r="E106" s="12"/>
      <c r="F106" s="12"/>
      <c r="G106" s="17"/>
      <c r="H106" s="17"/>
      <c r="I106" s="12"/>
      <c r="J106" s="12"/>
      <c r="K106" s="12"/>
      <c r="L106" s="12"/>
      <c r="M106" s="12"/>
      <c r="N106" s="12"/>
    </row>
    <row r="107" ht="13.5" customHeight="1">
      <c r="A107" s="17"/>
      <c r="B107" s="12"/>
      <c r="C107" s="17"/>
      <c r="D107" s="17"/>
      <c r="E107" s="12"/>
      <c r="F107" s="12"/>
      <c r="G107" s="17"/>
      <c r="H107" s="17"/>
      <c r="I107" s="12"/>
      <c r="J107" s="12"/>
      <c r="K107" s="12"/>
      <c r="L107" s="12"/>
      <c r="M107" s="12"/>
      <c r="N107" s="12"/>
    </row>
    <row r="108" ht="13.5" customHeight="1">
      <c r="A108" s="17"/>
      <c r="B108" s="12"/>
      <c r="C108" s="17"/>
      <c r="D108" s="17"/>
      <c r="E108" s="12"/>
      <c r="F108" s="12"/>
      <c r="G108" s="17"/>
      <c r="H108" s="17"/>
      <c r="I108" s="12"/>
      <c r="J108" s="12"/>
      <c r="K108" s="12"/>
      <c r="L108" s="12"/>
      <c r="M108" s="12"/>
      <c r="N108" s="12"/>
    </row>
    <row r="109" ht="13.5" customHeight="1">
      <c r="A109" s="17"/>
      <c r="B109" s="12"/>
      <c r="C109" s="17"/>
      <c r="D109" s="17"/>
      <c r="E109" s="12"/>
      <c r="F109" s="12"/>
      <c r="G109" s="17"/>
      <c r="H109" s="17"/>
      <c r="I109" s="12"/>
      <c r="J109" s="12"/>
      <c r="K109" s="12"/>
      <c r="L109" s="12"/>
      <c r="M109" s="12"/>
      <c r="N109" s="12"/>
    </row>
    <row r="110" ht="13.5" customHeight="1">
      <c r="A110" s="17"/>
      <c r="B110" s="12"/>
      <c r="C110" s="17"/>
      <c r="D110" s="17"/>
      <c r="E110" s="12"/>
      <c r="F110" s="12"/>
      <c r="G110" s="17"/>
      <c r="H110" s="17"/>
      <c r="I110" s="12"/>
      <c r="J110" s="12"/>
      <c r="K110" s="12"/>
      <c r="L110" s="12"/>
      <c r="M110" s="12"/>
      <c r="N110" s="12"/>
    </row>
    <row r="111" ht="13.5" customHeight="1">
      <c r="A111" s="17"/>
      <c r="B111" s="12"/>
      <c r="C111" s="17"/>
      <c r="D111" s="17"/>
      <c r="E111" s="12"/>
      <c r="F111" s="12"/>
      <c r="G111" s="17"/>
      <c r="H111" s="17"/>
      <c r="I111" s="12"/>
      <c r="J111" s="12"/>
      <c r="K111" s="12"/>
      <c r="L111" s="12"/>
      <c r="M111" s="12"/>
      <c r="N111" s="12"/>
    </row>
    <row r="112" ht="13.5" customHeight="1">
      <c r="A112" s="17"/>
      <c r="B112" s="12"/>
      <c r="C112" s="17"/>
      <c r="D112" s="17"/>
      <c r="E112" s="12"/>
      <c r="F112" s="12"/>
      <c r="G112" s="17"/>
      <c r="H112" s="17"/>
      <c r="I112" s="12"/>
      <c r="J112" s="12"/>
      <c r="K112" s="12"/>
      <c r="L112" s="12"/>
      <c r="M112" s="12"/>
      <c r="N112" s="12"/>
    </row>
    <row r="113" ht="13.5" customHeight="1">
      <c r="A113" s="17"/>
      <c r="B113" s="12"/>
      <c r="C113" s="17"/>
      <c r="D113" s="17"/>
      <c r="E113" s="12"/>
      <c r="F113" s="12"/>
      <c r="G113" s="17"/>
      <c r="H113" s="17"/>
      <c r="I113" s="12"/>
      <c r="J113" s="12"/>
      <c r="K113" s="12"/>
      <c r="L113" s="12"/>
      <c r="M113" s="12"/>
      <c r="N113" s="12"/>
    </row>
    <row r="114" ht="13.5" customHeight="1">
      <c r="A114" s="17"/>
      <c r="B114" s="12"/>
      <c r="C114" s="17"/>
      <c r="D114" s="17"/>
      <c r="E114" s="12"/>
      <c r="F114" s="12"/>
      <c r="G114" s="17"/>
      <c r="H114" s="17"/>
      <c r="I114" s="12"/>
      <c r="J114" s="12"/>
      <c r="K114" s="12"/>
      <c r="L114" s="12"/>
      <c r="M114" s="12"/>
      <c r="N114" s="12"/>
    </row>
    <row r="115" ht="13.5" customHeight="1">
      <c r="A115" s="17"/>
      <c r="B115" s="12"/>
      <c r="C115" s="17"/>
      <c r="D115" s="17"/>
      <c r="E115" s="12"/>
      <c r="F115" s="12"/>
      <c r="G115" s="17"/>
      <c r="H115" s="17"/>
      <c r="I115" s="12"/>
      <c r="J115" s="12"/>
      <c r="K115" s="12"/>
      <c r="L115" s="12"/>
      <c r="M115" s="12"/>
      <c r="N115" s="12"/>
    </row>
    <row r="116" ht="13.5" customHeight="1">
      <c r="A116" s="17"/>
      <c r="B116" s="12"/>
      <c r="C116" s="17"/>
      <c r="D116" s="17"/>
      <c r="E116" s="12"/>
      <c r="F116" s="12"/>
      <c r="G116" s="17"/>
      <c r="H116" s="17"/>
      <c r="I116" s="12"/>
      <c r="J116" s="12"/>
      <c r="K116" s="12"/>
      <c r="L116" s="12"/>
      <c r="M116" s="12"/>
      <c r="N116" s="12"/>
    </row>
    <row r="117" ht="13.5" customHeight="1">
      <c r="A117" s="17"/>
      <c r="B117" s="12"/>
      <c r="C117" s="17"/>
      <c r="D117" s="17"/>
      <c r="E117" s="12"/>
      <c r="F117" s="12"/>
      <c r="G117" s="17"/>
      <c r="H117" s="17"/>
      <c r="I117" s="12"/>
      <c r="J117" s="12"/>
      <c r="K117" s="12"/>
      <c r="L117" s="12"/>
      <c r="M117" s="12"/>
      <c r="N117" s="12"/>
    </row>
    <row r="118" ht="13.5" customHeight="1">
      <c r="A118" s="17"/>
      <c r="B118" s="12"/>
      <c r="C118" s="17"/>
      <c r="D118" s="17"/>
      <c r="E118" s="12"/>
      <c r="F118" s="12"/>
      <c r="G118" s="17"/>
      <c r="H118" s="17"/>
      <c r="I118" s="12"/>
      <c r="J118" s="12"/>
      <c r="K118" s="12"/>
      <c r="L118" s="12"/>
      <c r="M118" s="12"/>
      <c r="N118" s="12"/>
    </row>
    <row r="119" ht="13.5" customHeight="1">
      <c r="A119" s="17"/>
      <c r="B119" s="12"/>
      <c r="C119" s="17"/>
      <c r="D119" s="17"/>
      <c r="E119" s="12"/>
      <c r="F119" s="12"/>
      <c r="G119" s="17"/>
      <c r="H119" s="17"/>
      <c r="I119" s="12"/>
      <c r="J119" s="12"/>
      <c r="K119" s="12"/>
      <c r="L119" s="12"/>
      <c r="M119" s="12"/>
      <c r="N119" s="12"/>
    </row>
    <row r="120" ht="13.5" customHeight="1">
      <c r="A120" s="17"/>
      <c r="B120" s="12"/>
      <c r="C120" s="17"/>
      <c r="D120" s="17"/>
      <c r="E120" s="12"/>
      <c r="F120" s="12"/>
      <c r="G120" s="17"/>
      <c r="H120" s="17"/>
      <c r="I120" s="12"/>
      <c r="J120" s="12"/>
      <c r="K120" s="12"/>
      <c r="L120" s="12"/>
      <c r="M120" s="12"/>
      <c r="N120" s="12"/>
    </row>
    <row r="121" ht="13.5" customHeight="1">
      <c r="A121" s="17"/>
      <c r="B121" s="12"/>
      <c r="C121" s="17"/>
      <c r="D121" s="17"/>
      <c r="E121" s="12"/>
      <c r="F121" s="12"/>
      <c r="G121" s="17"/>
      <c r="H121" s="17"/>
      <c r="I121" s="12"/>
      <c r="J121" s="12"/>
      <c r="K121" s="12"/>
      <c r="L121" s="12"/>
      <c r="M121" s="12"/>
      <c r="N121" s="12"/>
    </row>
    <row r="122" ht="13.5" customHeight="1">
      <c r="A122" s="17"/>
      <c r="B122" s="12"/>
      <c r="C122" s="17"/>
      <c r="D122" s="17"/>
      <c r="E122" s="12"/>
      <c r="F122" s="12"/>
      <c r="G122" s="17"/>
      <c r="H122" s="17"/>
      <c r="I122" s="12"/>
      <c r="J122" s="12"/>
      <c r="K122" s="12"/>
      <c r="L122" s="12"/>
      <c r="M122" s="12"/>
      <c r="N122" s="12"/>
    </row>
    <row r="123" ht="13.5" customHeight="1">
      <c r="A123" s="17"/>
      <c r="B123" s="12"/>
      <c r="C123" s="17"/>
      <c r="D123" s="17"/>
      <c r="E123" s="12"/>
      <c r="F123" s="12"/>
      <c r="G123" s="17"/>
      <c r="H123" s="17"/>
      <c r="I123" s="12"/>
      <c r="J123" s="12"/>
      <c r="K123" s="12"/>
      <c r="L123" s="12"/>
      <c r="M123" s="12"/>
      <c r="N123" s="12"/>
    </row>
    <row r="124" ht="13.5" customHeight="1">
      <c r="A124" s="17"/>
      <c r="B124" s="12"/>
      <c r="C124" s="17"/>
      <c r="D124" s="17"/>
      <c r="E124" s="12"/>
      <c r="F124" s="12"/>
      <c r="G124" s="17"/>
      <c r="H124" s="17"/>
      <c r="I124" s="12"/>
      <c r="J124" s="12"/>
      <c r="K124" s="12"/>
      <c r="L124" s="12"/>
      <c r="M124" s="12"/>
      <c r="N124" s="12"/>
    </row>
    <row r="125" ht="13.5" customHeight="1">
      <c r="A125" s="17"/>
      <c r="B125" s="12"/>
      <c r="C125" s="17"/>
      <c r="D125" s="17"/>
      <c r="E125" s="12"/>
      <c r="F125" s="12"/>
      <c r="G125" s="17"/>
      <c r="H125" s="17"/>
      <c r="I125" s="12"/>
      <c r="J125" s="12"/>
      <c r="K125" s="12"/>
      <c r="L125" s="12"/>
      <c r="M125" s="12"/>
      <c r="N125" s="12"/>
    </row>
    <row r="126" ht="13.5" customHeight="1">
      <c r="A126" s="17"/>
      <c r="B126" s="12"/>
      <c r="C126" s="17"/>
      <c r="D126" s="17"/>
      <c r="E126" s="12"/>
      <c r="F126" s="12"/>
      <c r="G126" s="17"/>
      <c r="H126" s="17"/>
      <c r="I126" s="12"/>
      <c r="J126" s="12"/>
      <c r="K126" s="12"/>
      <c r="L126" s="12"/>
      <c r="M126" s="12"/>
      <c r="N126" s="12"/>
    </row>
    <row r="127" ht="13.5" customHeight="1">
      <c r="A127" s="17"/>
      <c r="B127" s="12"/>
      <c r="C127" s="17"/>
      <c r="D127" s="17"/>
      <c r="E127" s="12"/>
      <c r="F127" s="12"/>
      <c r="G127" s="17"/>
      <c r="H127" s="17"/>
      <c r="I127" s="12"/>
      <c r="J127" s="12"/>
      <c r="K127" s="12"/>
      <c r="L127" s="12"/>
      <c r="M127" s="12"/>
      <c r="N127" s="12"/>
    </row>
    <row r="128" ht="13.5" customHeight="1">
      <c r="A128" s="17"/>
      <c r="B128" s="12"/>
      <c r="C128" s="17"/>
      <c r="D128" s="17"/>
      <c r="E128" s="12"/>
      <c r="F128" s="12"/>
      <c r="G128" s="17"/>
      <c r="H128" s="17"/>
      <c r="I128" s="12"/>
      <c r="J128" s="12"/>
      <c r="K128" s="12"/>
      <c r="L128" s="12"/>
      <c r="M128" s="12"/>
      <c r="N128" s="12"/>
    </row>
    <row r="129" ht="13.5" customHeight="1">
      <c r="A129" s="17"/>
      <c r="B129" s="12"/>
      <c r="C129" s="17"/>
      <c r="D129" s="17"/>
      <c r="E129" s="12"/>
      <c r="F129" s="12"/>
      <c r="G129" s="17"/>
      <c r="H129" s="17"/>
      <c r="I129" s="12"/>
      <c r="J129" s="12"/>
      <c r="K129" s="12"/>
      <c r="L129" s="12"/>
      <c r="M129" s="12"/>
      <c r="N129" s="12"/>
    </row>
    <row r="130" ht="13.5" customHeight="1">
      <c r="A130" s="17"/>
      <c r="B130" s="12"/>
      <c r="C130" s="17"/>
      <c r="D130" s="17"/>
      <c r="E130" s="12"/>
      <c r="F130" s="12"/>
      <c r="G130" s="17"/>
      <c r="H130" s="17"/>
      <c r="I130" s="12"/>
      <c r="J130" s="12"/>
      <c r="K130" s="12"/>
      <c r="L130" s="12"/>
      <c r="M130" s="12"/>
      <c r="N130" s="12"/>
    </row>
    <row r="131" ht="13.5" customHeight="1">
      <c r="A131" s="17"/>
      <c r="B131" s="12"/>
      <c r="C131" s="17"/>
      <c r="D131" s="17"/>
      <c r="E131" s="12"/>
      <c r="F131" s="12"/>
      <c r="G131" s="17"/>
      <c r="H131" s="17"/>
      <c r="I131" s="12"/>
      <c r="J131" s="12"/>
      <c r="K131" s="12"/>
      <c r="L131" s="12"/>
      <c r="M131" s="12"/>
      <c r="N131" s="12"/>
    </row>
    <row r="132" ht="13.5" customHeight="1">
      <c r="A132" s="17"/>
      <c r="B132" s="12"/>
      <c r="C132" s="17"/>
      <c r="D132" s="17"/>
      <c r="E132" s="12"/>
      <c r="F132" s="12"/>
      <c r="G132" s="17"/>
      <c r="H132" s="17"/>
      <c r="I132" s="12"/>
      <c r="J132" s="12"/>
      <c r="K132" s="12"/>
      <c r="L132" s="12"/>
      <c r="M132" s="12"/>
      <c r="N132" s="12"/>
    </row>
    <row r="133" ht="13.5" customHeight="1">
      <c r="A133" s="17"/>
      <c r="B133" s="12"/>
      <c r="C133" s="17"/>
      <c r="D133" s="17"/>
      <c r="E133" s="12"/>
      <c r="F133" s="12"/>
      <c r="G133" s="17"/>
      <c r="H133" s="17"/>
      <c r="I133" s="12"/>
      <c r="J133" s="12"/>
      <c r="K133" s="12"/>
      <c r="L133" s="12"/>
      <c r="M133" s="12"/>
      <c r="N133" s="12"/>
    </row>
    <row r="134" ht="13.5" customHeight="1">
      <c r="A134" s="17"/>
      <c r="B134" s="12"/>
      <c r="C134" s="17"/>
      <c r="D134" s="17"/>
      <c r="E134" s="12"/>
      <c r="F134" s="12"/>
      <c r="G134" s="17"/>
      <c r="H134" s="17"/>
      <c r="I134" s="12"/>
      <c r="J134" s="12"/>
      <c r="K134" s="12"/>
      <c r="L134" s="12"/>
      <c r="M134" s="12"/>
      <c r="N134" s="12"/>
    </row>
    <row r="135" ht="13.5" customHeight="1">
      <c r="A135" s="17"/>
      <c r="B135" s="12"/>
      <c r="C135" s="17"/>
      <c r="D135" s="17"/>
      <c r="E135" s="12"/>
      <c r="F135" s="12"/>
      <c r="G135" s="17"/>
      <c r="H135" s="17"/>
      <c r="I135" s="12"/>
      <c r="J135" s="12"/>
      <c r="K135" s="12"/>
      <c r="L135" s="12"/>
      <c r="M135" s="12"/>
      <c r="N135" s="12"/>
    </row>
    <row r="136" ht="13.5" customHeight="1">
      <c r="A136" s="17"/>
      <c r="B136" s="12"/>
      <c r="C136" s="17"/>
      <c r="D136" s="17"/>
      <c r="E136" s="12"/>
      <c r="F136" s="12"/>
      <c r="G136" s="17"/>
      <c r="H136" s="17"/>
      <c r="I136" s="12"/>
      <c r="J136" s="12"/>
      <c r="K136" s="12"/>
      <c r="L136" s="12"/>
      <c r="M136" s="12"/>
      <c r="N136" s="12"/>
    </row>
    <row r="137" ht="13.5" customHeight="1">
      <c r="A137" s="17"/>
      <c r="B137" s="12"/>
      <c r="C137" s="17"/>
      <c r="D137" s="17"/>
      <c r="E137" s="12"/>
      <c r="F137" s="12"/>
      <c r="G137" s="17"/>
      <c r="H137" s="17"/>
      <c r="I137" s="12"/>
      <c r="J137" s="12"/>
      <c r="K137" s="12"/>
      <c r="L137" s="12"/>
      <c r="M137" s="12"/>
      <c r="N137" s="12"/>
    </row>
    <row r="138" ht="13.5" customHeight="1">
      <c r="A138" s="17"/>
      <c r="B138" s="12"/>
      <c r="C138" s="17"/>
      <c r="D138" s="17"/>
      <c r="E138" s="12"/>
      <c r="F138" s="12"/>
      <c r="G138" s="17"/>
      <c r="H138" s="17"/>
      <c r="I138" s="12"/>
      <c r="J138" s="12"/>
      <c r="K138" s="12"/>
      <c r="L138" s="12"/>
      <c r="M138" s="12"/>
      <c r="N138" s="12"/>
    </row>
    <row r="139" ht="13.5" customHeight="1">
      <c r="A139" s="17"/>
      <c r="B139" s="12"/>
      <c r="C139" s="17"/>
      <c r="D139" s="17"/>
      <c r="E139" s="12"/>
      <c r="F139" s="12"/>
      <c r="G139" s="17"/>
      <c r="H139" s="17"/>
      <c r="I139" s="12"/>
      <c r="J139" s="12"/>
      <c r="K139" s="12"/>
      <c r="L139" s="12"/>
      <c r="M139" s="12"/>
      <c r="N139" s="12"/>
    </row>
    <row r="140" ht="13.5" customHeight="1">
      <c r="A140" s="17"/>
      <c r="B140" s="12"/>
      <c r="C140" s="17"/>
      <c r="D140" s="17"/>
      <c r="E140" s="12"/>
      <c r="F140" s="12"/>
      <c r="G140" s="17"/>
      <c r="H140" s="17"/>
      <c r="I140" s="12"/>
      <c r="J140" s="12"/>
      <c r="K140" s="12"/>
      <c r="L140" s="12"/>
      <c r="M140" s="12"/>
      <c r="N140" s="12"/>
    </row>
    <row r="141" ht="13.5" customHeight="1">
      <c r="A141" s="17"/>
      <c r="B141" s="12"/>
      <c r="C141" s="17"/>
      <c r="D141" s="17"/>
      <c r="E141" s="12"/>
      <c r="F141" s="12"/>
      <c r="G141" s="17"/>
      <c r="H141" s="17"/>
      <c r="I141" s="12"/>
      <c r="J141" s="12"/>
      <c r="K141" s="12"/>
      <c r="L141" s="12"/>
      <c r="M141" s="12"/>
      <c r="N141" s="12"/>
    </row>
    <row r="142" ht="13.5" customHeight="1">
      <c r="A142" s="17"/>
      <c r="B142" s="12"/>
      <c r="C142" s="17"/>
      <c r="D142" s="17"/>
      <c r="E142" s="12"/>
      <c r="F142" s="12"/>
      <c r="G142" s="17"/>
      <c r="H142" s="17"/>
      <c r="I142" s="12"/>
      <c r="J142" s="12"/>
      <c r="K142" s="12"/>
      <c r="L142" s="12"/>
      <c r="M142" s="12"/>
      <c r="N142" s="12"/>
    </row>
    <row r="143" ht="13.5" customHeight="1">
      <c r="A143" s="17"/>
      <c r="B143" s="12"/>
      <c r="C143" s="17"/>
      <c r="D143" s="17"/>
      <c r="E143" s="12"/>
      <c r="F143" s="12"/>
      <c r="G143" s="17"/>
      <c r="H143" s="17"/>
      <c r="I143" s="12"/>
      <c r="J143" s="12"/>
      <c r="K143" s="12"/>
      <c r="L143" s="12"/>
      <c r="M143" s="12"/>
      <c r="N143" s="12"/>
    </row>
    <row r="144" ht="13.5" customHeight="1">
      <c r="A144" s="17"/>
      <c r="B144" s="12"/>
      <c r="C144" s="17"/>
      <c r="D144" s="17"/>
      <c r="E144" s="12"/>
      <c r="F144" s="12"/>
      <c r="G144" s="17"/>
      <c r="H144" s="17"/>
      <c r="I144" s="12"/>
      <c r="J144" s="12"/>
      <c r="K144" s="12"/>
      <c r="L144" s="12"/>
      <c r="M144" s="12"/>
      <c r="N144" s="12"/>
    </row>
    <row r="145" ht="13.5" customHeight="1">
      <c r="A145" s="17"/>
      <c r="B145" s="12"/>
      <c r="C145" s="17"/>
      <c r="D145" s="17"/>
      <c r="E145" s="12"/>
      <c r="F145" s="12"/>
      <c r="G145" s="17"/>
      <c r="H145" s="17"/>
      <c r="I145" s="12"/>
      <c r="J145" s="12"/>
      <c r="K145" s="12"/>
      <c r="L145" s="12"/>
      <c r="M145" s="12"/>
      <c r="N145" s="12"/>
    </row>
    <row r="146" ht="13.5" customHeight="1">
      <c r="A146" s="17"/>
      <c r="B146" s="12"/>
      <c r="C146" s="17"/>
      <c r="D146" s="17"/>
      <c r="E146" s="12"/>
      <c r="F146" s="12"/>
      <c r="G146" s="17"/>
      <c r="H146" s="17"/>
      <c r="I146" s="12"/>
      <c r="J146" s="12"/>
      <c r="K146" s="12"/>
      <c r="L146" s="12"/>
      <c r="M146" s="12"/>
      <c r="N146" s="12"/>
    </row>
    <row r="147" ht="13.5" customHeight="1">
      <c r="A147" s="17"/>
      <c r="B147" s="12"/>
      <c r="C147" s="17"/>
      <c r="D147" s="17"/>
      <c r="E147" s="12"/>
      <c r="F147" s="12"/>
      <c r="G147" s="17"/>
      <c r="H147" s="17"/>
      <c r="I147" s="12"/>
      <c r="J147" s="12"/>
      <c r="K147" s="12"/>
      <c r="L147" s="12"/>
      <c r="M147" s="12"/>
      <c r="N147" s="12"/>
    </row>
    <row r="148" ht="13.5" customHeight="1">
      <c r="A148" s="17"/>
      <c r="B148" s="12"/>
      <c r="C148" s="17"/>
      <c r="D148" s="17"/>
      <c r="E148" s="12"/>
      <c r="F148" s="12"/>
      <c r="G148" s="17"/>
      <c r="H148" s="17"/>
      <c r="I148" s="12"/>
      <c r="J148" s="12"/>
      <c r="K148" s="12"/>
      <c r="L148" s="12"/>
      <c r="M148" s="12"/>
      <c r="N148" s="12"/>
    </row>
    <row r="149" ht="13.5" customHeight="1">
      <c r="A149" s="17"/>
      <c r="B149" s="12"/>
      <c r="C149" s="17"/>
      <c r="D149" s="17"/>
      <c r="E149" s="12"/>
      <c r="F149" s="12"/>
      <c r="G149" s="17"/>
      <c r="H149" s="17"/>
      <c r="I149" s="12"/>
      <c r="J149" s="12"/>
      <c r="K149" s="12"/>
      <c r="L149" s="12"/>
      <c r="M149" s="12"/>
      <c r="N149" s="12"/>
    </row>
    <row r="150" ht="13.5" customHeight="1">
      <c r="A150" s="17"/>
      <c r="B150" s="12"/>
      <c r="C150" s="17"/>
      <c r="D150" s="17"/>
      <c r="E150" s="12"/>
      <c r="F150" s="12"/>
      <c r="G150" s="17"/>
      <c r="H150" s="17"/>
      <c r="I150" s="12"/>
      <c r="J150" s="12"/>
      <c r="K150" s="12"/>
      <c r="L150" s="12"/>
      <c r="M150" s="12"/>
      <c r="N150" s="12"/>
    </row>
    <row r="151" ht="13.5" customHeight="1">
      <c r="A151" s="17"/>
      <c r="B151" s="12"/>
      <c r="C151" s="17"/>
      <c r="D151" s="17"/>
      <c r="E151" s="12"/>
      <c r="F151" s="12"/>
      <c r="G151" s="17"/>
      <c r="H151" s="17"/>
      <c r="I151" s="12"/>
      <c r="J151" s="12"/>
      <c r="K151" s="12"/>
      <c r="L151" s="12"/>
      <c r="M151" s="12"/>
      <c r="N151" s="12"/>
    </row>
    <row r="152" ht="13.5" customHeight="1">
      <c r="A152" s="17"/>
      <c r="B152" s="12"/>
      <c r="C152" s="17"/>
      <c r="D152" s="17"/>
      <c r="E152" s="12"/>
      <c r="F152" s="12"/>
      <c r="G152" s="17"/>
      <c r="H152" s="17"/>
      <c r="I152" s="12"/>
      <c r="J152" s="12"/>
      <c r="K152" s="12"/>
      <c r="L152" s="12"/>
      <c r="M152" s="12"/>
      <c r="N152" s="12"/>
    </row>
    <row r="153" ht="13.5" customHeight="1">
      <c r="A153" s="17"/>
      <c r="B153" s="12"/>
      <c r="C153" s="17"/>
      <c r="D153" s="17"/>
      <c r="E153" s="12"/>
      <c r="F153" s="12"/>
      <c r="G153" s="17"/>
      <c r="H153" s="17"/>
      <c r="I153" s="12"/>
      <c r="J153" s="12"/>
      <c r="K153" s="12"/>
      <c r="L153" s="12"/>
      <c r="M153" s="12"/>
      <c r="N153" s="12"/>
    </row>
    <row r="154" ht="13.5" customHeight="1">
      <c r="A154" s="17"/>
      <c r="B154" s="12"/>
      <c r="C154" s="17"/>
      <c r="D154" s="17"/>
      <c r="E154" s="12"/>
      <c r="F154" s="12"/>
      <c r="G154" s="17"/>
      <c r="H154" s="17"/>
      <c r="I154" s="12"/>
      <c r="J154" s="12"/>
      <c r="K154" s="12"/>
      <c r="L154" s="12"/>
      <c r="M154" s="12"/>
      <c r="N154" s="12"/>
    </row>
    <row r="155" ht="13.5" customHeight="1">
      <c r="A155" s="17"/>
      <c r="B155" s="12"/>
      <c r="C155" s="17"/>
      <c r="D155" s="17"/>
      <c r="E155" s="12"/>
      <c r="F155" s="12"/>
      <c r="G155" s="17"/>
      <c r="H155" s="17"/>
      <c r="I155" s="12"/>
      <c r="J155" s="12"/>
      <c r="K155" s="12"/>
      <c r="L155" s="12"/>
      <c r="M155" s="12"/>
      <c r="N155" s="12"/>
    </row>
    <row r="156" ht="13.5" customHeight="1">
      <c r="A156" s="17"/>
      <c r="B156" s="12"/>
      <c r="C156" s="17"/>
      <c r="D156" s="17"/>
      <c r="E156" s="12"/>
      <c r="F156" s="12"/>
      <c r="G156" s="17"/>
      <c r="H156" s="17"/>
      <c r="I156" s="12"/>
      <c r="J156" s="12"/>
      <c r="K156" s="12"/>
      <c r="L156" s="12"/>
      <c r="M156" s="12"/>
      <c r="N156" s="12"/>
    </row>
    <row r="157" ht="13.5" customHeight="1">
      <c r="A157" s="17"/>
      <c r="B157" s="12"/>
      <c r="C157" s="17"/>
      <c r="D157" s="17"/>
      <c r="E157" s="12"/>
      <c r="F157" s="12"/>
      <c r="G157" s="17"/>
      <c r="H157" s="17"/>
      <c r="I157" s="12"/>
      <c r="J157" s="12"/>
      <c r="K157" s="12"/>
      <c r="L157" s="12"/>
      <c r="M157" s="12"/>
      <c r="N157" s="12"/>
    </row>
    <row r="158" ht="13.5" customHeight="1">
      <c r="A158" s="17"/>
      <c r="B158" s="12"/>
      <c r="C158" s="17"/>
      <c r="D158" s="17"/>
      <c r="E158" s="12"/>
      <c r="F158" s="12"/>
      <c r="G158" s="17"/>
      <c r="H158" s="17"/>
      <c r="I158" s="12"/>
      <c r="J158" s="12"/>
      <c r="K158" s="12"/>
      <c r="L158" s="12"/>
      <c r="M158" s="12"/>
      <c r="N158" s="12"/>
    </row>
    <row r="159" ht="13.5" customHeight="1">
      <c r="A159" s="17"/>
      <c r="B159" s="12"/>
      <c r="C159" s="17"/>
      <c r="D159" s="17"/>
      <c r="E159" s="12"/>
      <c r="F159" s="12"/>
      <c r="G159" s="17"/>
      <c r="H159" s="17"/>
      <c r="I159" s="12"/>
      <c r="J159" s="12"/>
      <c r="K159" s="12"/>
      <c r="L159" s="12"/>
      <c r="M159" s="12"/>
      <c r="N159" s="12"/>
    </row>
    <row r="160" ht="13.5" customHeight="1">
      <c r="A160" s="17"/>
      <c r="B160" s="12"/>
      <c r="C160" s="17"/>
      <c r="D160" s="17"/>
      <c r="E160" s="12"/>
      <c r="F160" s="12"/>
      <c r="G160" s="17"/>
      <c r="H160" s="17"/>
      <c r="I160" s="12"/>
      <c r="J160" s="12"/>
      <c r="K160" s="12"/>
      <c r="L160" s="12"/>
      <c r="M160" s="12"/>
      <c r="N160" s="12"/>
    </row>
    <row r="161" ht="13.5" customHeight="1">
      <c r="A161" s="17"/>
      <c r="B161" s="12"/>
      <c r="C161" s="17"/>
      <c r="D161" s="17"/>
      <c r="E161" s="12"/>
      <c r="F161" s="12"/>
      <c r="G161" s="17"/>
      <c r="H161" s="17"/>
      <c r="I161" s="12"/>
      <c r="J161" s="12"/>
      <c r="K161" s="12"/>
      <c r="L161" s="12"/>
      <c r="M161" s="12"/>
      <c r="N161" s="12"/>
    </row>
    <row r="162" ht="13.5" customHeight="1">
      <c r="A162" s="17"/>
      <c r="B162" s="12"/>
      <c r="C162" s="17"/>
      <c r="D162" s="17"/>
      <c r="E162" s="12"/>
      <c r="F162" s="12"/>
      <c r="G162" s="17"/>
      <c r="H162" s="17"/>
      <c r="I162" s="12"/>
      <c r="J162" s="12"/>
      <c r="K162" s="12"/>
      <c r="L162" s="12"/>
      <c r="M162" s="12"/>
      <c r="N162" s="12"/>
    </row>
    <row r="163" ht="13.5" customHeight="1">
      <c r="A163" s="17"/>
      <c r="B163" s="12"/>
      <c r="C163" s="17"/>
      <c r="D163" s="17"/>
      <c r="E163" s="12"/>
      <c r="F163" s="12"/>
      <c r="G163" s="17"/>
      <c r="H163" s="17"/>
      <c r="I163" s="12"/>
      <c r="J163" s="12"/>
      <c r="K163" s="12"/>
      <c r="L163" s="12"/>
      <c r="M163" s="12"/>
      <c r="N163" s="12"/>
    </row>
    <row r="164" ht="13.5" customHeight="1">
      <c r="A164" s="17"/>
      <c r="B164" s="12"/>
      <c r="C164" s="17"/>
      <c r="D164" s="17"/>
      <c r="E164" s="12"/>
      <c r="F164" s="12"/>
      <c r="G164" s="17"/>
      <c r="H164" s="17"/>
      <c r="I164" s="12"/>
      <c r="J164" s="12"/>
      <c r="K164" s="12"/>
      <c r="L164" s="12"/>
      <c r="M164" s="12"/>
      <c r="N164" s="12"/>
    </row>
    <row r="165" ht="13.5" customHeight="1">
      <c r="A165" s="17"/>
      <c r="B165" s="12"/>
      <c r="C165" s="17"/>
      <c r="D165" s="17"/>
      <c r="E165" s="12"/>
      <c r="F165" s="12"/>
      <c r="G165" s="17"/>
      <c r="H165" s="17"/>
      <c r="I165" s="12"/>
      <c r="J165" s="12"/>
      <c r="K165" s="12"/>
      <c r="L165" s="12"/>
      <c r="M165" s="12"/>
      <c r="N165" s="12"/>
    </row>
    <row r="166" ht="13.5" customHeight="1">
      <c r="A166" s="17"/>
      <c r="B166" s="12"/>
      <c r="C166" s="17"/>
      <c r="D166" s="17"/>
      <c r="E166" s="12"/>
      <c r="F166" s="12"/>
      <c r="G166" s="17"/>
      <c r="H166" s="17"/>
      <c r="I166" s="12"/>
      <c r="J166" s="12"/>
      <c r="K166" s="12"/>
      <c r="L166" s="12"/>
      <c r="M166" s="12"/>
      <c r="N166" s="12"/>
    </row>
    <row r="167" ht="13.5" customHeight="1">
      <c r="A167" s="17"/>
      <c r="B167" s="12"/>
      <c r="C167" s="17"/>
      <c r="D167" s="17"/>
      <c r="E167" s="12"/>
      <c r="F167" s="12"/>
      <c r="G167" s="17"/>
      <c r="H167" s="17"/>
      <c r="I167" s="12"/>
      <c r="J167" s="12"/>
      <c r="K167" s="12"/>
      <c r="L167" s="12"/>
      <c r="M167" s="12"/>
      <c r="N167" s="12"/>
    </row>
    <row r="168" ht="13.5" customHeight="1">
      <c r="A168" s="17"/>
      <c r="B168" s="12"/>
      <c r="C168" s="17"/>
      <c r="D168" s="17"/>
      <c r="E168" s="12"/>
      <c r="F168" s="12"/>
      <c r="G168" s="17"/>
      <c r="H168" s="17"/>
      <c r="I168" s="12"/>
      <c r="J168" s="12"/>
      <c r="K168" s="12"/>
      <c r="L168" s="12"/>
      <c r="M168" s="12"/>
      <c r="N168" s="12"/>
    </row>
    <row r="169" ht="13.5" customHeight="1">
      <c r="A169" s="17"/>
      <c r="B169" s="12"/>
      <c r="C169" s="17"/>
      <c r="D169" s="17"/>
      <c r="E169" s="12"/>
      <c r="F169" s="12"/>
      <c r="G169" s="17"/>
      <c r="H169" s="17"/>
      <c r="I169" s="12"/>
      <c r="J169" s="12"/>
      <c r="K169" s="12"/>
      <c r="L169" s="12"/>
      <c r="M169" s="12"/>
      <c r="N169" s="12"/>
    </row>
    <row r="170" ht="13.5" customHeight="1">
      <c r="A170" s="17"/>
      <c r="B170" s="12"/>
      <c r="C170" s="17"/>
      <c r="D170" s="17"/>
      <c r="E170" s="12"/>
      <c r="F170" s="12"/>
      <c r="G170" s="17"/>
      <c r="H170" s="17"/>
      <c r="I170" s="12"/>
      <c r="J170" s="12"/>
      <c r="K170" s="12"/>
      <c r="L170" s="12"/>
      <c r="M170" s="12"/>
      <c r="N170" s="12"/>
    </row>
    <row r="171" ht="13.5" customHeight="1">
      <c r="A171" s="17"/>
      <c r="B171" s="12"/>
      <c r="C171" s="17"/>
      <c r="D171" s="17"/>
      <c r="E171" s="12"/>
      <c r="F171" s="12"/>
      <c r="G171" s="17"/>
      <c r="H171" s="17"/>
      <c r="I171" s="12"/>
      <c r="J171" s="12"/>
      <c r="K171" s="12"/>
      <c r="L171" s="12"/>
      <c r="M171" s="12"/>
      <c r="N171" s="12"/>
    </row>
    <row r="172" ht="13.5" customHeight="1">
      <c r="A172" s="17"/>
      <c r="B172" s="12"/>
      <c r="C172" s="17"/>
      <c r="D172" s="17"/>
      <c r="E172" s="12"/>
      <c r="F172" s="12"/>
      <c r="G172" s="17"/>
      <c r="H172" s="17"/>
      <c r="I172" s="12"/>
      <c r="J172" s="12"/>
      <c r="K172" s="12"/>
      <c r="L172" s="12"/>
      <c r="M172" s="12"/>
      <c r="N172" s="12"/>
    </row>
    <row r="173" ht="13.5" customHeight="1">
      <c r="A173" s="17"/>
      <c r="B173" s="12"/>
      <c r="C173" s="17"/>
      <c r="D173" s="17"/>
      <c r="E173" s="12"/>
      <c r="F173" s="12"/>
      <c r="G173" s="17"/>
      <c r="H173" s="17"/>
      <c r="I173" s="12"/>
      <c r="J173" s="12"/>
      <c r="K173" s="12"/>
      <c r="L173" s="12"/>
      <c r="M173" s="12"/>
      <c r="N173" s="12"/>
    </row>
    <row r="174" ht="13.5" customHeight="1">
      <c r="A174" s="17"/>
      <c r="B174" s="12"/>
      <c r="C174" s="17"/>
      <c r="D174" s="17"/>
      <c r="E174" s="12"/>
      <c r="F174" s="12"/>
      <c r="G174" s="17"/>
      <c r="H174" s="17"/>
      <c r="I174" s="12"/>
      <c r="J174" s="12"/>
      <c r="K174" s="12"/>
      <c r="L174" s="12"/>
      <c r="M174" s="12"/>
      <c r="N174" s="12"/>
    </row>
    <row r="175" ht="13.5" customHeight="1">
      <c r="A175" s="17"/>
      <c r="B175" s="12"/>
      <c r="C175" s="17"/>
      <c r="D175" s="17"/>
      <c r="E175" s="12"/>
      <c r="F175" s="12"/>
      <c r="G175" s="17"/>
      <c r="H175" s="17"/>
      <c r="I175" s="12"/>
      <c r="J175" s="12"/>
      <c r="K175" s="12"/>
      <c r="L175" s="12"/>
      <c r="M175" s="12"/>
      <c r="N175" s="12"/>
    </row>
    <row r="176" ht="13.5" customHeight="1">
      <c r="A176" s="17"/>
      <c r="B176" s="12"/>
      <c r="C176" s="17"/>
      <c r="D176" s="17"/>
      <c r="E176" s="12"/>
      <c r="F176" s="12"/>
      <c r="G176" s="17"/>
      <c r="H176" s="17"/>
      <c r="I176" s="12"/>
      <c r="J176" s="12"/>
      <c r="K176" s="12"/>
      <c r="L176" s="12"/>
      <c r="M176" s="12"/>
      <c r="N176" s="12"/>
    </row>
    <row r="177" ht="13.5" customHeight="1">
      <c r="A177" s="17"/>
      <c r="B177" s="12"/>
      <c r="C177" s="17"/>
      <c r="D177" s="17"/>
      <c r="E177" s="12"/>
      <c r="F177" s="12"/>
      <c r="G177" s="17"/>
      <c r="H177" s="17"/>
      <c r="I177" s="12"/>
      <c r="J177" s="12"/>
      <c r="K177" s="12"/>
      <c r="L177" s="12"/>
      <c r="M177" s="12"/>
      <c r="N177" s="12"/>
    </row>
    <row r="178" ht="13.5" customHeight="1">
      <c r="A178" s="17"/>
      <c r="B178" s="12"/>
      <c r="C178" s="17"/>
      <c r="D178" s="17"/>
      <c r="E178" s="12"/>
      <c r="F178" s="12"/>
      <c r="G178" s="17"/>
      <c r="H178" s="17"/>
      <c r="I178" s="12"/>
      <c r="J178" s="12"/>
      <c r="K178" s="12"/>
      <c r="L178" s="12"/>
      <c r="M178" s="12"/>
      <c r="N178" s="12"/>
    </row>
    <row r="179" ht="13.5" customHeight="1">
      <c r="A179" s="17"/>
      <c r="B179" s="12"/>
      <c r="C179" s="17"/>
      <c r="D179" s="17"/>
      <c r="E179" s="12"/>
      <c r="F179" s="12"/>
      <c r="G179" s="17"/>
      <c r="H179" s="17"/>
      <c r="I179" s="12"/>
      <c r="J179" s="12"/>
      <c r="K179" s="12"/>
      <c r="L179" s="12"/>
      <c r="M179" s="12"/>
      <c r="N179" s="12"/>
    </row>
    <row r="180" ht="13.5" customHeight="1">
      <c r="A180" s="17"/>
      <c r="B180" s="12"/>
      <c r="C180" s="17"/>
      <c r="D180" s="17"/>
      <c r="E180" s="12"/>
      <c r="F180" s="12"/>
      <c r="G180" s="17"/>
      <c r="H180" s="17"/>
      <c r="I180" s="12"/>
      <c r="J180" s="12"/>
      <c r="K180" s="12"/>
      <c r="L180" s="12"/>
      <c r="M180" s="12"/>
      <c r="N180" s="12"/>
    </row>
    <row r="181" ht="13.5" customHeight="1">
      <c r="A181" s="17"/>
      <c r="B181" s="12"/>
      <c r="C181" s="17"/>
      <c r="D181" s="17"/>
      <c r="E181" s="12"/>
      <c r="F181" s="12"/>
      <c r="G181" s="17"/>
      <c r="H181" s="17"/>
      <c r="I181" s="12"/>
      <c r="J181" s="12"/>
      <c r="K181" s="12"/>
      <c r="L181" s="12"/>
      <c r="M181" s="12"/>
      <c r="N181" s="12"/>
    </row>
    <row r="182" ht="13.5" customHeight="1">
      <c r="A182" s="17"/>
      <c r="B182" s="12"/>
      <c r="C182" s="17"/>
      <c r="D182" s="17"/>
      <c r="E182" s="12"/>
      <c r="F182" s="12"/>
      <c r="G182" s="17"/>
      <c r="H182" s="17"/>
      <c r="I182" s="12"/>
      <c r="J182" s="12"/>
      <c r="K182" s="12"/>
      <c r="L182" s="12"/>
      <c r="M182" s="12"/>
      <c r="N182" s="12"/>
    </row>
    <row r="183" ht="13.5" customHeight="1">
      <c r="A183" s="17"/>
      <c r="B183" s="12"/>
      <c r="C183" s="17"/>
      <c r="D183" s="17"/>
      <c r="E183" s="12"/>
      <c r="F183" s="12"/>
      <c r="G183" s="17"/>
      <c r="H183" s="17"/>
      <c r="I183" s="12"/>
      <c r="J183" s="12"/>
      <c r="K183" s="12"/>
      <c r="L183" s="12"/>
      <c r="M183" s="12"/>
      <c r="N183" s="12"/>
    </row>
    <row r="184" ht="13.5" customHeight="1">
      <c r="A184" s="17"/>
      <c r="B184" s="12"/>
      <c r="C184" s="17"/>
      <c r="D184" s="17"/>
      <c r="E184" s="12"/>
      <c r="F184" s="12"/>
      <c r="G184" s="17"/>
      <c r="H184" s="17"/>
      <c r="I184" s="12"/>
      <c r="J184" s="12"/>
      <c r="K184" s="12"/>
      <c r="L184" s="12"/>
      <c r="M184" s="12"/>
      <c r="N184" s="12"/>
    </row>
    <row r="185" ht="13.5" customHeight="1">
      <c r="A185" s="17"/>
      <c r="B185" s="12"/>
      <c r="C185" s="17"/>
      <c r="D185" s="17"/>
      <c r="E185" s="12"/>
      <c r="F185" s="12"/>
      <c r="G185" s="17"/>
      <c r="H185" s="17"/>
      <c r="I185" s="12"/>
      <c r="J185" s="12"/>
      <c r="K185" s="12"/>
      <c r="L185" s="12"/>
      <c r="M185" s="12"/>
      <c r="N185" s="12"/>
    </row>
    <row r="186" ht="13.5" customHeight="1">
      <c r="A186" s="17"/>
      <c r="B186" s="12"/>
      <c r="C186" s="17"/>
      <c r="D186" s="17"/>
      <c r="E186" s="12"/>
      <c r="F186" s="12"/>
      <c r="G186" s="17"/>
      <c r="H186" s="17"/>
      <c r="I186" s="12"/>
      <c r="J186" s="12"/>
      <c r="K186" s="12"/>
      <c r="L186" s="12"/>
      <c r="M186" s="12"/>
      <c r="N186" s="12"/>
    </row>
    <row r="187" ht="13.5" customHeight="1">
      <c r="A187" s="17"/>
      <c r="B187" s="12"/>
      <c r="C187" s="17"/>
      <c r="D187" s="17"/>
      <c r="E187" s="12"/>
      <c r="F187" s="12"/>
      <c r="G187" s="17"/>
      <c r="H187" s="17"/>
      <c r="I187" s="12"/>
      <c r="J187" s="12"/>
      <c r="K187" s="12"/>
      <c r="L187" s="12"/>
      <c r="M187" s="12"/>
      <c r="N187" s="12"/>
    </row>
    <row r="188" ht="13.5" customHeight="1">
      <c r="A188" s="17"/>
      <c r="B188" s="12"/>
      <c r="C188" s="17"/>
      <c r="D188" s="17"/>
      <c r="E188" s="12"/>
      <c r="F188" s="12"/>
      <c r="G188" s="17"/>
      <c r="H188" s="17"/>
      <c r="I188" s="12"/>
      <c r="J188" s="12"/>
      <c r="K188" s="12"/>
      <c r="L188" s="12"/>
      <c r="M188" s="12"/>
      <c r="N188" s="12"/>
    </row>
    <row r="189" ht="13.5" customHeight="1">
      <c r="A189" s="17"/>
      <c r="B189" s="12"/>
      <c r="C189" s="17"/>
      <c r="D189" s="17"/>
      <c r="E189" s="12"/>
      <c r="F189" s="12"/>
      <c r="G189" s="17"/>
      <c r="H189" s="17"/>
      <c r="I189" s="12"/>
      <c r="J189" s="12"/>
      <c r="K189" s="12"/>
      <c r="L189" s="12"/>
      <c r="M189" s="12"/>
      <c r="N189" s="12"/>
    </row>
    <row r="190" ht="13.5" customHeight="1">
      <c r="A190" s="17"/>
      <c r="B190" s="12"/>
      <c r="C190" s="17"/>
      <c r="D190" s="17"/>
      <c r="E190" s="12"/>
      <c r="F190" s="12"/>
      <c r="G190" s="17"/>
      <c r="H190" s="17"/>
      <c r="I190" s="12"/>
      <c r="J190" s="12"/>
      <c r="K190" s="12"/>
      <c r="L190" s="12"/>
      <c r="M190" s="12"/>
      <c r="N190" s="12"/>
    </row>
    <row r="191" ht="13.5" customHeight="1">
      <c r="A191" s="17"/>
      <c r="B191" s="12"/>
      <c r="C191" s="17"/>
      <c r="D191" s="17"/>
      <c r="E191" s="12"/>
      <c r="F191" s="12"/>
      <c r="G191" s="17"/>
      <c r="H191" s="17"/>
      <c r="I191" s="12"/>
      <c r="J191" s="12"/>
      <c r="K191" s="12"/>
      <c r="L191" s="12"/>
      <c r="M191" s="12"/>
      <c r="N191" s="12"/>
    </row>
    <row r="192" ht="13.5" customHeight="1">
      <c r="A192" s="17"/>
      <c r="B192" s="12"/>
      <c r="C192" s="17"/>
      <c r="D192" s="17"/>
      <c r="E192" s="12"/>
      <c r="F192" s="12"/>
      <c r="G192" s="17"/>
      <c r="H192" s="17"/>
      <c r="I192" s="12"/>
      <c r="J192" s="12"/>
      <c r="K192" s="12"/>
      <c r="L192" s="12"/>
      <c r="M192" s="12"/>
      <c r="N192" s="12"/>
    </row>
    <row r="193" ht="13.5" customHeight="1">
      <c r="A193" s="17"/>
      <c r="B193" s="12"/>
      <c r="C193" s="17"/>
      <c r="D193" s="17"/>
      <c r="E193" s="12"/>
      <c r="F193" s="12"/>
      <c r="G193" s="17"/>
      <c r="H193" s="17"/>
      <c r="I193" s="12"/>
      <c r="J193" s="12"/>
      <c r="K193" s="12"/>
      <c r="L193" s="12"/>
      <c r="M193" s="12"/>
      <c r="N193" s="12"/>
    </row>
    <row r="194" ht="13.5" customHeight="1">
      <c r="A194" s="17"/>
      <c r="B194" s="12"/>
      <c r="C194" s="17"/>
      <c r="D194" s="17"/>
      <c r="E194" s="12"/>
      <c r="F194" s="12"/>
      <c r="G194" s="17"/>
      <c r="H194" s="17"/>
      <c r="I194" s="12"/>
      <c r="J194" s="12"/>
      <c r="K194" s="12"/>
      <c r="L194" s="12"/>
      <c r="M194" s="12"/>
      <c r="N194" s="12"/>
    </row>
    <row r="195" ht="13.5" customHeight="1">
      <c r="A195" s="17"/>
      <c r="B195" s="12"/>
      <c r="C195" s="17"/>
      <c r="D195" s="17"/>
      <c r="E195" s="12"/>
      <c r="F195" s="12"/>
      <c r="G195" s="17"/>
      <c r="H195" s="17"/>
      <c r="I195" s="12"/>
      <c r="J195" s="12"/>
      <c r="K195" s="12"/>
      <c r="L195" s="12"/>
      <c r="M195" s="12"/>
      <c r="N195" s="12"/>
    </row>
    <row r="196" ht="13.5" customHeight="1">
      <c r="A196" s="17"/>
      <c r="B196" s="12"/>
      <c r="C196" s="17"/>
      <c r="D196" s="17"/>
      <c r="E196" s="12"/>
      <c r="F196" s="12"/>
      <c r="G196" s="17"/>
      <c r="H196" s="17"/>
      <c r="I196" s="12"/>
      <c r="J196" s="12"/>
      <c r="K196" s="12"/>
      <c r="L196" s="12"/>
      <c r="M196" s="12"/>
      <c r="N196" s="12"/>
    </row>
    <row r="197" ht="13.5" customHeight="1">
      <c r="A197" s="17"/>
      <c r="B197" s="12"/>
      <c r="C197" s="17"/>
      <c r="D197" s="17"/>
      <c r="E197" s="12"/>
      <c r="F197" s="12"/>
      <c r="G197" s="17"/>
      <c r="H197" s="17"/>
      <c r="I197" s="12"/>
      <c r="J197" s="12"/>
      <c r="K197" s="12"/>
      <c r="L197" s="12"/>
      <c r="M197" s="12"/>
      <c r="N197" s="12"/>
    </row>
    <row r="198" ht="13.5" customHeight="1">
      <c r="A198" s="17"/>
      <c r="B198" s="12"/>
      <c r="C198" s="17"/>
      <c r="D198" s="17"/>
      <c r="E198" s="12"/>
      <c r="F198" s="12"/>
      <c r="G198" s="17"/>
      <c r="H198" s="17"/>
      <c r="I198" s="12"/>
      <c r="J198" s="12"/>
      <c r="K198" s="12"/>
      <c r="L198" s="12"/>
      <c r="M198" s="12"/>
      <c r="N198" s="12"/>
    </row>
    <row r="199" ht="13.5" customHeight="1">
      <c r="A199" s="17"/>
      <c r="B199" s="12"/>
      <c r="C199" s="17"/>
      <c r="D199" s="17"/>
      <c r="E199" s="12"/>
      <c r="F199" s="12"/>
      <c r="G199" s="17"/>
      <c r="H199" s="17"/>
      <c r="I199" s="12"/>
      <c r="J199" s="12"/>
      <c r="K199" s="12"/>
      <c r="L199" s="12"/>
      <c r="M199" s="12"/>
      <c r="N199" s="12"/>
    </row>
    <row r="200" ht="13.5" customHeight="1">
      <c r="A200" s="17"/>
      <c r="B200" s="12"/>
      <c r="C200" s="17"/>
      <c r="D200" s="17"/>
      <c r="E200" s="12"/>
      <c r="F200" s="12"/>
      <c r="G200" s="17"/>
      <c r="H200" s="17"/>
      <c r="I200" s="12"/>
      <c r="J200" s="12"/>
      <c r="K200" s="12"/>
      <c r="L200" s="12"/>
      <c r="M200" s="12"/>
      <c r="N200" s="12"/>
    </row>
    <row r="201" ht="13.5" customHeight="1">
      <c r="A201" s="17"/>
      <c r="B201" s="12"/>
      <c r="C201" s="17"/>
      <c r="D201" s="17"/>
      <c r="E201" s="12"/>
      <c r="F201" s="12"/>
      <c r="G201" s="17"/>
      <c r="H201" s="17"/>
      <c r="I201" s="12"/>
      <c r="J201" s="12"/>
      <c r="K201" s="12"/>
      <c r="L201" s="12"/>
      <c r="M201" s="12"/>
      <c r="N201" s="12"/>
    </row>
    <row r="202" ht="13.5" customHeight="1">
      <c r="A202" s="17"/>
      <c r="B202" s="12"/>
      <c r="C202" s="17"/>
      <c r="D202" s="17"/>
      <c r="E202" s="12"/>
      <c r="F202" s="12"/>
      <c r="G202" s="17"/>
      <c r="H202" s="17"/>
      <c r="I202" s="12"/>
      <c r="J202" s="12"/>
      <c r="K202" s="12"/>
      <c r="L202" s="12"/>
      <c r="M202" s="12"/>
      <c r="N202" s="12"/>
    </row>
    <row r="203" ht="13.5" customHeight="1">
      <c r="A203" s="17"/>
      <c r="B203" s="12"/>
      <c r="C203" s="17"/>
      <c r="D203" s="17"/>
      <c r="E203" s="12"/>
      <c r="F203" s="12"/>
      <c r="G203" s="17"/>
      <c r="H203" s="17"/>
      <c r="I203" s="12"/>
      <c r="J203" s="12"/>
      <c r="K203" s="12"/>
      <c r="L203" s="12"/>
      <c r="M203" s="12"/>
      <c r="N203" s="12"/>
    </row>
    <row r="204" ht="13.5" customHeight="1">
      <c r="A204" s="17"/>
      <c r="B204" s="12"/>
      <c r="C204" s="17"/>
      <c r="D204" s="17"/>
      <c r="E204" s="12"/>
      <c r="F204" s="12"/>
      <c r="G204" s="17"/>
      <c r="H204" s="17"/>
      <c r="I204" s="12"/>
      <c r="J204" s="12"/>
      <c r="K204" s="12"/>
      <c r="L204" s="12"/>
      <c r="M204" s="12"/>
      <c r="N204" s="12"/>
    </row>
    <row r="205" ht="13.5" customHeight="1">
      <c r="A205" s="17"/>
      <c r="B205" s="12"/>
      <c r="C205" s="17"/>
      <c r="D205" s="17"/>
      <c r="E205" s="12"/>
      <c r="F205" s="12"/>
      <c r="G205" s="17"/>
      <c r="H205" s="17"/>
      <c r="I205" s="12"/>
      <c r="J205" s="12"/>
      <c r="K205" s="12"/>
      <c r="L205" s="12"/>
      <c r="M205" s="12"/>
      <c r="N205" s="12"/>
    </row>
    <row r="206" ht="13.5" customHeight="1">
      <c r="A206" s="17"/>
      <c r="B206" s="12"/>
      <c r="C206" s="17"/>
      <c r="D206" s="17"/>
      <c r="E206" s="12"/>
      <c r="F206" s="12"/>
      <c r="G206" s="17"/>
      <c r="H206" s="17"/>
      <c r="I206" s="12"/>
      <c r="J206" s="12"/>
      <c r="K206" s="12"/>
      <c r="L206" s="12"/>
      <c r="M206" s="12"/>
      <c r="N206" s="12"/>
    </row>
    <row r="207" ht="13.5" customHeight="1">
      <c r="A207" s="17"/>
      <c r="B207" s="12"/>
      <c r="C207" s="17"/>
      <c r="D207" s="17"/>
      <c r="E207" s="12"/>
      <c r="F207" s="12"/>
      <c r="G207" s="17"/>
      <c r="H207" s="17"/>
      <c r="I207" s="12"/>
      <c r="J207" s="12"/>
      <c r="K207" s="12"/>
      <c r="L207" s="12"/>
      <c r="M207" s="12"/>
      <c r="N207" s="12"/>
    </row>
    <row r="208" ht="13.5" customHeight="1">
      <c r="A208" s="17"/>
      <c r="B208" s="12"/>
      <c r="C208" s="17"/>
      <c r="D208" s="17"/>
      <c r="E208" s="12"/>
      <c r="F208" s="12"/>
      <c r="G208" s="17"/>
      <c r="H208" s="17"/>
      <c r="I208" s="12"/>
      <c r="J208" s="12"/>
      <c r="K208" s="12"/>
      <c r="L208" s="12"/>
      <c r="M208" s="12"/>
      <c r="N208" s="12"/>
    </row>
    <row r="209" ht="13.5" customHeight="1">
      <c r="A209" s="17"/>
      <c r="B209" s="12"/>
      <c r="C209" s="17"/>
      <c r="D209" s="17"/>
      <c r="E209" s="12"/>
      <c r="F209" s="12"/>
      <c r="G209" s="17"/>
      <c r="H209" s="17"/>
      <c r="I209" s="12"/>
      <c r="J209" s="12"/>
      <c r="K209" s="12"/>
      <c r="L209" s="12"/>
      <c r="M209" s="12"/>
      <c r="N209" s="12"/>
    </row>
    <row r="210" ht="13.5" customHeight="1">
      <c r="A210" s="17"/>
      <c r="B210" s="12"/>
      <c r="C210" s="17"/>
      <c r="D210" s="17"/>
      <c r="E210" s="12"/>
      <c r="F210" s="12"/>
      <c r="G210" s="17"/>
      <c r="H210" s="17"/>
      <c r="I210" s="12"/>
      <c r="J210" s="12"/>
      <c r="K210" s="12"/>
      <c r="L210" s="12"/>
      <c r="M210" s="12"/>
      <c r="N210" s="12"/>
    </row>
    <row r="211" ht="13.5" customHeight="1">
      <c r="A211" s="17"/>
      <c r="B211" s="12"/>
      <c r="C211" s="17"/>
      <c r="D211" s="17"/>
      <c r="E211" s="12"/>
      <c r="F211" s="12"/>
      <c r="G211" s="17"/>
      <c r="H211" s="17"/>
      <c r="I211" s="12"/>
      <c r="J211" s="12"/>
      <c r="K211" s="12"/>
      <c r="L211" s="12"/>
      <c r="M211" s="12"/>
      <c r="N211" s="12"/>
    </row>
    <row r="212" ht="13.5" customHeight="1">
      <c r="A212" s="17"/>
      <c r="B212" s="12"/>
      <c r="C212" s="17"/>
      <c r="D212" s="17"/>
      <c r="E212" s="12"/>
      <c r="F212" s="12"/>
      <c r="G212" s="17"/>
      <c r="H212" s="17"/>
      <c r="I212" s="12"/>
      <c r="J212" s="12"/>
      <c r="K212" s="12"/>
      <c r="L212" s="12"/>
      <c r="M212" s="12"/>
      <c r="N212" s="12"/>
    </row>
    <row r="213" ht="13.5" customHeight="1">
      <c r="A213" s="17"/>
      <c r="B213" s="12"/>
      <c r="C213" s="17"/>
      <c r="D213" s="17"/>
      <c r="E213" s="12"/>
      <c r="F213" s="12"/>
      <c r="G213" s="17"/>
      <c r="H213" s="17"/>
      <c r="I213" s="12"/>
      <c r="J213" s="12"/>
      <c r="K213" s="12"/>
      <c r="L213" s="12"/>
      <c r="M213" s="12"/>
      <c r="N213" s="12"/>
    </row>
    <row r="214" ht="13.5" customHeight="1">
      <c r="A214" s="17"/>
      <c r="B214" s="12"/>
      <c r="C214" s="17"/>
      <c r="D214" s="17"/>
      <c r="E214" s="12"/>
      <c r="F214" s="12"/>
      <c r="G214" s="17"/>
      <c r="H214" s="17"/>
      <c r="I214" s="12"/>
      <c r="J214" s="12"/>
      <c r="K214" s="12"/>
      <c r="L214" s="12"/>
      <c r="M214" s="12"/>
      <c r="N214" s="12"/>
    </row>
    <row r="215" ht="13.5" customHeight="1">
      <c r="A215" s="17"/>
      <c r="B215" s="12"/>
      <c r="C215" s="17"/>
      <c r="D215" s="17"/>
      <c r="E215" s="12"/>
      <c r="F215" s="12"/>
      <c r="G215" s="17"/>
      <c r="H215" s="17"/>
      <c r="I215" s="12"/>
      <c r="J215" s="12"/>
      <c r="K215" s="12"/>
      <c r="L215" s="12"/>
      <c r="M215" s="12"/>
      <c r="N215" s="12"/>
    </row>
    <row r="216" ht="13.5" customHeight="1">
      <c r="A216" s="17"/>
      <c r="B216" s="12"/>
      <c r="C216" s="17"/>
      <c r="D216" s="17"/>
      <c r="E216" s="12"/>
      <c r="F216" s="12"/>
      <c r="G216" s="17"/>
      <c r="H216" s="17"/>
      <c r="I216" s="12"/>
      <c r="J216" s="12"/>
      <c r="K216" s="12"/>
      <c r="L216" s="12"/>
      <c r="M216" s="12"/>
      <c r="N216" s="12"/>
    </row>
    <row r="217" ht="13.5" customHeight="1">
      <c r="A217" s="17"/>
      <c r="B217" s="12"/>
      <c r="C217" s="17"/>
      <c r="D217" s="17"/>
      <c r="E217" s="12"/>
      <c r="F217" s="12"/>
      <c r="G217" s="17"/>
      <c r="H217" s="17"/>
      <c r="I217" s="12"/>
      <c r="J217" s="12"/>
      <c r="K217" s="12"/>
      <c r="L217" s="12"/>
      <c r="M217" s="12"/>
      <c r="N217" s="12"/>
    </row>
    <row r="218" ht="13.5" customHeight="1">
      <c r="A218" s="17"/>
      <c r="B218" s="12"/>
      <c r="C218" s="17"/>
      <c r="D218" s="17"/>
      <c r="E218" s="12"/>
      <c r="F218" s="12"/>
      <c r="G218" s="17"/>
      <c r="H218" s="17"/>
      <c r="I218" s="12"/>
      <c r="J218" s="12"/>
      <c r="K218" s="12"/>
      <c r="L218" s="12"/>
      <c r="M218" s="12"/>
      <c r="N218" s="12"/>
    </row>
    <row r="219" ht="13.5" customHeight="1">
      <c r="A219" s="17"/>
      <c r="B219" s="12"/>
      <c r="C219" s="17"/>
      <c r="D219" s="17"/>
      <c r="E219" s="12"/>
      <c r="F219" s="12"/>
      <c r="G219" s="17"/>
      <c r="H219" s="17"/>
      <c r="I219" s="12"/>
      <c r="J219" s="12"/>
      <c r="K219" s="12"/>
      <c r="L219" s="12"/>
      <c r="M219" s="12"/>
      <c r="N219" s="12"/>
    </row>
    <row r="220" ht="13.5" customHeight="1">
      <c r="A220" s="17"/>
      <c r="B220" s="12"/>
      <c r="C220" s="17"/>
      <c r="D220" s="17"/>
      <c r="E220" s="12"/>
      <c r="F220" s="12"/>
      <c r="G220" s="17"/>
      <c r="H220" s="17"/>
      <c r="I220" s="12"/>
      <c r="J220" s="12"/>
      <c r="K220" s="12"/>
      <c r="L220" s="12"/>
      <c r="M220" s="12"/>
      <c r="N220" s="12"/>
    </row>
    <row r="221" ht="13.5" customHeight="1">
      <c r="A221" s="17"/>
      <c r="B221" s="12"/>
      <c r="C221" s="17"/>
      <c r="D221" s="17"/>
      <c r="E221" s="12"/>
      <c r="F221" s="12"/>
      <c r="G221" s="17"/>
      <c r="H221" s="17"/>
      <c r="I221" s="12"/>
      <c r="J221" s="12"/>
      <c r="K221" s="12"/>
      <c r="L221" s="12"/>
      <c r="M221" s="12"/>
      <c r="N221" s="12"/>
    </row>
    <row r="222" ht="13.5" customHeight="1">
      <c r="A222" s="17"/>
      <c r="B222" s="12"/>
      <c r="C222" s="17"/>
      <c r="D222" s="17"/>
      <c r="E222" s="12"/>
      <c r="F222" s="12"/>
      <c r="G222" s="17"/>
      <c r="H222" s="17"/>
      <c r="I222" s="12"/>
      <c r="J222" s="12"/>
      <c r="K222" s="12"/>
      <c r="L222" s="12"/>
      <c r="M222" s="12"/>
      <c r="N222" s="12"/>
    </row>
    <row r="223" ht="13.5" customHeight="1">
      <c r="A223" s="17"/>
      <c r="B223" s="12"/>
      <c r="C223" s="17"/>
      <c r="D223" s="17"/>
      <c r="E223" s="12"/>
      <c r="F223" s="12"/>
      <c r="G223" s="17"/>
      <c r="H223" s="17"/>
      <c r="I223" s="12"/>
      <c r="J223" s="12"/>
      <c r="K223" s="12"/>
      <c r="L223" s="12"/>
      <c r="M223" s="12"/>
      <c r="N223" s="12"/>
    </row>
    <row r="224" ht="13.5" customHeight="1">
      <c r="A224" s="17"/>
      <c r="B224" s="12"/>
      <c r="C224" s="17"/>
      <c r="D224" s="17"/>
      <c r="E224" s="12"/>
      <c r="F224" s="12"/>
      <c r="G224" s="17"/>
      <c r="H224" s="17"/>
      <c r="I224" s="12"/>
      <c r="J224" s="12"/>
      <c r="K224" s="12"/>
      <c r="L224" s="12"/>
      <c r="M224" s="12"/>
      <c r="N224" s="12"/>
    </row>
    <row r="225" ht="13.5" customHeight="1">
      <c r="A225" s="17"/>
      <c r="B225" s="12"/>
      <c r="C225" s="17"/>
      <c r="D225" s="17"/>
      <c r="E225" s="12"/>
      <c r="F225" s="12"/>
      <c r="G225" s="17"/>
      <c r="H225" s="17"/>
      <c r="I225" s="12"/>
      <c r="J225" s="12"/>
      <c r="K225" s="12"/>
      <c r="L225" s="12"/>
      <c r="M225" s="12"/>
      <c r="N225" s="12"/>
    </row>
    <row r="226" ht="13.5" customHeight="1">
      <c r="A226" s="17"/>
      <c r="B226" s="12"/>
      <c r="C226" s="17"/>
      <c r="D226" s="17"/>
      <c r="E226" s="12"/>
      <c r="F226" s="12"/>
      <c r="G226" s="17"/>
      <c r="H226" s="17"/>
      <c r="I226" s="12"/>
      <c r="J226" s="12"/>
      <c r="K226" s="12"/>
      <c r="L226" s="12"/>
      <c r="M226" s="12"/>
      <c r="N226" s="12"/>
    </row>
    <row r="227" ht="13.5" customHeight="1">
      <c r="A227" s="17"/>
      <c r="B227" s="12"/>
      <c r="C227" s="17"/>
      <c r="D227" s="17"/>
      <c r="E227" s="12"/>
      <c r="F227" s="12"/>
      <c r="G227" s="17"/>
      <c r="H227" s="17"/>
      <c r="I227" s="12"/>
      <c r="J227" s="12"/>
      <c r="K227" s="12"/>
      <c r="L227" s="12"/>
      <c r="M227" s="12"/>
      <c r="N227" s="12"/>
    </row>
    <row r="228" ht="13.5" customHeight="1">
      <c r="A228" s="17"/>
      <c r="B228" s="12"/>
      <c r="C228" s="17"/>
      <c r="D228" s="17"/>
      <c r="E228" s="12"/>
      <c r="F228" s="12"/>
      <c r="G228" s="17"/>
      <c r="H228" s="17"/>
      <c r="I228" s="12"/>
      <c r="J228" s="12"/>
      <c r="K228" s="12"/>
      <c r="L228" s="12"/>
      <c r="M228" s="12"/>
      <c r="N228" s="12"/>
    </row>
    <row r="229" ht="13.5" customHeight="1">
      <c r="A229" s="17"/>
      <c r="B229" s="12"/>
      <c r="C229" s="17"/>
      <c r="D229" s="17"/>
      <c r="E229" s="12"/>
      <c r="F229" s="12"/>
      <c r="G229" s="17"/>
      <c r="H229" s="17"/>
      <c r="I229" s="12"/>
      <c r="J229" s="12"/>
      <c r="K229" s="12"/>
      <c r="L229" s="12"/>
      <c r="M229" s="12"/>
      <c r="N229" s="12"/>
    </row>
    <row r="230" ht="13.5" customHeight="1">
      <c r="A230" s="17"/>
      <c r="B230" s="12"/>
      <c r="C230" s="17"/>
      <c r="D230" s="17"/>
      <c r="E230" s="12"/>
      <c r="F230" s="12"/>
      <c r="G230" s="17"/>
      <c r="H230" s="17"/>
      <c r="I230" s="12"/>
      <c r="J230" s="12"/>
      <c r="K230" s="12"/>
      <c r="L230" s="12"/>
      <c r="M230" s="12"/>
      <c r="N230" s="12"/>
    </row>
    <row r="231" ht="13.5" customHeight="1">
      <c r="A231" s="17"/>
      <c r="B231" s="12"/>
      <c r="C231" s="17"/>
      <c r="D231" s="17"/>
      <c r="E231" s="12"/>
      <c r="F231" s="12"/>
      <c r="G231" s="17"/>
      <c r="H231" s="17"/>
      <c r="I231" s="12"/>
      <c r="J231" s="12"/>
      <c r="K231" s="12"/>
      <c r="L231" s="12"/>
      <c r="M231" s="12"/>
      <c r="N231" s="12"/>
    </row>
    <row r="232" ht="13.5" customHeight="1">
      <c r="A232" s="17"/>
      <c r="B232" s="12"/>
      <c r="C232" s="17"/>
      <c r="D232" s="17"/>
      <c r="E232" s="12"/>
      <c r="F232" s="12"/>
      <c r="G232" s="17"/>
      <c r="H232" s="17"/>
      <c r="I232" s="12"/>
      <c r="J232" s="12"/>
      <c r="K232" s="12"/>
      <c r="L232" s="12"/>
      <c r="M232" s="12"/>
      <c r="N232" s="12"/>
    </row>
    <row r="233" ht="13.5" customHeight="1">
      <c r="A233" s="17"/>
      <c r="B233" s="12"/>
      <c r="C233" s="17"/>
      <c r="D233" s="17"/>
      <c r="E233" s="12"/>
      <c r="F233" s="12"/>
      <c r="G233" s="17"/>
      <c r="H233" s="17"/>
      <c r="I233" s="12"/>
      <c r="J233" s="12"/>
      <c r="K233" s="12"/>
      <c r="L233" s="12"/>
      <c r="M233" s="12"/>
      <c r="N233" s="12"/>
    </row>
    <row r="234" ht="13.5" customHeight="1">
      <c r="A234" s="17"/>
      <c r="B234" s="12"/>
      <c r="C234" s="17"/>
      <c r="D234" s="17"/>
      <c r="E234" s="12"/>
      <c r="F234" s="12"/>
      <c r="G234" s="17"/>
      <c r="H234" s="17"/>
      <c r="I234" s="12"/>
      <c r="J234" s="12"/>
      <c r="K234" s="12"/>
      <c r="L234" s="12"/>
      <c r="M234" s="12"/>
      <c r="N234" s="12"/>
    </row>
    <row r="235" ht="13.5" customHeight="1">
      <c r="A235" s="17"/>
      <c r="B235" s="12"/>
      <c r="C235" s="17"/>
      <c r="D235" s="17"/>
      <c r="E235" s="12"/>
      <c r="F235" s="12"/>
      <c r="G235" s="17"/>
      <c r="H235" s="17"/>
      <c r="I235" s="12"/>
      <c r="J235" s="12"/>
      <c r="K235" s="12"/>
      <c r="L235" s="12"/>
      <c r="M235" s="12"/>
      <c r="N235" s="12"/>
    </row>
    <row r="236" ht="13.5" customHeight="1">
      <c r="A236" s="17"/>
      <c r="B236" s="12"/>
      <c r="C236" s="17"/>
      <c r="D236" s="17"/>
      <c r="E236" s="12"/>
      <c r="F236" s="12"/>
      <c r="G236" s="17"/>
      <c r="H236" s="17"/>
      <c r="I236" s="12"/>
      <c r="J236" s="12"/>
      <c r="K236" s="12"/>
      <c r="L236" s="12"/>
      <c r="M236" s="12"/>
      <c r="N236" s="12"/>
    </row>
    <row r="237" ht="13.5" customHeight="1">
      <c r="A237" s="17"/>
      <c r="B237" s="12"/>
      <c r="C237" s="17"/>
      <c r="D237" s="17"/>
      <c r="E237" s="12"/>
      <c r="F237" s="12"/>
      <c r="G237" s="17"/>
      <c r="H237" s="17"/>
      <c r="I237" s="12"/>
      <c r="J237" s="12"/>
      <c r="K237" s="12"/>
      <c r="L237" s="12"/>
      <c r="M237" s="12"/>
      <c r="N237" s="12"/>
    </row>
    <row r="238" ht="13.5" customHeight="1">
      <c r="A238" s="17"/>
      <c r="B238" s="12"/>
      <c r="C238" s="17"/>
      <c r="D238" s="17"/>
      <c r="E238" s="12"/>
      <c r="F238" s="12"/>
      <c r="G238" s="17"/>
      <c r="H238" s="17"/>
      <c r="I238" s="12"/>
      <c r="J238" s="12"/>
      <c r="K238" s="12"/>
      <c r="L238" s="12"/>
      <c r="M238" s="12"/>
      <c r="N238" s="12"/>
    </row>
    <row r="239" ht="13.5" customHeight="1">
      <c r="A239" s="17"/>
      <c r="B239" s="12"/>
      <c r="C239" s="17"/>
      <c r="D239" s="17"/>
      <c r="E239" s="12"/>
      <c r="F239" s="12"/>
      <c r="G239" s="17"/>
      <c r="H239" s="17"/>
      <c r="I239" s="12"/>
      <c r="J239" s="12"/>
      <c r="K239" s="12"/>
      <c r="L239" s="12"/>
      <c r="M239" s="12"/>
      <c r="N239" s="12"/>
    </row>
    <row r="240" ht="13.5" customHeight="1">
      <c r="A240" s="17"/>
      <c r="B240" s="12"/>
      <c r="C240" s="17"/>
      <c r="D240" s="17"/>
      <c r="E240" s="12"/>
      <c r="F240" s="12"/>
      <c r="G240" s="17"/>
      <c r="H240" s="17"/>
      <c r="I240" s="12"/>
      <c r="J240" s="12"/>
      <c r="K240" s="12"/>
      <c r="L240" s="12"/>
      <c r="M240" s="12"/>
      <c r="N240" s="12"/>
    </row>
    <row r="241" ht="13.5" customHeight="1">
      <c r="A241" s="17"/>
      <c r="B241" s="12"/>
      <c r="C241" s="17"/>
      <c r="D241" s="17"/>
      <c r="E241" s="12"/>
      <c r="F241" s="12"/>
      <c r="G241" s="17"/>
      <c r="H241" s="17"/>
      <c r="I241" s="12"/>
      <c r="J241" s="12"/>
      <c r="K241" s="12"/>
      <c r="L241" s="12"/>
      <c r="M241" s="12"/>
      <c r="N241" s="12"/>
    </row>
    <row r="242" ht="13.5" customHeight="1">
      <c r="A242" s="17"/>
      <c r="B242" s="12"/>
      <c r="C242" s="17"/>
      <c r="D242" s="17"/>
      <c r="E242" s="12"/>
      <c r="F242" s="12"/>
      <c r="G242" s="17"/>
      <c r="H242" s="17"/>
      <c r="I242" s="12"/>
      <c r="J242" s="12"/>
      <c r="K242" s="12"/>
      <c r="L242" s="12"/>
      <c r="M242" s="12"/>
      <c r="N242" s="12"/>
    </row>
    <row r="243" ht="13.5" customHeight="1">
      <c r="A243" s="17"/>
      <c r="B243" s="12"/>
      <c r="C243" s="17"/>
      <c r="D243" s="17"/>
      <c r="E243" s="12"/>
      <c r="F243" s="12"/>
      <c r="G243" s="17"/>
      <c r="H243" s="17"/>
      <c r="I243" s="12"/>
      <c r="J243" s="12"/>
      <c r="K243" s="12"/>
      <c r="L243" s="12"/>
      <c r="M243" s="12"/>
      <c r="N243" s="12"/>
    </row>
    <row r="244" ht="13.5" customHeight="1">
      <c r="A244" s="17"/>
      <c r="B244" s="12"/>
      <c r="C244" s="17"/>
      <c r="D244" s="17"/>
      <c r="E244" s="12"/>
      <c r="F244" s="12"/>
      <c r="G244" s="17"/>
      <c r="H244" s="17"/>
      <c r="I244" s="12"/>
      <c r="J244" s="12"/>
      <c r="K244" s="12"/>
      <c r="L244" s="12"/>
      <c r="M244" s="12"/>
      <c r="N244" s="12"/>
    </row>
    <row r="245" ht="13.5" customHeight="1">
      <c r="A245" s="17"/>
      <c r="B245" s="12"/>
      <c r="C245" s="17"/>
      <c r="D245" s="17"/>
      <c r="E245" s="12"/>
      <c r="F245" s="12"/>
      <c r="G245" s="17"/>
      <c r="H245" s="17"/>
      <c r="I245" s="12"/>
      <c r="J245" s="12"/>
      <c r="K245" s="12"/>
      <c r="L245" s="12"/>
      <c r="M245" s="12"/>
      <c r="N245" s="12"/>
    </row>
    <row r="246" ht="13.5" customHeight="1">
      <c r="A246" s="17"/>
      <c r="B246" s="12"/>
      <c r="C246" s="17"/>
      <c r="D246" s="17"/>
      <c r="E246" s="12"/>
      <c r="F246" s="12"/>
      <c r="G246" s="17"/>
      <c r="H246" s="17"/>
      <c r="I246" s="12"/>
      <c r="J246" s="12"/>
      <c r="K246" s="12"/>
      <c r="L246" s="12"/>
      <c r="M246" s="12"/>
      <c r="N246" s="12"/>
    </row>
    <row r="247" ht="13.5" customHeight="1">
      <c r="A247" s="17"/>
      <c r="B247" s="12"/>
      <c r="C247" s="17"/>
      <c r="D247" s="17"/>
      <c r="E247" s="12"/>
      <c r="F247" s="12"/>
      <c r="G247" s="17"/>
      <c r="H247" s="17"/>
      <c r="I247" s="12"/>
      <c r="J247" s="12"/>
      <c r="K247" s="12"/>
      <c r="L247" s="12"/>
      <c r="M247" s="12"/>
      <c r="N247" s="12"/>
    </row>
    <row r="248" ht="13.5" customHeight="1">
      <c r="A248" s="17"/>
      <c r="B248" s="12"/>
      <c r="C248" s="17"/>
      <c r="D248" s="17"/>
      <c r="E248" s="12"/>
      <c r="F248" s="12"/>
      <c r="G248" s="17"/>
      <c r="H248" s="17"/>
      <c r="I248" s="12"/>
      <c r="J248" s="12"/>
      <c r="K248" s="12"/>
      <c r="L248" s="12"/>
      <c r="M248" s="12"/>
      <c r="N248" s="12"/>
    </row>
    <row r="249" ht="13.5" customHeight="1">
      <c r="A249" s="17"/>
      <c r="B249" s="12"/>
      <c r="C249" s="17"/>
      <c r="D249" s="17"/>
      <c r="E249" s="12"/>
      <c r="F249" s="12"/>
      <c r="G249" s="17"/>
      <c r="H249" s="17"/>
      <c r="I249" s="12"/>
      <c r="J249" s="12"/>
      <c r="K249" s="12"/>
      <c r="L249" s="12"/>
      <c r="M249" s="12"/>
      <c r="N249" s="12"/>
    </row>
    <row r="250" ht="13.5" customHeight="1">
      <c r="A250" s="17"/>
      <c r="B250" s="12"/>
      <c r="C250" s="17"/>
      <c r="D250" s="17"/>
      <c r="E250" s="12"/>
      <c r="F250" s="12"/>
      <c r="G250" s="17"/>
      <c r="H250" s="17"/>
      <c r="I250" s="12"/>
      <c r="J250" s="12"/>
      <c r="K250" s="12"/>
      <c r="L250" s="12"/>
      <c r="M250" s="12"/>
      <c r="N250" s="12"/>
    </row>
    <row r="251" ht="13.5" customHeight="1">
      <c r="A251" s="17"/>
      <c r="B251" s="12"/>
      <c r="C251" s="17"/>
      <c r="D251" s="17"/>
      <c r="E251" s="12"/>
      <c r="F251" s="12"/>
      <c r="G251" s="17"/>
      <c r="H251" s="17"/>
      <c r="I251" s="12"/>
      <c r="J251" s="12"/>
      <c r="K251" s="12"/>
      <c r="L251" s="12"/>
      <c r="M251" s="12"/>
      <c r="N251" s="12"/>
    </row>
    <row r="252" ht="13.5" customHeight="1">
      <c r="A252" s="17"/>
      <c r="B252" s="12"/>
      <c r="C252" s="17"/>
      <c r="D252" s="17"/>
      <c r="E252" s="12"/>
      <c r="F252" s="12"/>
      <c r="G252" s="17"/>
      <c r="H252" s="17"/>
      <c r="I252" s="12"/>
      <c r="J252" s="12"/>
      <c r="K252" s="12"/>
      <c r="L252" s="12"/>
      <c r="M252" s="12"/>
      <c r="N252" s="12"/>
    </row>
    <row r="253" ht="13.5" customHeight="1">
      <c r="A253" s="17"/>
      <c r="B253" s="12"/>
      <c r="C253" s="17"/>
      <c r="D253" s="17"/>
      <c r="E253" s="12"/>
      <c r="F253" s="12"/>
      <c r="G253" s="17"/>
      <c r="H253" s="17"/>
      <c r="I253" s="12"/>
      <c r="J253" s="12"/>
      <c r="K253" s="12"/>
      <c r="L253" s="12"/>
      <c r="M253" s="12"/>
      <c r="N253" s="12"/>
    </row>
    <row r="254" ht="13.5" customHeight="1">
      <c r="A254" s="17"/>
      <c r="B254" s="12"/>
      <c r="C254" s="17"/>
      <c r="D254" s="17"/>
      <c r="E254" s="12"/>
      <c r="F254" s="12"/>
      <c r="G254" s="17"/>
      <c r="H254" s="17"/>
      <c r="I254" s="12"/>
      <c r="J254" s="12"/>
      <c r="K254" s="12"/>
      <c r="L254" s="12"/>
      <c r="M254" s="12"/>
      <c r="N254" s="12"/>
    </row>
    <row r="255" ht="13.5" customHeight="1">
      <c r="A255" s="17"/>
      <c r="B255" s="12"/>
      <c r="C255" s="17"/>
      <c r="D255" s="17"/>
      <c r="E255" s="12"/>
      <c r="F255" s="12"/>
      <c r="G255" s="17"/>
      <c r="H255" s="17"/>
      <c r="I255" s="12"/>
      <c r="J255" s="12"/>
      <c r="K255" s="12"/>
      <c r="L255" s="12"/>
      <c r="M255" s="12"/>
      <c r="N255" s="12"/>
    </row>
    <row r="256" ht="13.5" customHeight="1">
      <c r="A256" s="17"/>
      <c r="B256" s="12"/>
      <c r="C256" s="17"/>
      <c r="D256" s="17"/>
      <c r="E256" s="12"/>
      <c r="F256" s="12"/>
      <c r="G256" s="17"/>
      <c r="H256" s="17"/>
      <c r="I256" s="12"/>
      <c r="J256" s="12"/>
      <c r="K256" s="12"/>
      <c r="L256" s="12"/>
      <c r="M256" s="12"/>
      <c r="N256" s="12"/>
    </row>
    <row r="257" ht="13.5" customHeight="1">
      <c r="A257" s="17"/>
      <c r="B257" s="12"/>
      <c r="C257" s="17"/>
      <c r="D257" s="17"/>
      <c r="E257" s="12"/>
      <c r="F257" s="12"/>
      <c r="G257" s="17"/>
      <c r="H257" s="17"/>
      <c r="I257" s="12"/>
      <c r="J257" s="12"/>
      <c r="K257" s="12"/>
      <c r="L257" s="12"/>
      <c r="M257" s="12"/>
      <c r="N257" s="12"/>
    </row>
    <row r="258" ht="13.5" customHeight="1">
      <c r="A258" s="17"/>
      <c r="B258" s="12"/>
      <c r="C258" s="17"/>
      <c r="D258" s="17"/>
      <c r="E258" s="12"/>
      <c r="F258" s="12"/>
      <c r="G258" s="17"/>
      <c r="H258" s="17"/>
      <c r="I258" s="12"/>
      <c r="J258" s="12"/>
      <c r="K258" s="12"/>
      <c r="L258" s="12"/>
      <c r="M258" s="12"/>
      <c r="N258" s="12"/>
    </row>
    <row r="259" ht="13.5" customHeight="1">
      <c r="A259" s="17"/>
      <c r="B259" s="12"/>
      <c r="C259" s="17"/>
      <c r="D259" s="17"/>
      <c r="E259" s="12"/>
      <c r="F259" s="12"/>
      <c r="G259" s="17"/>
      <c r="H259" s="17"/>
      <c r="I259" s="12"/>
      <c r="J259" s="12"/>
      <c r="K259" s="12"/>
      <c r="L259" s="12"/>
      <c r="M259" s="12"/>
      <c r="N259" s="12"/>
    </row>
    <row r="260" ht="13.5" customHeight="1">
      <c r="A260" s="17"/>
      <c r="B260" s="12"/>
      <c r="C260" s="17"/>
      <c r="D260" s="17"/>
      <c r="E260" s="12"/>
      <c r="F260" s="12"/>
      <c r="G260" s="17"/>
      <c r="H260" s="17"/>
      <c r="I260" s="12"/>
      <c r="J260" s="12"/>
      <c r="K260" s="12"/>
      <c r="L260" s="12"/>
      <c r="M260" s="12"/>
      <c r="N260" s="12"/>
    </row>
    <row r="261" ht="13.5" customHeight="1">
      <c r="A261" s="17"/>
      <c r="B261" s="12"/>
      <c r="C261" s="17"/>
      <c r="D261" s="17"/>
      <c r="E261" s="12"/>
      <c r="F261" s="12"/>
      <c r="G261" s="17"/>
      <c r="H261" s="17"/>
      <c r="I261" s="12"/>
      <c r="J261" s="12"/>
      <c r="K261" s="12"/>
      <c r="L261" s="12"/>
      <c r="M261" s="12"/>
      <c r="N261" s="12"/>
    </row>
    <row r="262" ht="13.5" customHeight="1">
      <c r="A262" s="17"/>
      <c r="B262" s="12"/>
      <c r="C262" s="17"/>
      <c r="D262" s="17"/>
      <c r="E262" s="12"/>
      <c r="F262" s="12"/>
      <c r="G262" s="17"/>
      <c r="H262" s="17"/>
      <c r="I262" s="12"/>
      <c r="J262" s="12"/>
      <c r="K262" s="12"/>
      <c r="L262" s="12"/>
      <c r="M262" s="12"/>
      <c r="N262" s="12"/>
    </row>
    <row r="263" ht="13.5" customHeight="1">
      <c r="A263" s="17"/>
      <c r="B263" s="12"/>
      <c r="C263" s="17"/>
      <c r="D263" s="17"/>
      <c r="E263" s="12"/>
      <c r="F263" s="12"/>
      <c r="G263" s="17"/>
      <c r="H263" s="17"/>
      <c r="I263" s="12"/>
      <c r="J263" s="12"/>
      <c r="K263" s="12"/>
      <c r="L263" s="12"/>
      <c r="M263" s="12"/>
      <c r="N263" s="12"/>
    </row>
    <row r="264" ht="13.5" customHeight="1">
      <c r="A264" s="17"/>
      <c r="B264" s="12"/>
      <c r="C264" s="17"/>
      <c r="D264" s="17"/>
      <c r="E264" s="12"/>
      <c r="F264" s="12"/>
      <c r="G264" s="17"/>
      <c r="H264" s="17"/>
      <c r="I264" s="12"/>
      <c r="J264" s="12"/>
      <c r="K264" s="12"/>
      <c r="L264" s="12"/>
      <c r="M264" s="12"/>
      <c r="N264" s="12"/>
    </row>
    <row r="265" ht="13.5" customHeight="1">
      <c r="A265" s="17"/>
      <c r="B265" s="12"/>
      <c r="C265" s="17"/>
      <c r="D265" s="17"/>
      <c r="E265" s="12"/>
      <c r="F265" s="12"/>
      <c r="G265" s="17"/>
      <c r="H265" s="17"/>
      <c r="I265" s="12"/>
      <c r="J265" s="12"/>
      <c r="K265" s="12"/>
      <c r="L265" s="12"/>
      <c r="M265" s="12"/>
      <c r="N265" s="12"/>
    </row>
    <row r="266" ht="13.5" customHeight="1">
      <c r="A266" s="17"/>
      <c r="B266" s="12"/>
      <c r="C266" s="17"/>
      <c r="D266" s="17"/>
      <c r="E266" s="12"/>
      <c r="F266" s="12"/>
      <c r="G266" s="17"/>
      <c r="H266" s="17"/>
      <c r="I266" s="12"/>
      <c r="J266" s="12"/>
      <c r="K266" s="12"/>
      <c r="L266" s="12"/>
      <c r="M266" s="12"/>
      <c r="N266" s="12"/>
    </row>
    <row r="267" ht="13.5" customHeight="1">
      <c r="A267" s="17"/>
      <c r="B267" s="12"/>
      <c r="C267" s="17"/>
      <c r="D267" s="17"/>
      <c r="E267" s="12"/>
      <c r="F267" s="12"/>
      <c r="G267" s="17"/>
      <c r="H267" s="17"/>
      <c r="I267" s="12"/>
      <c r="J267" s="12"/>
      <c r="K267" s="12"/>
      <c r="L267" s="12"/>
      <c r="M267" s="12"/>
      <c r="N267" s="12"/>
    </row>
    <row r="268" ht="13.5" customHeight="1">
      <c r="A268" s="17"/>
      <c r="B268" s="12"/>
      <c r="C268" s="17"/>
      <c r="D268" s="17"/>
      <c r="E268" s="12"/>
      <c r="F268" s="12"/>
      <c r="G268" s="17"/>
      <c r="H268" s="17"/>
      <c r="I268" s="12"/>
      <c r="J268" s="12"/>
      <c r="K268" s="12"/>
      <c r="L268" s="12"/>
      <c r="M268" s="12"/>
      <c r="N268" s="12"/>
    </row>
    <row r="269" ht="13.5" customHeight="1">
      <c r="A269" s="17"/>
      <c r="B269" s="12"/>
      <c r="C269" s="17"/>
      <c r="D269" s="17"/>
      <c r="E269" s="12"/>
      <c r="F269" s="12"/>
      <c r="G269" s="17"/>
      <c r="H269" s="17"/>
      <c r="I269" s="12"/>
      <c r="J269" s="12"/>
      <c r="K269" s="12"/>
      <c r="L269" s="12"/>
      <c r="M269" s="12"/>
      <c r="N269" s="12"/>
    </row>
    <row r="270" ht="13.5" customHeight="1">
      <c r="A270" s="17"/>
      <c r="B270" s="12"/>
      <c r="C270" s="17"/>
      <c r="D270" s="17"/>
      <c r="E270" s="12"/>
      <c r="F270" s="12"/>
      <c r="G270" s="17"/>
      <c r="H270" s="17"/>
      <c r="I270" s="12"/>
      <c r="J270" s="12"/>
      <c r="K270" s="12"/>
      <c r="L270" s="12"/>
      <c r="M270" s="12"/>
      <c r="N270" s="12"/>
    </row>
    <row r="271" ht="13.5" customHeight="1">
      <c r="A271" s="17"/>
      <c r="B271" s="12"/>
      <c r="C271" s="17"/>
      <c r="D271" s="17"/>
      <c r="E271" s="12"/>
      <c r="F271" s="12"/>
      <c r="G271" s="17"/>
      <c r="H271" s="17"/>
      <c r="I271" s="12"/>
      <c r="J271" s="12"/>
      <c r="K271" s="12"/>
      <c r="L271" s="12"/>
      <c r="M271" s="12"/>
      <c r="N271" s="12"/>
    </row>
    <row r="272" ht="13.5" customHeight="1">
      <c r="A272" s="17"/>
      <c r="B272" s="12"/>
      <c r="C272" s="17"/>
      <c r="D272" s="17"/>
      <c r="E272" s="12"/>
      <c r="F272" s="12"/>
      <c r="G272" s="17"/>
      <c r="H272" s="17"/>
      <c r="I272" s="12"/>
      <c r="J272" s="12"/>
      <c r="K272" s="12"/>
      <c r="L272" s="12"/>
      <c r="M272" s="12"/>
      <c r="N272" s="12"/>
    </row>
    <row r="273" ht="13.5" customHeight="1">
      <c r="A273" s="17"/>
      <c r="B273" s="12"/>
      <c r="C273" s="17"/>
      <c r="D273" s="17"/>
      <c r="E273" s="12"/>
      <c r="F273" s="12"/>
      <c r="G273" s="17"/>
      <c r="H273" s="17"/>
      <c r="I273" s="12"/>
      <c r="J273" s="12"/>
      <c r="K273" s="12"/>
      <c r="L273" s="12"/>
      <c r="M273" s="12"/>
      <c r="N273" s="12"/>
    </row>
    <row r="274" ht="13.5" customHeight="1">
      <c r="A274" s="17"/>
      <c r="B274" s="12"/>
      <c r="C274" s="17"/>
      <c r="D274" s="17"/>
      <c r="E274" s="12"/>
      <c r="F274" s="12"/>
      <c r="G274" s="17"/>
      <c r="H274" s="17"/>
      <c r="I274" s="12"/>
      <c r="J274" s="12"/>
      <c r="K274" s="12"/>
      <c r="L274" s="12"/>
      <c r="M274" s="12"/>
      <c r="N274" s="12"/>
    </row>
    <row r="275" ht="13.5" customHeight="1">
      <c r="A275" s="17"/>
      <c r="B275" s="12"/>
      <c r="C275" s="17"/>
      <c r="D275" s="17"/>
      <c r="E275" s="12"/>
      <c r="F275" s="12"/>
      <c r="G275" s="17"/>
      <c r="H275" s="17"/>
      <c r="I275" s="12"/>
      <c r="J275" s="12"/>
      <c r="K275" s="12"/>
      <c r="L275" s="12"/>
      <c r="M275" s="12"/>
      <c r="N275" s="12"/>
    </row>
    <row r="276" ht="13.5" customHeight="1">
      <c r="A276" s="17"/>
      <c r="B276" s="12"/>
      <c r="C276" s="17"/>
      <c r="D276" s="17"/>
      <c r="E276" s="12"/>
      <c r="F276" s="12"/>
      <c r="G276" s="17"/>
      <c r="H276" s="17"/>
      <c r="I276" s="12"/>
      <c r="J276" s="12"/>
      <c r="K276" s="12"/>
      <c r="L276" s="12"/>
      <c r="M276" s="12"/>
      <c r="N276" s="12"/>
    </row>
    <row r="277" ht="13.5" customHeight="1">
      <c r="A277" s="17"/>
      <c r="B277" s="12"/>
      <c r="C277" s="17"/>
      <c r="D277" s="17"/>
      <c r="E277" s="12"/>
      <c r="F277" s="12"/>
      <c r="G277" s="17"/>
      <c r="H277" s="17"/>
      <c r="I277" s="12"/>
      <c r="J277" s="12"/>
      <c r="K277" s="12"/>
      <c r="L277" s="12"/>
      <c r="M277" s="12"/>
      <c r="N277" s="12"/>
    </row>
    <row r="278" ht="13.5" customHeight="1">
      <c r="A278" s="17"/>
      <c r="B278" s="12"/>
      <c r="C278" s="17"/>
      <c r="D278" s="17"/>
      <c r="E278" s="12"/>
      <c r="F278" s="12"/>
      <c r="G278" s="17"/>
      <c r="H278" s="17"/>
      <c r="I278" s="12"/>
      <c r="J278" s="12"/>
      <c r="K278" s="12"/>
      <c r="L278" s="12"/>
      <c r="M278" s="12"/>
      <c r="N278" s="12"/>
    </row>
    <row r="279" ht="13.5" customHeight="1">
      <c r="A279" s="17"/>
      <c r="B279" s="12"/>
      <c r="C279" s="17"/>
      <c r="D279" s="17"/>
      <c r="E279" s="12"/>
      <c r="F279" s="12"/>
      <c r="G279" s="17"/>
      <c r="H279" s="17"/>
      <c r="I279" s="12"/>
      <c r="J279" s="12"/>
      <c r="K279" s="12"/>
      <c r="L279" s="12"/>
      <c r="M279" s="12"/>
      <c r="N279" s="12"/>
    </row>
    <row r="280" ht="13.5" customHeight="1">
      <c r="A280" s="17"/>
      <c r="B280" s="12"/>
      <c r="C280" s="17"/>
      <c r="D280" s="17"/>
      <c r="E280" s="12"/>
      <c r="F280" s="12"/>
      <c r="G280" s="17"/>
      <c r="H280" s="17"/>
      <c r="I280" s="12"/>
      <c r="J280" s="12"/>
      <c r="K280" s="12"/>
      <c r="L280" s="12"/>
      <c r="M280" s="12"/>
      <c r="N280" s="12"/>
    </row>
    <row r="281" ht="13.5" customHeight="1">
      <c r="A281" s="17"/>
      <c r="B281" s="12"/>
      <c r="C281" s="17"/>
      <c r="D281" s="17"/>
      <c r="E281" s="12"/>
      <c r="F281" s="12"/>
      <c r="G281" s="17"/>
      <c r="H281" s="17"/>
      <c r="I281" s="12"/>
      <c r="J281" s="12"/>
      <c r="K281" s="12"/>
      <c r="L281" s="12"/>
      <c r="M281" s="12"/>
      <c r="N281" s="12"/>
    </row>
    <row r="282" ht="13.5" customHeight="1">
      <c r="A282" s="17"/>
      <c r="B282" s="12"/>
      <c r="C282" s="17"/>
      <c r="D282" s="17"/>
      <c r="E282" s="12"/>
      <c r="F282" s="12"/>
      <c r="G282" s="17"/>
      <c r="H282" s="17"/>
      <c r="I282" s="12"/>
      <c r="J282" s="12"/>
      <c r="K282" s="12"/>
      <c r="L282" s="12"/>
      <c r="M282" s="12"/>
      <c r="N282" s="12"/>
    </row>
    <row r="283" ht="13.5" customHeight="1">
      <c r="A283" s="17"/>
      <c r="B283" s="12"/>
      <c r="C283" s="17"/>
      <c r="D283" s="17"/>
      <c r="E283" s="12"/>
      <c r="F283" s="12"/>
      <c r="G283" s="17"/>
      <c r="H283" s="17"/>
      <c r="I283" s="12"/>
      <c r="J283" s="12"/>
      <c r="K283" s="12"/>
      <c r="L283" s="12"/>
      <c r="M283" s="12"/>
      <c r="N283" s="12"/>
    </row>
    <row r="284" ht="13.5" customHeight="1">
      <c r="A284" s="17"/>
      <c r="B284" s="12"/>
      <c r="C284" s="17"/>
      <c r="D284" s="17"/>
      <c r="E284" s="12"/>
      <c r="F284" s="12"/>
      <c r="G284" s="17"/>
      <c r="H284" s="17"/>
      <c r="I284" s="12"/>
      <c r="J284" s="12"/>
      <c r="K284" s="12"/>
      <c r="L284" s="12"/>
      <c r="M284" s="12"/>
      <c r="N284" s="12"/>
    </row>
    <row r="285" ht="13.5" customHeight="1">
      <c r="A285" s="17"/>
      <c r="B285" s="12"/>
      <c r="C285" s="17"/>
      <c r="D285" s="17"/>
      <c r="E285" s="12"/>
      <c r="F285" s="12"/>
      <c r="G285" s="17"/>
      <c r="H285" s="17"/>
      <c r="I285" s="12"/>
      <c r="J285" s="12"/>
      <c r="K285" s="12"/>
      <c r="L285" s="12"/>
      <c r="M285" s="12"/>
      <c r="N285" s="12"/>
    </row>
    <row r="286" ht="13.5" customHeight="1">
      <c r="A286" s="17"/>
      <c r="B286" s="12"/>
      <c r="C286" s="17"/>
      <c r="D286" s="17"/>
      <c r="E286" s="12"/>
      <c r="F286" s="12"/>
      <c r="G286" s="17"/>
      <c r="H286" s="17"/>
      <c r="I286" s="12"/>
      <c r="J286" s="12"/>
      <c r="K286" s="12"/>
      <c r="L286" s="12"/>
      <c r="M286" s="12"/>
      <c r="N286" s="12"/>
    </row>
    <row r="287" ht="13.5" customHeight="1">
      <c r="A287" s="17"/>
      <c r="B287" s="12"/>
      <c r="C287" s="17"/>
      <c r="D287" s="17"/>
      <c r="E287" s="12"/>
      <c r="F287" s="12"/>
      <c r="G287" s="17"/>
      <c r="H287" s="17"/>
      <c r="I287" s="12"/>
      <c r="J287" s="12"/>
      <c r="K287" s="12"/>
      <c r="L287" s="12"/>
      <c r="M287" s="12"/>
      <c r="N287" s="12"/>
    </row>
    <row r="288" ht="13.5" customHeight="1">
      <c r="A288" s="17"/>
      <c r="B288" s="12"/>
      <c r="C288" s="17"/>
      <c r="D288" s="17"/>
      <c r="E288" s="12"/>
      <c r="F288" s="12"/>
      <c r="G288" s="17"/>
      <c r="H288" s="17"/>
      <c r="I288" s="12"/>
      <c r="J288" s="12"/>
      <c r="K288" s="12"/>
      <c r="L288" s="12"/>
      <c r="M288" s="12"/>
      <c r="N288" s="12"/>
    </row>
    <row r="289" ht="13.5" customHeight="1">
      <c r="A289" s="17"/>
      <c r="B289" s="12"/>
      <c r="C289" s="17"/>
      <c r="D289" s="17"/>
      <c r="E289" s="12"/>
      <c r="F289" s="12"/>
      <c r="G289" s="17"/>
      <c r="H289" s="17"/>
      <c r="I289" s="12"/>
      <c r="J289" s="12"/>
      <c r="K289" s="12"/>
      <c r="L289" s="12"/>
      <c r="M289" s="12"/>
      <c r="N289" s="12"/>
    </row>
    <row r="290" ht="13.5" customHeight="1">
      <c r="A290" s="17"/>
      <c r="B290" s="12"/>
      <c r="C290" s="17"/>
      <c r="D290" s="17"/>
      <c r="E290" s="12"/>
      <c r="F290" s="12"/>
      <c r="G290" s="17"/>
      <c r="H290" s="17"/>
      <c r="I290" s="12"/>
      <c r="J290" s="12"/>
      <c r="K290" s="12"/>
      <c r="L290" s="12"/>
      <c r="M290" s="12"/>
      <c r="N290" s="12"/>
    </row>
    <row r="291" ht="13.5" customHeight="1">
      <c r="A291" s="17"/>
      <c r="B291" s="12"/>
      <c r="C291" s="17"/>
      <c r="D291" s="17"/>
      <c r="E291" s="12"/>
      <c r="F291" s="12"/>
      <c r="G291" s="17"/>
      <c r="H291" s="17"/>
      <c r="I291" s="12"/>
      <c r="J291" s="12"/>
      <c r="K291" s="12"/>
      <c r="L291" s="12"/>
      <c r="M291" s="12"/>
      <c r="N291" s="12"/>
    </row>
    <row r="292" ht="13.5" customHeight="1">
      <c r="A292" s="17"/>
      <c r="B292" s="12"/>
      <c r="C292" s="17"/>
      <c r="D292" s="17"/>
      <c r="E292" s="12"/>
      <c r="F292" s="12"/>
      <c r="G292" s="17"/>
      <c r="H292" s="17"/>
      <c r="I292" s="12"/>
      <c r="J292" s="12"/>
      <c r="K292" s="12"/>
      <c r="L292" s="12"/>
      <c r="M292" s="12"/>
      <c r="N292" s="12"/>
    </row>
    <row r="293" ht="13.5" customHeight="1">
      <c r="A293" s="17"/>
      <c r="B293" s="12"/>
      <c r="C293" s="17"/>
      <c r="D293" s="17"/>
      <c r="E293" s="12"/>
      <c r="F293" s="12"/>
      <c r="G293" s="17"/>
      <c r="H293" s="17"/>
      <c r="I293" s="12"/>
      <c r="J293" s="12"/>
      <c r="K293" s="12"/>
      <c r="L293" s="12"/>
      <c r="M293" s="12"/>
      <c r="N293" s="12"/>
    </row>
    <row r="294" ht="13.5" customHeight="1">
      <c r="A294" s="17"/>
      <c r="B294" s="12"/>
      <c r="C294" s="17"/>
      <c r="D294" s="17"/>
      <c r="E294" s="12"/>
      <c r="F294" s="12"/>
      <c r="G294" s="17"/>
      <c r="H294" s="17"/>
      <c r="I294" s="12"/>
      <c r="J294" s="12"/>
      <c r="K294" s="12"/>
      <c r="L294" s="12"/>
      <c r="M294" s="12"/>
      <c r="N294" s="12"/>
    </row>
    <row r="295" ht="13.5" customHeight="1">
      <c r="A295" s="17"/>
      <c r="B295" s="12"/>
      <c r="C295" s="17"/>
      <c r="D295" s="17"/>
      <c r="E295" s="12"/>
      <c r="F295" s="12"/>
      <c r="G295" s="17"/>
      <c r="H295" s="17"/>
      <c r="I295" s="12"/>
      <c r="J295" s="12"/>
      <c r="K295" s="12"/>
      <c r="L295" s="12"/>
      <c r="M295" s="12"/>
      <c r="N295" s="12"/>
    </row>
    <row r="296" ht="13.5" customHeight="1">
      <c r="A296" s="17"/>
      <c r="B296" s="12"/>
      <c r="C296" s="17"/>
      <c r="D296" s="17"/>
      <c r="E296" s="12"/>
      <c r="F296" s="12"/>
      <c r="G296" s="17"/>
      <c r="H296" s="17"/>
      <c r="I296" s="12"/>
      <c r="J296" s="12"/>
      <c r="K296" s="12"/>
      <c r="L296" s="12"/>
      <c r="M296" s="12"/>
      <c r="N296" s="12"/>
    </row>
    <row r="297" ht="13.5" customHeight="1">
      <c r="A297" s="17"/>
      <c r="B297" s="12"/>
      <c r="C297" s="17"/>
      <c r="D297" s="17"/>
      <c r="E297" s="12"/>
      <c r="F297" s="12"/>
      <c r="G297" s="17"/>
      <c r="H297" s="17"/>
      <c r="I297" s="12"/>
      <c r="J297" s="12"/>
      <c r="K297" s="12"/>
      <c r="L297" s="12"/>
      <c r="M297" s="12"/>
      <c r="N297" s="12"/>
    </row>
    <row r="298" ht="13.5" customHeight="1">
      <c r="A298" s="17"/>
      <c r="B298" s="12"/>
      <c r="C298" s="17"/>
      <c r="D298" s="17"/>
      <c r="E298" s="12"/>
      <c r="F298" s="12"/>
      <c r="G298" s="17"/>
      <c r="H298" s="17"/>
      <c r="I298" s="12"/>
      <c r="J298" s="12"/>
      <c r="K298" s="12"/>
      <c r="L298" s="12"/>
      <c r="M298" s="12"/>
      <c r="N298" s="12"/>
    </row>
    <row r="299" ht="13.5" customHeight="1">
      <c r="A299" s="17"/>
      <c r="B299" s="12"/>
      <c r="C299" s="17"/>
      <c r="D299" s="17"/>
      <c r="E299" s="12"/>
      <c r="F299" s="12"/>
      <c r="G299" s="17"/>
      <c r="H299" s="17"/>
      <c r="I299" s="12"/>
      <c r="J299" s="12"/>
      <c r="K299" s="12"/>
      <c r="L299" s="12"/>
      <c r="M299" s="12"/>
      <c r="N299" s="12"/>
    </row>
    <row r="300" ht="13.5" customHeight="1">
      <c r="A300" s="17"/>
      <c r="B300" s="12"/>
      <c r="C300" s="17"/>
      <c r="D300" s="17"/>
      <c r="E300" s="12"/>
      <c r="F300" s="12"/>
      <c r="G300" s="17"/>
      <c r="H300" s="17"/>
      <c r="I300" s="12"/>
      <c r="J300" s="12"/>
      <c r="K300" s="12"/>
      <c r="L300" s="12"/>
      <c r="M300" s="12"/>
      <c r="N300" s="12"/>
    </row>
    <row r="301" ht="13.5" customHeight="1">
      <c r="A301" s="17"/>
      <c r="B301" s="12"/>
      <c r="C301" s="17"/>
      <c r="D301" s="17"/>
      <c r="E301" s="12"/>
      <c r="F301" s="12"/>
      <c r="G301" s="17"/>
      <c r="H301" s="17"/>
      <c r="I301" s="12"/>
      <c r="J301" s="12"/>
      <c r="K301" s="12"/>
      <c r="L301" s="12"/>
      <c r="M301" s="12"/>
      <c r="N301" s="12"/>
    </row>
    <row r="302" ht="13.5" customHeight="1">
      <c r="A302" s="17"/>
      <c r="B302" s="12"/>
      <c r="C302" s="17"/>
      <c r="D302" s="17"/>
      <c r="E302" s="12"/>
      <c r="F302" s="12"/>
      <c r="G302" s="17"/>
      <c r="H302" s="17"/>
      <c r="I302" s="12"/>
      <c r="J302" s="12"/>
      <c r="K302" s="12"/>
      <c r="L302" s="12"/>
      <c r="M302" s="12"/>
      <c r="N302" s="12"/>
    </row>
    <row r="303" ht="13.5" customHeight="1">
      <c r="A303" s="17"/>
      <c r="B303" s="12"/>
      <c r="C303" s="17"/>
      <c r="D303" s="17"/>
      <c r="E303" s="12"/>
      <c r="F303" s="12"/>
      <c r="G303" s="17"/>
      <c r="H303" s="17"/>
      <c r="I303" s="12"/>
      <c r="J303" s="12"/>
      <c r="K303" s="12"/>
      <c r="L303" s="12"/>
      <c r="M303" s="12"/>
      <c r="N303" s="12"/>
    </row>
    <row r="304" ht="13.5" customHeight="1">
      <c r="A304" s="17"/>
      <c r="B304" s="12"/>
      <c r="C304" s="17"/>
      <c r="D304" s="17"/>
      <c r="E304" s="12"/>
      <c r="F304" s="12"/>
      <c r="G304" s="17"/>
      <c r="H304" s="17"/>
      <c r="I304" s="12"/>
      <c r="J304" s="12"/>
      <c r="K304" s="12"/>
      <c r="L304" s="12"/>
      <c r="M304" s="12"/>
      <c r="N304" s="12"/>
    </row>
    <row r="305" ht="13.5" customHeight="1">
      <c r="A305" s="17"/>
      <c r="B305" s="12"/>
      <c r="C305" s="17"/>
      <c r="D305" s="17"/>
      <c r="E305" s="12"/>
      <c r="F305" s="12"/>
      <c r="G305" s="17"/>
      <c r="H305" s="17"/>
      <c r="I305" s="12"/>
      <c r="J305" s="12"/>
      <c r="K305" s="12"/>
      <c r="L305" s="12"/>
      <c r="M305" s="12"/>
      <c r="N305" s="12"/>
    </row>
    <row r="306" ht="13.5" customHeight="1">
      <c r="A306" s="17"/>
      <c r="B306" s="12"/>
      <c r="C306" s="17"/>
      <c r="D306" s="17"/>
      <c r="E306" s="12"/>
      <c r="F306" s="12"/>
      <c r="G306" s="17"/>
      <c r="H306" s="17"/>
      <c r="I306" s="12"/>
      <c r="J306" s="12"/>
      <c r="K306" s="12"/>
      <c r="L306" s="12"/>
      <c r="M306" s="12"/>
      <c r="N306" s="12"/>
    </row>
    <row r="307" ht="13.5" customHeight="1">
      <c r="A307" s="17"/>
      <c r="B307" s="12"/>
      <c r="C307" s="17"/>
      <c r="D307" s="17"/>
      <c r="E307" s="12"/>
      <c r="F307" s="12"/>
      <c r="G307" s="17"/>
      <c r="H307" s="17"/>
      <c r="I307" s="12"/>
      <c r="J307" s="12"/>
      <c r="K307" s="12"/>
      <c r="L307" s="12"/>
      <c r="M307" s="12"/>
      <c r="N307" s="12"/>
    </row>
    <row r="308" ht="13.5" customHeight="1">
      <c r="A308" s="17"/>
      <c r="B308" s="12"/>
      <c r="C308" s="17"/>
      <c r="D308" s="17"/>
      <c r="E308" s="12"/>
      <c r="F308" s="12"/>
      <c r="G308" s="17"/>
      <c r="H308" s="17"/>
      <c r="I308" s="12"/>
      <c r="J308" s="12"/>
      <c r="K308" s="12"/>
      <c r="L308" s="12"/>
      <c r="M308" s="12"/>
      <c r="N308" s="12"/>
    </row>
    <row r="309" ht="13.5" customHeight="1">
      <c r="A309" s="17"/>
      <c r="B309" s="12"/>
      <c r="C309" s="17"/>
      <c r="D309" s="17"/>
      <c r="E309" s="12"/>
      <c r="F309" s="12"/>
      <c r="G309" s="17"/>
      <c r="H309" s="17"/>
      <c r="I309" s="12"/>
      <c r="J309" s="12"/>
      <c r="K309" s="12"/>
      <c r="L309" s="12"/>
      <c r="M309" s="12"/>
      <c r="N309" s="12"/>
    </row>
    <row r="310" ht="13.5" customHeight="1">
      <c r="A310" s="17"/>
      <c r="B310" s="12"/>
      <c r="C310" s="17"/>
      <c r="D310" s="17"/>
      <c r="E310" s="12"/>
      <c r="F310" s="12"/>
      <c r="G310" s="17"/>
      <c r="H310" s="17"/>
      <c r="I310" s="12"/>
      <c r="J310" s="12"/>
      <c r="K310" s="12"/>
      <c r="L310" s="12"/>
      <c r="M310" s="12"/>
      <c r="N310" s="12"/>
    </row>
    <row r="311" ht="13.5" customHeight="1">
      <c r="A311" s="17"/>
      <c r="B311" s="12"/>
      <c r="C311" s="17"/>
      <c r="D311" s="17"/>
      <c r="E311" s="12"/>
      <c r="F311" s="12"/>
      <c r="G311" s="17"/>
      <c r="H311" s="17"/>
      <c r="I311" s="12"/>
      <c r="J311" s="12"/>
      <c r="K311" s="12"/>
      <c r="L311" s="12"/>
      <c r="M311" s="12"/>
      <c r="N311" s="12"/>
    </row>
    <row r="312" ht="13.5" customHeight="1">
      <c r="A312" s="17"/>
      <c r="B312" s="12"/>
      <c r="C312" s="17"/>
      <c r="D312" s="17"/>
      <c r="E312" s="12"/>
      <c r="F312" s="12"/>
      <c r="G312" s="17"/>
      <c r="H312" s="17"/>
      <c r="I312" s="12"/>
      <c r="J312" s="12"/>
      <c r="K312" s="12"/>
      <c r="L312" s="12"/>
      <c r="M312" s="12"/>
      <c r="N312" s="12"/>
    </row>
    <row r="313" ht="13.5" customHeight="1">
      <c r="A313" s="17"/>
      <c r="B313" s="12"/>
      <c r="C313" s="17"/>
      <c r="D313" s="17"/>
      <c r="E313" s="12"/>
      <c r="F313" s="12"/>
      <c r="G313" s="17"/>
      <c r="H313" s="17"/>
      <c r="I313" s="12"/>
      <c r="J313" s="12"/>
      <c r="K313" s="12"/>
      <c r="L313" s="12"/>
      <c r="M313" s="12"/>
      <c r="N313" s="12"/>
    </row>
    <row r="314" ht="13.5" customHeight="1">
      <c r="A314" s="17"/>
      <c r="B314" s="12"/>
      <c r="C314" s="17"/>
      <c r="D314" s="17"/>
      <c r="E314" s="12"/>
      <c r="F314" s="12"/>
      <c r="G314" s="17"/>
      <c r="H314" s="17"/>
      <c r="I314" s="12"/>
      <c r="J314" s="12"/>
      <c r="K314" s="12"/>
      <c r="L314" s="12"/>
      <c r="M314" s="12"/>
      <c r="N314" s="12"/>
    </row>
    <row r="315" ht="13.5" customHeight="1">
      <c r="A315" s="17"/>
      <c r="B315" s="12"/>
      <c r="C315" s="17"/>
      <c r="D315" s="17"/>
      <c r="E315" s="12"/>
      <c r="F315" s="12"/>
      <c r="G315" s="17"/>
      <c r="H315" s="17"/>
      <c r="I315" s="12"/>
      <c r="J315" s="12"/>
      <c r="K315" s="12"/>
      <c r="L315" s="12"/>
      <c r="M315" s="12"/>
      <c r="N315" s="12"/>
    </row>
    <row r="316" ht="13.5" customHeight="1">
      <c r="A316" s="17"/>
      <c r="B316" s="12"/>
      <c r="C316" s="17"/>
      <c r="D316" s="17"/>
      <c r="E316" s="12"/>
      <c r="F316" s="12"/>
      <c r="G316" s="17"/>
      <c r="H316" s="17"/>
      <c r="I316" s="12"/>
      <c r="J316" s="12"/>
      <c r="K316" s="12"/>
      <c r="L316" s="12"/>
      <c r="M316" s="12"/>
      <c r="N316" s="12"/>
    </row>
    <row r="317" ht="13.5" customHeight="1">
      <c r="A317" s="17"/>
      <c r="B317" s="12"/>
      <c r="C317" s="17"/>
      <c r="D317" s="17"/>
      <c r="E317" s="12"/>
      <c r="F317" s="12"/>
      <c r="G317" s="17"/>
      <c r="H317" s="17"/>
      <c r="I317" s="12"/>
      <c r="J317" s="12"/>
      <c r="K317" s="12"/>
      <c r="L317" s="12"/>
      <c r="M317" s="12"/>
      <c r="N317" s="12"/>
    </row>
    <row r="318" ht="13.5" customHeight="1">
      <c r="A318" s="17"/>
      <c r="B318" s="12"/>
      <c r="C318" s="17"/>
      <c r="D318" s="17"/>
      <c r="E318" s="12"/>
      <c r="F318" s="12"/>
      <c r="G318" s="17"/>
      <c r="H318" s="17"/>
      <c r="I318" s="12"/>
      <c r="J318" s="12"/>
      <c r="K318" s="12"/>
      <c r="L318" s="12"/>
      <c r="M318" s="12"/>
      <c r="N318" s="12"/>
    </row>
    <row r="319" ht="13.5" customHeight="1">
      <c r="A319" s="17"/>
      <c r="B319" s="12"/>
      <c r="C319" s="17"/>
      <c r="D319" s="17"/>
      <c r="E319" s="12"/>
      <c r="F319" s="12"/>
      <c r="G319" s="17"/>
      <c r="H319" s="17"/>
      <c r="I319" s="12"/>
      <c r="J319" s="12"/>
      <c r="K319" s="12"/>
      <c r="L319" s="12"/>
      <c r="M319" s="12"/>
      <c r="N319" s="12"/>
    </row>
    <row r="320" ht="13.5" customHeight="1">
      <c r="A320" s="17"/>
      <c r="B320" s="12"/>
      <c r="C320" s="17"/>
      <c r="D320" s="17"/>
      <c r="E320" s="12"/>
      <c r="F320" s="12"/>
      <c r="G320" s="17"/>
      <c r="H320" s="17"/>
      <c r="I320" s="12"/>
      <c r="J320" s="12"/>
      <c r="K320" s="12"/>
      <c r="L320" s="12"/>
      <c r="M320" s="12"/>
      <c r="N320" s="12"/>
    </row>
    <row r="321" ht="13.5" customHeight="1">
      <c r="A321" s="17"/>
      <c r="B321" s="12"/>
      <c r="C321" s="17"/>
      <c r="D321" s="17"/>
      <c r="E321" s="12"/>
      <c r="F321" s="12"/>
      <c r="G321" s="17"/>
      <c r="H321" s="17"/>
      <c r="I321" s="12"/>
      <c r="J321" s="12"/>
      <c r="K321" s="12"/>
      <c r="L321" s="12"/>
      <c r="M321" s="12"/>
      <c r="N321" s="12"/>
    </row>
    <row r="322" ht="13.5" customHeight="1">
      <c r="A322" s="17"/>
      <c r="B322" s="12"/>
      <c r="C322" s="17"/>
      <c r="D322" s="17"/>
      <c r="E322" s="12"/>
      <c r="F322" s="12"/>
      <c r="G322" s="17"/>
      <c r="H322" s="17"/>
      <c r="I322" s="12"/>
      <c r="J322" s="12"/>
      <c r="K322" s="12"/>
      <c r="L322" s="12"/>
      <c r="M322" s="12"/>
      <c r="N322" s="12"/>
    </row>
    <row r="323" ht="13.5" customHeight="1">
      <c r="A323" s="17"/>
      <c r="B323" s="12"/>
      <c r="C323" s="17"/>
      <c r="D323" s="17"/>
      <c r="E323" s="12"/>
      <c r="F323" s="12"/>
      <c r="G323" s="17"/>
      <c r="H323" s="17"/>
      <c r="I323" s="12"/>
      <c r="J323" s="12"/>
      <c r="K323" s="12"/>
      <c r="L323" s="12"/>
      <c r="M323" s="12"/>
      <c r="N323" s="12"/>
    </row>
    <row r="324" ht="13.5" customHeight="1">
      <c r="A324" s="17"/>
      <c r="B324" s="12"/>
      <c r="C324" s="17"/>
      <c r="D324" s="17"/>
      <c r="E324" s="12"/>
      <c r="F324" s="12"/>
      <c r="G324" s="17"/>
      <c r="H324" s="17"/>
      <c r="I324" s="12"/>
      <c r="J324" s="12"/>
      <c r="K324" s="12"/>
      <c r="L324" s="12"/>
      <c r="M324" s="12"/>
      <c r="N324" s="12"/>
    </row>
    <row r="325" ht="13.5" customHeight="1">
      <c r="A325" s="17"/>
      <c r="B325" s="12"/>
      <c r="C325" s="17"/>
      <c r="D325" s="17"/>
      <c r="E325" s="12"/>
      <c r="F325" s="12"/>
      <c r="G325" s="17"/>
      <c r="H325" s="17"/>
      <c r="I325" s="12"/>
      <c r="J325" s="12"/>
      <c r="K325" s="12"/>
      <c r="L325" s="12"/>
      <c r="M325" s="12"/>
      <c r="N325" s="12"/>
    </row>
    <row r="326" ht="13.5" customHeight="1">
      <c r="A326" s="17"/>
      <c r="B326" s="12"/>
      <c r="C326" s="17"/>
      <c r="D326" s="17"/>
      <c r="E326" s="12"/>
      <c r="F326" s="12"/>
      <c r="G326" s="17"/>
      <c r="H326" s="17"/>
      <c r="I326" s="12"/>
      <c r="J326" s="12"/>
      <c r="K326" s="12"/>
      <c r="L326" s="12"/>
      <c r="M326" s="12"/>
      <c r="N326" s="12"/>
    </row>
    <row r="327" ht="13.5" customHeight="1">
      <c r="A327" s="17"/>
      <c r="B327" s="12"/>
      <c r="C327" s="17"/>
      <c r="D327" s="17"/>
      <c r="E327" s="12"/>
      <c r="F327" s="12"/>
      <c r="G327" s="17"/>
      <c r="H327" s="17"/>
      <c r="I327" s="12"/>
      <c r="J327" s="12"/>
      <c r="K327" s="12"/>
      <c r="L327" s="12"/>
      <c r="M327" s="12"/>
      <c r="N327" s="12"/>
    </row>
    <row r="328" ht="13.5" customHeight="1">
      <c r="A328" s="17"/>
      <c r="B328" s="12"/>
      <c r="C328" s="17"/>
      <c r="D328" s="17"/>
      <c r="E328" s="12"/>
      <c r="F328" s="12"/>
      <c r="G328" s="17"/>
      <c r="H328" s="17"/>
      <c r="I328" s="12"/>
      <c r="J328" s="12"/>
      <c r="K328" s="12"/>
      <c r="L328" s="12"/>
      <c r="M328" s="12"/>
      <c r="N328" s="12"/>
    </row>
    <row r="329" ht="13.5" customHeight="1">
      <c r="A329" s="17"/>
      <c r="B329" s="12"/>
      <c r="C329" s="17"/>
      <c r="D329" s="17"/>
      <c r="E329" s="12"/>
      <c r="F329" s="12"/>
      <c r="G329" s="17"/>
      <c r="H329" s="17"/>
      <c r="I329" s="12"/>
      <c r="J329" s="12"/>
      <c r="K329" s="12"/>
      <c r="L329" s="12"/>
      <c r="M329" s="12"/>
      <c r="N329" s="12"/>
    </row>
    <row r="330" ht="13.5" customHeight="1">
      <c r="A330" s="17"/>
      <c r="B330" s="12"/>
      <c r="C330" s="17"/>
      <c r="D330" s="17"/>
      <c r="E330" s="12"/>
      <c r="F330" s="12"/>
      <c r="G330" s="17"/>
      <c r="H330" s="17"/>
      <c r="I330" s="12"/>
      <c r="J330" s="12"/>
      <c r="K330" s="12"/>
      <c r="L330" s="12"/>
      <c r="M330" s="12"/>
      <c r="N330" s="12"/>
    </row>
    <row r="331" ht="13.5" customHeight="1">
      <c r="A331" s="17"/>
      <c r="B331" s="12"/>
      <c r="C331" s="17"/>
      <c r="D331" s="17"/>
      <c r="E331" s="12"/>
      <c r="F331" s="12"/>
      <c r="G331" s="17"/>
      <c r="H331" s="17"/>
      <c r="I331" s="12"/>
      <c r="J331" s="12"/>
      <c r="K331" s="12"/>
      <c r="L331" s="12"/>
      <c r="M331" s="12"/>
      <c r="N331" s="12"/>
    </row>
    <row r="332" ht="13.5" customHeight="1">
      <c r="A332" s="17"/>
      <c r="B332" s="12"/>
      <c r="C332" s="17"/>
      <c r="D332" s="17"/>
      <c r="E332" s="12"/>
      <c r="F332" s="12"/>
      <c r="G332" s="17"/>
      <c r="H332" s="17"/>
      <c r="I332" s="12"/>
      <c r="J332" s="12"/>
      <c r="K332" s="12"/>
      <c r="L332" s="12"/>
      <c r="M332" s="12"/>
      <c r="N332" s="12"/>
    </row>
    <row r="333" ht="13.5" customHeight="1">
      <c r="A333" s="17"/>
      <c r="B333" s="12"/>
      <c r="C333" s="17"/>
      <c r="D333" s="17"/>
      <c r="E333" s="12"/>
      <c r="F333" s="12"/>
      <c r="G333" s="17"/>
      <c r="H333" s="17"/>
      <c r="I333" s="12"/>
      <c r="J333" s="12"/>
      <c r="K333" s="12"/>
      <c r="L333" s="12"/>
      <c r="M333" s="12"/>
      <c r="N333" s="12"/>
    </row>
    <row r="334" ht="13.5" customHeight="1">
      <c r="A334" s="17"/>
      <c r="B334" s="12"/>
      <c r="C334" s="17"/>
      <c r="D334" s="17"/>
      <c r="E334" s="12"/>
      <c r="F334" s="12"/>
      <c r="G334" s="17"/>
      <c r="H334" s="17"/>
      <c r="I334" s="12"/>
      <c r="J334" s="12"/>
      <c r="K334" s="12"/>
      <c r="L334" s="12"/>
      <c r="M334" s="12"/>
      <c r="N334" s="12"/>
    </row>
    <row r="335" ht="13.5" customHeight="1">
      <c r="A335" s="17"/>
      <c r="B335" s="12"/>
      <c r="C335" s="17"/>
      <c r="D335" s="17"/>
      <c r="E335" s="12"/>
      <c r="F335" s="12"/>
      <c r="G335" s="17"/>
      <c r="H335" s="17"/>
      <c r="I335" s="12"/>
      <c r="J335" s="12"/>
      <c r="K335" s="12"/>
      <c r="L335" s="12"/>
      <c r="M335" s="12"/>
      <c r="N335" s="12"/>
    </row>
    <row r="336" ht="13.5" customHeight="1">
      <c r="A336" s="17"/>
      <c r="B336" s="12"/>
      <c r="C336" s="17"/>
      <c r="D336" s="17"/>
      <c r="E336" s="12"/>
      <c r="F336" s="12"/>
      <c r="G336" s="17"/>
      <c r="H336" s="17"/>
      <c r="I336" s="12"/>
      <c r="J336" s="12"/>
      <c r="K336" s="12"/>
      <c r="L336" s="12"/>
      <c r="M336" s="12"/>
      <c r="N336" s="12"/>
    </row>
    <row r="337" ht="13.5" customHeight="1">
      <c r="A337" s="17"/>
      <c r="B337" s="12"/>
      <c r="C337" s="17"/>
      <c r="D337" s="17"/>
      <c r="E337" s="12"/>
      <c r="F337" s="12"/>
      <c r="G337" s="17"/>
      <c r="H337" s="17"/>
      <c r="I337" s="12"/>
      <c r="J337" s="12"/>
      <c r="K337" s="12"/>
      <c r="L337" s="12"/>
      <c r="M337" s="12"/>
      <c r="N337" s="12"/>
    </row>
    <row r="338" ht="13.5" customHeight="1">
      <c r="A338" s="17"/>
      <c r="B338" s="12"/>
      <c r="C338" s="17"/>
      <c r="D338" s="17"/>
      <c r="E338" s="12"/>
      <c r="F338" s="12"/>
      <c r="G338" s="17"/>
      <c r="H338" s="17"/>
      <c r="I338" s="12"/>
      <c r="J338" s="12"/>
      <c r="K338" s="12"/>
      <c r="L338" s="12"/>
      <c r="M338" s="12"/>
      <c r="N338" s="12"/>
    </row>
    <row r="339" ht="13.5" customHeight="1">
      <c r="A339" s="17"/>
      <c r="B339" s="12"/>
      <c r="C339" s="17"/>
      <c r="D339" s="17"/>
      <c r="E339" s="12"/>
      <c r="F339" s="12"/>
      <c r="G339" s="17"/>
      <c r="H339" s="17"/>
      <c r="I339" s="12"/>
      <c r="J339" s="12"/>
      <c r="K339" s="12"/>
      <c r="L339" s="12"/>
      <c r="M339" s="12"/>
      <c r="N339" s="12"/>
    </row>
    <row r="340" ht="13.5" customHeight="1">
      <c r="A340" s="17"/>
      <c r="B340" s="12"/>
      <c r="C340" s="17"/>
      <c r="D340" s="17"/>
      <c r="E340" s="12"/>
      <c r="F340" s="12"/>
      <c r="G340" s="17"/>
      <c r="H340" s="17"/>
      <c r="I340" s="12"/>
      <c r="J340" s="12"/>
      <c r="K340" s="12"/>
      <c r="L340" s="12"/>
      <c r="M340" s="12"/>
      <c r="N340" s="12"/>
    </row>
    <row r="341" ht="13.5" customHeight="1">
      <c r="A341" s="17"/>
      <c r="B341" s="12"/>
      <c r="C341" s="17"/>
      <c r="D341" s="17"/>
      <c r="E341" s="12"/>
      <c r="F341" s="12"/>
      <c r="G341" s="17"/>
      <c r="H341" s="17"/>
      <c r="I341" s="12"/>
      <c r="J341" s="12"/>
      <c r="K341" s="12"/>
      <c r="L341" s="12"/>
      <c r="M341" s="12"/>
      <c r="N341" s="12"/>
    </row>
    <row r="342" ht="13.5" customHeight="1">
      <c r="A342" s="17"/>
      <c r="B342" s="12"/>
      <c r="C342" s="17"/>
      <c r="D342" s="17"/>
      <c r="E342" s="12"/>
      <c r="F342" s="12"/>
      <c r="G342" s="17"/>
      <c r="H342" s="17"/>
      <c r="I342" s="12"/>
      <c r="J342" s="12"/>
      <c r="K342" s="12"/>
      <c r="L342" s="12"/>
      <c r="M342" s="12"/>
      <c r="N342" s="12"/>
    </row>
    <row r="343" ht="13.5" customHeight="1">
      <c r="A343" s="17"/>
      <c r="B343" s="12"/>
      <c r="C343" s="17"/>
      <c r="D343" s="17"/>
      <c r="E343" s="12"/>
      <c r="F343" s="12"/>
      <c r="G343" s="17"/>
      <c r="H343" s="17"/>
      <c r="I343" s="12"/>
      <c r="J343" s="12"/>
      <c r="K343" s="12"/>
      <c r="L343" s="12"/>
      <c r="M343" s="12"/>
      <c r="N343" s="12"/>
    </row>
    <row r="344" ht="13.5" customHeight="1">
      <c r="A344" s="17"/>
      <c r="B344" s="12"/>
      <c r="C344" s="17"/>
      <c r="D344" s="17"/>
      <c r="E344" s="12"/>
      <c r="F344" s="12"/>
      <c r="G344" s="17"/>
      <c r="H344" s="17"/>
      <c r="I344" s="12"/>
      <c r="J344" s="12"/>
      <c r="K344" s="12"/>
      <c r="L344" s="12"/>
      <c r="M344" s="12"/>
      <c r="N344" s="12"/>
    </row>
    <row r="345" ht="13.5" customHeight="1">
      <c r="A345" s="17"/>
      <c r="B345" s="12"/>
      <c r="C345" s="17"/>
      <c r="D345" s="17"/>
      <c r="E345" s="12"/>
      <c r="F345" s="12"/>
      <c r="G345" s="17"/>
      <c r="H345" s="17"/>
      <c r="I345" s="12"/>
      <c r="J345" s="12"/>
      <c r="K345" s="12"/>
      <c r="L345" s="12"/>
      <c r="M345" s="12"/>
      <c r="N345" s="12"/>
    </row>
    <row r="346" ht="13.5" customHeight="1">
      <c r="A346" s="17"/>
      <c r="B346" s="12"/>
      <c r="C346" s="17"/>
      <c r="D346" s="17"/>
      <c r="E346" s="12"/>
      <c r="F346" s="12"/>
      <c r="G346" s="17"/>
      <c r="H346" s="17"/>
      <c r="I346" s="12"/>
      <c r="J346" s="12"/>
      <c r="K346" s="12"/>
      <c r="L346" s="12"/>
      <c r="M346" s="12"/>
      <c r="N346" s="12"/>
    </row>
    <row r="347" ht="13.5" customHeight="1">
      <c r="A347" s="17"/>
      <c r="B347" s="12"/>
      <c r="C347" s="17"/>
      <c r="D347" s="17"/>
      <c r="E347" s="12"/>
      <c r="F347" s="12"/>
      <c r="G347" s="17"/>
      <c r="H347" s="17"/>
      <c r="I347" s="12"/>
      <c r="J347" s="12"/>
      <c r="K347" s="12"/>
      <c r="L347" s="12"/>
      <c r="M347" s="12"/>
      <c r="N347" s="12"/>
    </row>
    <row r="348" ht="13.5" customHeight="1">
      <c r="A348" s="17"/>
      <c r="B348" s="12"/>
      <c r="C348" s="17"/>
      <c r="D348" s="17"/>
      <c r="E348" s="12"/>
      <c r="F348" s="12"/>
      <c r="G348" s="17"/>
      <c r="H348" s="17"/>
      <c r="I348" s="12"/>
      <c r="J348" s="12"/>
      <c r="K348" s="12"/>
      <c r="L348" s="12"/>
      <c r="M348" s="12"/>
      <c r="N348" s="12"/>
    </row>
    <row r="349" ht="13.5" customHeight="1">
      <c r="A349" s="17"/>
      <c r="B349" s="12"/>
      <c r="C349" s="17"/>
      <c r="D349" s="17"/>
      <c r="E349" s="12"/>
      <c r="F349" s="12"/>
      <c r="G349" s="17"/>
      <c r="H349" s="17"/>
      <c r="I349" s="12"/>
      <c r="J349" s="12"/>
      <c r="K349" s="12"/>
      <c r="L349" s="12"/>
      <c r="M349" s="12"/>
      <c r="N349" s="12"/>
    </row>
    <row r="350" ht="13.5" customHeight="1">
      <c r="A350" s="17"/>
      <c r="B350" s="12"/>
      <c r="C350" s="17"/>
      <c r="D350" s="17"/>
      <c r="E350" s="12"/>
      <c r="F350" s="12"/>
      <c r="G350" s="17"/>
      <c r="H350" s="17"/>
      <c r="I350" s="12"/>
      <c r="J350" s="12"/>
      <c r="K350" s="12"/>
      <c r="L350" s="12"/>
      <c r="M350" s="12"/>
      <c r="N350" s="12"/>
    </row>
    <row r="351" ht="13.5" customHeight="1">
      <c r="A351" s="17"/>
      <c r="B351" s="12"/>
      <c r="C351" s="17"/>
      <c r="D351" s="17"/>
      <c r="E351" s="12"/>
      <c r="F351" s="12"/>
      <c r="G351" s="17"/>
      <c r="H351" s="17"/>
      <c r="I351" s="12"/>
      <c r="J351" s="12"/>
      <c r="K351" s="12"/>
      <c r="L351" s="12"/>
      <c r="M351" s="12"/>
      <c r="N351" s="12"/>
    </row>
    <row r="352" ht="13.5" customHeight="1">
      <c r="A352" s="17"/>
      <c r="B352" s="12"/>
      <c r="C352" s="17"/>
      <c r="D352" s="17"/>
      <c r="E352" s="12"/>
      <c r="F352" s="12"/>
      <c r="G352" s="17"/>
      <c r="H352" s="17"/>
      <c r="I352" s="12"/>
      <c r="J352" s="12"/>
      <c r="K352" s="12"/>
      <c r="L352" s="12"/>
      <c r="M352" s="12"/>
      <c r="N352" s="12"/>
    </row>
    <row r="353" ht="13.5" customHeight="1">
      <c r="A353" s="17"/>
      <c r="B353" s="12"/>
      <c r="C353" s="17"/>
      <c r="D353" s="17"/>
      <c r="E353" s="12"/>
      <c r="F353" s="12"/>
      <c r="G353" s="17"/>
      <c r="H353" s="17"/>
      <c r="I353" s="12"/>
      <c r="J353" s="12"/>
      <c r="K353" s="12"/>
      <c r="L353" s="12"/>
      <c r="M353" s="12"/>
      <c r="N353" s="12"/>
    </row>
    <row r="354" ht="13.5" customHeight="1">
      <c r="A354" s="17"/>
      <c r="B354" s="12"/>
      <c r="C354" s="17"/>
      <c r="D354" s="17"/>
      <c r="E354" s="12"/>
      <c r="F354" s="12"/>
      <c r="G354" s="17"/>
      <c r="H354" s="17"/>
      <c r="I354" s="12"/>
      <c r="J354" s="12"/>
      <c r="K354" s="12"/>
      <c r="L354" s="12"/>
      <c r="M354" s="12"/>
      <c r="N354" s="12"/>
    </row>
    <row r="355" ht="13.5" customHeight="1">
      <c r="A355" s="17"/>
      <c r="B355" s="12"/>
      <c r="C355" s="17"/>
      <c r="D355" s="17"/>
      <c r="E355" s="12"/>
      <c r="F355" s="12"/>
      <c r="G355" s="17"/>
      <c r="H355" s="17"/>
      <c r="I355" s="12"/>
      <c r="J355" s="12"/>
      <c r="K355" s="12"/>
      <c r="L355" s="12"/>
      <c r="M355" s="12"/>
      <c r="N355" s="12"/>
    </row>
    <row r="356" ht="13.5" customHeight="1">
      <c r="A356" s="17"/>
      <c r="B356" s="12"/>
      <c r="C356" s="17"/>
      <c r="D356" s="17"/>
      <c r="E356" s="12"/>
      <c r="F356" s="12"/>
      <c r="G356" s="17"/>
      <c r="H356" s="17"/>
      <c r="I356" s="12"/>
      <c r="J356" s="12"/>
      <c r="K356" s="12"/>
      <c r="L356" s="12"/>
      <c r="M356" s="12"/>
      <c r="N356" s="12"/>
    </row>
    <row r="357" ht="13.5" customHeight="1">
      <c r="A357" s="17"/>
      <c r="B357" s="12"/>
      <c r="C357" s="17"/>
      <c r="D357" s="17"/>
      <c r="E357" s="12"/>
      <c r="F357" s="12"/>
      <c r="G357" s="17"/>
      <c r="H357" s="17"/>
      <c r="I357" s="12"/>
      <c r="J357" s="12"/>
      <c r="K357" s="12"/>
      <c r="L357" s="12"/>
      <c r="M357" s="12"/>
      <c r="N357" s="12"/>
    </row>
    <row r="358" ht="13.5" customHeight="1">
      <c r="A358" s="17"/>
      <c r="B358" s="12"/>
      <c r="C358" s="17"/>
      <c r="D358" s="17"/>
      <c r="E358" s="12"/>
      <c r="F358" s="12"/>
      <c r="G358" s="17"/>
      <c r="H358" s="17"/>
      <c r="I358" s="12"/>
      <c r="J358" s="12"/>
      <c r="K358" s="12"/>
      <c r="L358" s="12"/>
      <c r="M358" s="12"/>
      <c r="N358" s="12"/>
    </row>
    <row r="359" ht="13.5" customHeight="1">
      <c r="A359" s="17"/>
      <c r="B359" s="12"/>
      <c r="C359" s="17"/>
      <c r="D359" s="17"/>
      <c r="E359" s="12"/>
      <c r="F359" s="12"/>
      <c r="G359" s="17"/>
      <c r="H359" s="17"/>
      <c r="I359" s="12"/>
      <c r="J359" s="12"/>
      <c r="K359" s="12"/>
      <c r="L359" s="12"/>
      <c r="M359" s="12"/>
      <c r="N359" s="12"/>
    </row>
    <row r="360" ht="13.5" customHeight="1">
      <c r="A360" s="17"/>
      <c r="B360" s="12"/>
      <c r="C360" s="17"/>
      <c r="D360" s="17"/>
      <c r="E360" s="12"/>
      <c r="F360" s="12"/>
      <c r="G360" s="17"/>
      <c r="H360" s="17"/>
      <c r="I360" s="12"/>
      <c r="J360" s="12"/>
      <c r="K360" s="12"/>
      <c r="L360" s="12"/>
      <c r="M360" s="12"/>
      <c r="N360" s="12"/>
    </row>
    <row r="361" ht="13.5" customHeight="1">
      <c r="A361" s="17"/>
      <c r="B361" s="12"/>
      <c r="C361" s="17"/>
      <c r="D361" s="17"/>
      <c r="E361" s="12"/>
      <c r="F361" s="12"/>
      <c r="G361" s="17"/>
      <c r="H361" s="17"/>
      <c r="I361" s="12"/>
      <c r="J361" s="12"/>
      <c r="K361" s="12"/>
      <c r="L361" s="12"/>
      <c r="M361" s="12"/>
      <c r="N361" s="12"/>
    </row>
    <row r="362" ht="13.5" customHeight="1">
      <c r="A362" s="17"/>
      <c r="B362" s="12"/>
      <c r="C362" s="17"/>
      <c r="D362" s="17"/>
      <c r="E362" s="12"/>
      <c r="F362" s="12"/>
      <c r="G362" s="17"/>
      <c r="H362" s="17"/>
      <c r="I362" s="12"/>
      <c r="J362" s="12"/>
      <c r="K362" s="12"/>
      <c r="L362" s="12"/>
      <c r="M362" s="12"/>
      <c r="N362" s="12"/>
    </row>
    <row r="363" ht="13.5" customHeight="1">
      <c r="A363" s="17"/>
      <c r="B363" s="12"/>
      <c r="C363" s="17"/>
      <c r="D363" s="17"/>
      <c r="E363" s="12"/>
      <c r="F363" s="12"/>
      <c r="G363" s="17"/>
      <c r="H363" s="17"/>
      <c r="I363" s="12"/>
      <c r="J363" s="12"/>
      <c r="K363" s="12"/>
      <c r="L363" s="12"/>
      <c r="M363" s="12"/>
      <c r="N363" s="12"/>
    </row>
    <row r="364" ht="13.5" customHeight="1">
      <c r="A364" s="17"/>
      <c r="B364" s="12"/>
      <c r="C364" s="17"/>
      <c r="D364" s="17"/>
      <c r="E364" s="12"/>
      <c r="F364" s="12"/>
      <c r="G364" s="17"/>
      <c r="H364" s="17"/>
      <c r="I364" s="12"/>
      <c r="J364" s="12"/>
      <c r="K364" s="12"/>
      <c r="L364" s="12"/>
      <c r="M364" s="12"/>
      <c r="N364" s="12"/>
    </row>
    <row r="365" ht="13.5" customHeight="1">
      <c r="A365" s="17"/>
      <c r="B365" s="12"/>
      <c r="C365" s="17"/>
      <c r="D365" s="17"/>
      <c r="E365" s="12"/>
      <c r="F365" s="12"/>
      <c r="G365" s="17"/>
      <c r="H365" s="17"/>
      <c r="I365" s="12"/>
      <c r="J365" s="12"/>
      <c r="K365" s="12"/>
      <c r="L365" s="12"/>
      <c r="M365" s="12"/>
      <c r="N365" s="12"/>
    </row>
    <row r="366" ht="13.5" customHeight="1">
      <c r="A366" s="17"/>
      <c r="B366" s="12"/>
      <c r="C366" s="17"/>
      <c r="D366" s="17"/>
      <c r="E366" s="12"/>
      <c r="F366" s="12"/>
      <c r="G366" s="17"/>
      <c r="H366" s="17"/>
      <c r="I366" s="12"/>
      <c r="J366" s="12"/>
      <c r="K366" s="12"/>
      <c r="L366" s="12"/>
      <c r="M366" s="12"/>
      <c r="N366" s="12"/>
    </row>
    <row r="367" ht="13.5" customHeight="1">
      <c r="A367" s="17"/>
      <c r="B367" s="12"/>
      <c r="C367" s="17"/>
      <c r="D367" s="17"/>
      <c r="E367" s="12"/>
      <c r="F367" s="12"/>
      <c r="G367" s="17"/>
      <c r="H367" s="17"/>
      <c r="I367" s="12"/>
      <c r="J367" s="12"/>
      <c r="K367" s="12"/>
      <c r="L367" s="12"/>
      <c r="M367" s="12"/>
      <c r="N367" s="12"/>
    </row>
    <row r="368" ht="13.5" customHeight="1">
      <c r="A368" s="17"/>
      <c r="B368" s="12"/>
      <c r="C368" s="17"/>
      <c r="D368" s="17"/>
      <c r="E368" s="12"/>
      <c r="F368" s="12"/>
      <c r="G368" s="17"/>
      <c r="H368" s="17"/>
      <c r="I368" s="12"/>
      <c r="J368" s="12"/>
      <c r="K368" s="12"/>
      <c r="L368" s="12"/>
      <c r="M368" s="12"/>
      <c r="N368" s="12"/>
    </row>
    <row r="369" ht="13.5" customHeight="1">
      <c r="A369" s="17"/>
      <c r="B369" s="12"/>
      <c r="C369" s="17"/>
      <c r="D369" s="17"/>
      <c r="E369" s="12"/>
      <c r="F369" s="12"/>
      <c r="G369" s="17"/>
      <c r="H369" s="17"/>
      <c r="I369" s="12"/>
      <c r="J369" s="12"/>
      <c r="K369" s="12"/>
      <c r="L369" s="12"/>
      <c r="M369" s="12"/>
      <c r="N369" s="12"/>
    </row>
    <row r="370" ht="13.5" customHeight="1">
      <c r="A370" s="17"/>
      <c r="B370" s="12"/>
      <c r="C370" s="17"/>
      <c r="D370" s="17"/>
      <c r="E370" s="12"/>
      <c r="F370" s="12"/>
      <c r="G370" s="17"/>
      <c r="H370" s="17"/>
      <c r="I370" s="12"/>
      <c r="J370" s="12"/>
      <c r="K370" s="12"/>
      <c r="L370" s="12"/>
      <c r="M370" s="12"/>
      <c r="N370" s="12"/>
    </row>
    <row r="371" ht="13.5" customHeight="1">
      <c r="A371" s="17"/>
      <c r="B371" s="12"/>
      <c r="C371" s="17"/>
      <c r="D371" s="17"/>
      <c r="E371" s="12"/>
      <c r="F371" s="12"/>
      <c r="G371" s="17"/>
      <c r="H371" s="17"/>
      <c r="I371" s="12"/>
      <c r="J371" s="12"/>
      <c r="K371" s="12"/>
      <c r="L371" s="12"/>
      <c r="M371" s="12"/>
      <c r="N371" s="12"/>
    </row>
    <row r="372" ht="13.5" customHeight="1">
      <c r="A372" s="17"/>
      <c r="B372" s="12"/>
      <c r="C372" s="17"/>
      <c r="D372" s="17"/>
      <c r="E372" s="12"/>
      <c r="F372" s="12"/>
      <c r="G372" s="17"/>
      <c r="H372" s="17"/>
      <c r="I372" s="12"/>
      <c r="J372" s="12"/>
      <c r="K372" s="12"/>
      <c r="L372" s="12"/>
      <c r="M372" s="12"/>
      <c r="N372" s="12"/>
    </row>
    <row r="373" ht="13.5" customHeight="1">
      <c r="A373" s="17"/>
      <c r="B373" s="12"/>
      <c r="C373" s="17"/>
      <c r="D373" s="17"/>
      <c r="E373" s="12"/>
      <c r="F373" s="12"/>
      <c r="G373" s="17"/>
      <c r="H373" s="17"/>
      <c r="I373" s="12"/>
      <c r="J373" s="12"/>
      <c r="K373" s="12"/>
      <c r="L373" s="12"/>
      <c r="M373" s="12"/>
      <c r="N373" s="12"/>
    </row>
    <row r="374" ht="13.5" customHeight="1">
      <c r="A374" s="17"/>
      <c r="B374" s="12"/>
      <c r="C374" s="17"/>
      <c r="D374" s="17"/>
      <c r="E374" s="12"/>
      <c r="F374" s="12"/>
      <c r="G374" s="17"/>
      <c r="H374" s="17"/>
      <c r="I374" s="12"/>
      <c r="J374" s="12"/>
      <c r="K374" s="12"/>
      <c r="L374" s="12"/>
      <c r="M374" s="12"/>
      <c r="N374" s="12"/>
    </row>
    <row r="375" ht="13.5" customHeight="1">
      <c r="A375" s="17"/>
      <c r="B375" s="12"/>
      <c r="C375" s="17"/>
      <c r="D375" s="17"/>
      <c r="E375" s="12"/>
      <c r="F375" s="12"/>
      <c r="G375" s="17"/>
      <c r="H375" s="17"/>
      <c r="I375" s="12"/>
      <c r="J375" s="12"/>
      <c r="K375" s="12"/>
      <c r="L375" s="12"/>
      <c r="M375" s="12"/>
      <c r="N375" s="12"/>
    </row>
    <row r="376" ht="13.5" customHeight="1">
      <c r="A376" s="17"/>
      <c r="B376" s="12"/>
      <c r="C376" s="17"/>
      <c r="D376" s="17"/>
      <c r="E376" s="12"/>
      <c r="F376" s="12"/>
      <c r="G376" s="17"/>
      <c r="H376" s="17"/>
      <c r="I376" s="12"/>
      <c r="J376" s="12"/>
      <c r="K376" s="12"/>
      <c r="L376" s="12"/>
      <c r="M376" s="12"/>
      <c r="N376" s="12"/>
    </row>
    <row r="377" ht="13.5" customHeight="1">
      <c r="A377" s="17"/>
      <c r="B377" s="12"/>
      <c r="C377" s="17"/>
      <c r="D377" s="17"/>
      <c r="E377" s="12"/>
      <c r="F377" s="12"/>
      <c r="G377" s="17"/>
      <c r="H377" s="17"/>
      <c r="I377" s="12"/>
      <c r="J377" s="12"/>
      <c r="K377" s="12"/>
      <c r="L377" s="12"/>
      <c r="M377" s="12"/>
      <c r="N377" s="12"/>
    </row>
    <row r="378" ht="13.5" customHeight="1">
      <c r="A378" s="17"/>
      <c r="B378" s="12"/>
      <c r="C378" s="17"/>
      <c r="D378" s="17"/>
      <c r="E378" s="12"/>
      <c r="F378" s="12"/>
      <c r="G378" s="17"/>
      <c r="H378" s="17"/>
      <c r="I378" s="12"/>
      <c r="J378" s="12"/>
      <c r="K378" s="12"/>
      <c r="L378" s="12"/>
      <c r="M378" s="12"/>
      <c r="N378" s="12"/>
    </row>
    <row r="379" ht="13.5" customHeight="1">
      <c r="A379" s="17"/>
      <c r="B379" s="12"/>
      <c r="C379" s="17"/>
      <c r="D379" s="17"/>
      <c r="E379" s="12"/>
      <c r="F379" s="12"/>
      <c r="G379" s="17"/>
      <c r="H379" s="17"/>
      <c r="I379" s="12"/>
      <c r="J379" s="12"/>
      <c r="K379" s="12"/>
      <c r="L379" s="12"/>
      <c r="M379" s="12"/>
      <c r="N379" s="12"/>
    </row>
    <row r="380" ht="13.5" customHeight="1">
      <c r="A380" s="17"/>
      <c r="B380" s="12"/>
      <c r="C380" s="17"/>
      <c r="D380" s="17"/>
      <c r="E380" s="12"/>
      <c r="F380" s="12"/>
      <c r="G380" s="17"/>
      <c r="H380" s="17"/>
      <c r="I380" s="12"/>
      <c r="J380" s="12"/>
      <c r="K380" s="12"/>
      <c r="L380" s="12"/>
      <c r="M380" s="12"/>
      <c r="N380" s="12"/>
    </row>
    <row r="381" ht="13.5" customHeight="1">
      <c r="A381" s="17"/>
      <c r="B381" s="12"/>
      <c r="C381" s="17"/>
      <c r="D381" s="17"/>
      <c r="E381" s="12"/>
      <c r="F381" s="12"/>
      <c r="G381" s="17"/>
      <c r="H381" s="17"/>
      <c r="I381" s="12"/>
      <c r="J381" s="12"/>
      <c r="K381" s="12"/>
      <c r="L381" s="12"/>
      <c r="M381" s="12"/>
      <c r="N381" s="12"/>
    </row>
    <row r="382" ht="13.5" customHeight="1">
      <c r="A382" s="17"/>
      <c r="B382" s="12"/>
      <c r="C382" s="17"/>
      <c r="D382" s="17"/>
      <c r="E382" s="12"/>
      <c r="F382" s="12"/>
      <c r="G382" s="17"/>
      <c r="H382" s="17"/>
      <c r="I382" s="12"/>
      <c r="J382" s="12"/>
      <c r="K382" s="12"/>
      <c r="L382" s="12"/>
      <c r="M382" s="12"/>
      <c r="N382" s="12"/>
    </row>
    <row r="383" ht="13.5" customHeight="1">
      <c r="A383" s="17"/>
      <c r="B383" s="12"/>
      <c r="C383" s="17"/>
      <c r="D383" s="17"/>
      <c r="E383" s="12"/>
      <c r="F383" s="12"/>
      <c r="G383" s="17"/>
      <c r="H383" s="17"/>
      <c r="I383" s="12"/>
      <c r="J383" s="12"/>
      <c r="K383" s="12"/>
      <c r="L383" s="12"/>
      <c r="M383" s="12"/>
      <c r="N383" s="12"/>
    </row>
    <row r="384" ht="13.5" customHeight="1">
      <c r="A384" s="17"/>
      <c r="B384" s="12"/>
      <c r="C384" s="17"/>
      <c r="D384" s="17"/>
      <c r="E384" s="12"/>
      <c r="F384" s="12"/>
      <c r="G384" s="17"/>
      <c r="H384" s="17"/>
      <c r="I384" s="12"/>
      <c r="J384" s="12"/>
      <c r="K384" s="12"/>
      <c r="L384" s="12"/>
      <c r="M384" s="12"/>
      <c r="N384" s="12"/>
    </row>
    <row r="385" ht="13.5" customHeight="1">
      <c r="A385" s="17"/>
      <c r="B385" s="12"/>
      <c r="C385" s="17"/>
      <c r="D385" s="17"/>
      <c r="E385" s="12"/>
      <c r="F385" s="12"/>
      <c r="G385" s="17"/>
      <c r="H385" s="17"/>
      <c r="I385" s="12"/>
      <c r="J385" s="12"/>
      <c r="K385" s="12"/>
      <c r="L385" s="12"/>
      <c r="M385" s="12"/>
      <c r="N385" s="12"/>
    </row>
    <row r="386" ht="13.5" customHeight="1">
      <c r="A386" s="17"/>
      <c r="B386" s="12"/>
      <c r="C386" s="17"/>
      <c r="D386" s="17"/>
      <c r="E386" s="12"/>
      <c r="F386" s="12"/>
      <c r="G386" s="17"/>
      <c r="H386" s="17"/>
      <c r="I386" s="12"/>
      <c r="J386" s="12"/>
      <c r="K386" s="12"/>
      <c r="L386" s="12"/>
      <c r="M386" s="12"/>
      <c r="N386" s="12"/>
    </row>
    <row r="387" ht="13.5" customHeight="1">
      <c r="A387" s="17"/>
      <c r="B387" s="12"/>
      <c r="C387" s="17"/>
      <c r="D387" s="17"/>
      <c r="E387" s="12"/>
      <c r="F387" s="12"/>
      <c r="G387" s="17"/>
      <c r="H387" s="17"/>
      <c r="I387" s="12"/>
      <c r="J387" s="12"/>
      <c r="K387" s="12"/>
      <c r="L387" s="12"/>
      <c r="M387" s="12"/>
      <c r="N387" s="12"/>
    </row>
    <row r="388" ht="13.5" customHeight="1">
      <c r="A388" s="17"/>
      <c r="B388" s="12"/>
      <c r="C388" s="17"/>
      <c r="D388" s="17"/>
      <c r="E388" s="12"/>
      <c r="F388" s="12"/>
      <c r="G388" s="17"/>
      <c r="H388" s="17"/>
      <c r="I388" s="12"/>
      <c r="J388" s="12"/>
      <c r="K388" s="12"/>
      <c r="L388" s="12"/>
      <c r="M388" s="12"/>
      <c r="N388" s="12"/>
    </row>
    <row r="389" ht="13.5" customHeight="1">
      <c r="A389" s="17"/>
      <c r="B389" s="12"/>
      <c r="C389" s="17"/>
      <c r="D389" s="17"/>
      <c r="E389" s="12"/>
      <c r="F389" s="12"/>
      <c r="G389" s="17"/>
      <c r="H389" s="17"/>
      <c r="I389" s="12"/>
      <c r="J389" s="12"/>
      <c r="K389" s="12"/>
      <c r="L389" s="12"/>
      <c r="M389" s="12"/>
      <c r="N389" s="12"/>
    </row>
    <row r="390" ht="13.5" customHeight="1">
      <c r="A390" s="17"/>
      <c r="B390" s="12"/>
      <c r="C390" s="17"/>
      <c r="D390" s="17"/>
      <c r="E390" s="12"/>
      <c r="F390" s="12"/>
      <c r="G390" s="17"/>
      <c r="H390" s="17"/>
      <c r="I390" s="12"/>
      <c r="J390" s="12"/>
      <c r="K390" s="12"/>
      <c r="L390" s="12"/>
      <c r="M390" s="12"/>
      <c r="N390" s="12"/>
    </row>
    <row r="391" ht="13.5" customHeight="1">
      <c r="A391" s="17"/>
      <c r="B391" s="12"/>
      <c r="C391" s="17"/>
      <c r="D391" s="17"/>
      <c r="E391" s="12"/>
      <c r="F391" s="12"/>
      <c r="G391" s="17"/>
      <c r="H391" s="17"/>
      <c r="I391" s="12"/>
      <c r="J391" s="12"/>
      <c r="K391" s="12"/>
      <c r="L391" s="12"/>
      <c r="M391" s="12"/>
      <c r="N391" s="12"/>
    </row>
    <row r="392" ht="13.5" customHeight="1">
      <c r="A392" s="17"/>
      <c r="B392" s="12"/>
      <c r="C392" s="17"/>
      <c r="D392" s="17"/>
      <c r="E392" s="12"/>
      <c r="F392" s="12"/>
      <c r="G392" s="17"/>
      <c r="H392" s="17"/>
      <c r="I392" s="12"/>
      <c r="J392" s="12"/>
      <c r="K392" s="12"/>
      <c r="L392" s="12"/>
      <c r="M392" s="12"/>
      <c r="N392" s="12"/>
    </row>
    <row r="393" ht="13.5" customHeight="1">
      <c r="A393" s="17"/>
      <c r="B393" s="12"/>
      <c r="C393" s="17"/>
      <c r="D393" s="17"/>
      <c r="E393" s="12"/>
      <c r="F393" s="12"/>
      <c r="G393" s="17"/>
      <c r="H393" s="17"/>
      <c r="I393" s="12"/>
      <c r="J393" s="12"/>
      <c r="K393" s="12"/>
      <c r="L393" s="12"/>
      <c r="M393" s="12"/>
      <c r="N393" s="12"/>
    </row>
    <row r="394" ht="13.5" customHeight="1">
      <c r="A394" s="17"/>
      <c r="B394" s="12"/>
      <c r="C394" s="17"/>
      <c r="D394" s="17"/>
      <c r="E394" s="12"/>
      <c r="F394" s="12"/>
      <c r="G394" s="17"/>
      <c r="H394" s="17"/>
      <c r="I394" s="12"/>
      <c r="J394" s="12"/>
      <c r="K394" s="12"/>
      <c r="L394" s="12"/>
      <c r="M394" s="12"/>
      <c r="N394" s="12"/>
    </row>
    <row r="395" ht="13.5" customHeight="1">
      <c r="A395" s="17"/>
      <c r="B395" s="12"/>
      <c r="C395" s="17"/>
      <c r="D395" s="17"/>
      <c r="E395" s="12"/>
      <c r="F395" s="12"/>
      <c r="G395" s="17"/>
      <c r="H395" s="17"/>
      <c r="I395" s="12"/>
      <c r="J395" s="12"/>
      <c r="K395" s="12"/>
      <c r="L395" s="12"/>
      <c r="M395" s="12"/>
      <c r="N395" s="12"/>
    </row>
    <row r="396" ht="13.5" customHeight="1">
      <c r="A396" s="17"/>
      <c r="B396" s="12"/>
      <c r="C396" s="17"/>
      <c r="D396" s="17"/>
      <c r="E396" s="12"/>
      <c r="F396" s="12"/>
      <c r="G396" s="17"/>
      <c r="H396" s="17"/>
      <c r="I396" s="12"/>
      <c r="J396" s="12"/>
      <c r="K396" s="12"/>
      <c r="L396" s="12"/>
      <c r="M396" s="12"/>
      <c r="N396" s="12"/>
    </row>
    <row r="397" ht="13.5" customHeight="1">
      <c r="A397" s="17"/>
      <c r="B397" s="12"/>
      <c r="C397" s="17"/>
      <c r="D397" s="17"/>
      <c r="E397" s="12"/>
      <c r="F397" s="12"/>
      <c r="G397" s="17"/>
      <c r="H397" s="17"/>
      <c r="I397" s="12"/>
      <c r="J397" s="12"/>
      <c r="K397" s="12"/>
      <c r="L397" s="12"/>
      <c r="M397" s="12"/>
      <c r="N397" s="12"/>
    </row>
    <row r="398" ht="13.5" customHeight="1">
      <c r="A398" s="17"/>
      <c r="B398" s="12"/>
      <c r="C398" s="17"/>
      <c r="D398" s="17"/>
      <c r="E398" s="12"/>
      <c r="F398" s="12"/>
      <c r="G398" s="17"/>
      <c r="H398" s="17"/>
      <c r="I398" s="12"/>
      <c r="J398" s="12"/>
      <c r="K398" s="12"/>
      <c r="L398" s="12"/>
      <c r="M398" s="12"/>
      <c r="N398" s="12"/>
    </row>
    <row r="399" ht="13.5" customHeight="1">
      <c r="A399" s="17"/>
      <c r="B399" s="12"/>
      <c r="C399" s="17"/>
      <c r="D399" s="17"/>
      <c r="E399" s="12"/>
      <c r="F399" s="12"/>
      <c r="G399" s="17"/>
      <c r="H399" s="17"/>
      <c r="I399" s="12"/>
      <c r="J399" s="12"/>
      <c r="K399" s="12"/>
      <c r="L399" s="12"/>
      <c r="M399" s="12"/>
      <c r="N399" s="12"/>
    </row>
    <row r="400" ht="13.5" customHeight="1">
      <c r="A400" s="17"/>
      <c r="B400" s="12"/>
      <c r="C400" s="17"/>
      <c r="D400" s="17"/>
      <c r="E400" s="12"/>
      <c r="F400" s="12"/>
      <c r="G400" s="17"/>
      <c r="H400" s="17"/>
      <c r="I400" s="12"/>
      <c r="J400" s="12"/>
      <c r="K400" s="12"/>
      <c r="L400" s="12"/>
      <c r="M400" s="12"/>
      <c r="N400" s="12"/>
    </row>
    <row r="401" ht="13.5" customHeight="1">
      <c r="A401" s="17"/>
      <c r="B401" s="12"/>
      <c r="C401" s="17"/>
      <c r="D401" s="17"/>
      <c r="E401" s="12"/>
      <c r="F401" s="12"/>
      <c r="G401" s="17"/>
      <c r="H401" s="17"/>
      <c r="I401" s="12"/>
      <c r="J401" s="12"/>
      <c r="K401" s="12"/>
      <c r="L401" s="12"/>
      <c r="M401" s="12"/>
      <c r="N401" s="12"/>
    </row>
    <row r="402" ht="13.5" customHeight="1">
      <c r="A402" s="17"/>
      <c r="B402" s="12"/>
      <c r="C402" s="17"/>
      <c r="D402" s="17"/>
      <c r="E402" s="12"/>
      <c r="F402" s="12"/>
      <c r="G402" s="17"/>
      <c r="H402" s="17"/>
      <c r="I402" s="12"/>
      <c r="J402" s="12"/>
      <c r="K402" s="12"/>
      <c r="L402" s="12"/>
      <c r="M402" s="12"/>
      <c r="N402" s="12"/>
    </row>
    <row r="403" ht="13.5" customHeight="1">
      <c r="A403" s="17"/>
      <c r="B403" s="12"/>
      <c r="C403" s="17"/>
      <c r="D403" s="17"/>
      <c r="E403" s="12"/>
      <c r="F403" s="12"/>
      <c r="G403" s="17"/>
      <c r="H403" s="17"/>
      <c r="I403" s="12"/>
      <c r="J403" s="12"/>
      <c r="K403" s="12"/>
      <c r="L403" s="12"/>
      <c r="M403" s="12"/>
      <c r="N403" s="12"/>
    </row>
    <row r="404" ht="13.5" customHeight="1">
      <c r="A404" s="17"/>
      <c r="B404" s="12"/>
      <c r="C404" s="17"/>
      <c r="D404" s="17"/>
      <c r="E404" s="12"/>
      <c r="F404" s="12"/>
      <c r="G404" s="17"/>
      <c r="H404" s="17"/>
      <c r="I404" s="12"/>
      <c r="J404" s="12"/>
      <c r="K404" s="12"/>
      <c r="L404" s="12"/>
      <c r="M404" s="12"/>
      <c r="N404" s="12"/>
    </row>
    <row r="405" ht="13.5" customHeight="1">
      <c r="A405" s="17"/>
      <c r="B405" s="12"/>
      <c r="C405" s="17"/>
      <c r="D405" s="17"/>
      <c r="E405" s="12"/>
      <c r="F405" s="12"/>
      <c r="G405" s="17"/>
      <c r="H405" s="17"/>
      <c r="I405" s="12"/>
      <c r="J405" s="12"/>
      <c r="K405" s="12"/>
      <c r="L405" s="12"/>
      <c r="M405" s="12"/>
      <c r="N405" s="12"/>
    </row>
    <row r="406" ht="13.5" customHeight="1">
      <c r="A406" s="17"/>
      <c r="B406" s="12"/>
      <c r="C406" s="17"/>
      <c r="D406" s="17"/>
      <c r="E406" s="12"/>
      <c r="F406" s="12"/>
      <c r="G406" s="17"/>
      <c r="H406" s="17"/>
      <c r="I406" s="12"/>
      <c r="J406" s="12"/>
      <c r="K406" s="12"/>
      <c r="L406" s="12"/>
      <c r="M406" s="12"/>
      <c r="N406" s="12"/>
    </row>
    <row r="407" ht="13.5" customHeight="1">
      <c r="A407" s="17"/>
      <c r="B407" s="12"/>
      <c r="C407" s="17"/>
      <c r="D407" s="17"/>
      <c r="E407" s="12"/>
      <c r="F407" s="12"/>
      <c r="G407" s="17"/>
      <c r="H407" s="17"/>
      <c r="I407" s="12"/>
      <c r="J407" s="12"/>
      <c r="K407" s="12"/>
      <c r="L407" s="12"/>
      <c r="M407" s="12"/>
      <c r="N407" s="12"/>
    </row>
    <row r="408" ht="13.5" customHeight="1">
      <c r="A408" s="17"/>
      <c r="B408" s="12"/>
      <c r="C408" s="17"/>
      <c r="D408" s="17"/>
      <c r="E408" s="12"/>
      <c r="F408" s="12"/>
      <c r="G408" s="17"/>
      <c r="H408" s="17"/>
      <c r="I408" s="12"/>
      <c r="J408" s="12"/>
      <c r="K408" s="12"/>
      <c r="L408" s="12"/>
      <c r="M408" s="12"/>
      <c r="N408" s="12"/>
    </row>
    <row r="409" ht="13.5" customHeight="1">
      <c r="A409" s="17"/>
      <c r="B409" s="12"/>
      <c r="C409" s="17"/>
      <c r="D409" s="17"/>
      <c r="E409" s="12"/>
      <c r="F409" s="12"/>
      <c r="G409" s="17"/>
      <c r="H409" s="17"/>
      <c r="I409" s="12"/>
      <c r="J409" s="12"/>
      <c r="K409" s="12"/>
      <c r="L409" s="12"/>
      <c r="M409" s="12"/>
      <c r="N409" s="12"/>
    </row>
    <row r="410" ht="13.5" customHeight="1">
      <c r="A410" s="17"/>
      <c r="B410" s="12"/>
      <c r="C410" s="17"/>
      <c r="D410" s="17"/>
      <c r="E410" s="12"/>
      <c r="F410" s="12"/>
      <c r="G410" s="17"/>
      <c r="H410" s="17"/>
      <c r="I410" s="12"/>
      <c r="J410" s="12"/>
      <c r="K410" s="12"/>
      <c r="L410" s="12"/>
      <c r="M410" s="12"/>
      <c r="N410" s="12"/>
    </row>
    <row r="411" ht="13.5" customHeight="1">
      <c r="A411" s="17"/>
      <c r="B411" s="12"/>
      <c r="C411" s="17"/>
      <c r="D411" s="17"/>
      <c r="E411" s="12"/>
      <c r="F411" s="12"/>
      <c r="G411" s="17"/>
      <c r="H411" s="17"/>
      <c r="I411" s="12"/>
      <c r="J411" s="12"/>
      <c r="K411" s="12"/>
      <c r="L411" s="12"/>
      <c r="M411" s="12"/>
      <c r="N411" s="12"/>
    </row>
    <row r="412" ht="13.5" customHeight="1">
      <c r="A412" s="17"/>
      <c r="B412" s="12"/>
      <c r="C412" s="17"/>
      <c r="D412" s="17"/>
      <c r="E412" s="12"/>
      <c r="F412" s="12"/>
      <c r="G412" s="17"/>
      <c r="H412" s="17"/>
      <c r="I412" s="12"/>
      <c r="J412" s="12"/>
      <c r="K412" s="12"/>
      <c r="L412" s="12"/>
      <c r="M412" s="12"/>
      <c r="N412" s="12"/>
    </row>
    <row r="413" ht="13.5" customHeight="1">
      <c r="A413" s="17"/>
      <c r="B413" s="12"/>
      <c r="C413" s="17"/>
      <c r="D413" s="17"/>
      <c r="E413" s="12"/>
      <c r="F413" s="12"/>
      <c r="G413" s="17"/>
      <c r="H413" s="17"/>
      <c r="I413" s="12"/>
      <c r="J413" s="12"/>
      <c r="K413" s="12"/>
      <c r="L413" s="12"/>
      <c r="M413" s="12"/>
      <c r="N413" s="12"/>
    </row>
    <row r="414" ht="13.5" customHeight="1">
      <c r="A414" s="17"/>
      <c r="B414" s="12"/>
      <c r="C414" s="17"/>
      <c r="D414" s="17"/>
      <c r="E414" s="12"/>
      <c r="F414" s="12"/>
      <c r="G414" s="17"/>
      <c r="H414" s="17"/>
      <c r="I414" s="12"/>
      <c r="J414" s="12"/>
      <c r="K414" s="12"/>
      <c r="L414" s="12"/>
      <c r="M414" s="12"/>
      <c r="N414" s="12"/>
    </row>
    <row r="415" ht="13.5" customHeight="1">
      <c r="A415" s="17"/>
      <c r="B415" s="12"/>
      <c r="C415" s="17"/>
      <c r="D415" s="17"/>
      <c r="E415" s="12"/>
      <c r="F415" s="12"/>
      <c r="G415" s="17"/>
      <c r="H415" s="17"/>
      <c r="I415" s="12"/>
      <c r="J415" s="12"/>
      <c r="K415" s="12"/>
      <c r="L415" s="12"/>
      <c r="M415" s="12"/>
      <c r="N415" s="12"/>
    </row>
    <row r="416" ht="13.5" customHeight="1">
      <c r="A416" s="17"/>
      <c r="B416" s="12"/>
      <c r="C416" s="17"/>
      <c r="D416" s="17"/>
      <c r="E416" s="12"/>
      <c r="F416" s="12"/>
      <c r="G416" s="17"/>
      <c r="H416" s="17"/>
      <c r="I416" s="12"/>
      <c r="J416" s="12"/>
      <c r="K416" s="12"/>
      <c r="L416" s="12"/>
      <c r="M416" s="12"/>
      <c r="N416" s="12"/>
    </row>
    <row r="417" ht="13.5" customHeight="1">
      <c r="A417" s="17"/>
      <c r="B417" s="12"/>
      <c r="C417" s="17"/>
      <c r="D417" s="17"/>
      <c r="E417" s="12"/>
      <c r="F417" s="12"/>
      <c r="G417" s="17"/>
      <c r="H417" s="17"/>
      <c r="I417" s="12"/>
      <c r="J417" s="12"/>
      <c r="K417" s="12"/>
      <c r="L417" s="12"/>
      <c r="M417" s="12"/>
      <c r="N417" s="12"/>
    </row>
    <row r="418" ht="13.5" customHeight="1">
      <c r="A418" s="17"/>
      <c r="B418" s="12"/>
      <c r="C418" s="17"/>
      <c r="D418" s="17"/>
      <c r="E418" s="12"/>
      <c r="F418" s="12"/>
      <c r="G418" s="17"/>
      <c r="H418" s="17"/>
      <c r="I418" s="12"/>
      <c r="J418" s="12"/>
      <c r="K418" s="12"/>
      <c r="L418" s="12"/>
      <c r="M418" s="12"/>
      <c r="N418" s="12"/>
    </row>
    <row r="419" ht="13.5" customHeight="1">
      <c r="A419" s="17"/>
      <c r="B419" s="12"/>
      <c r="C419" s="17"/>
      <c r="D419" s="17"/>
      <c r="E419" s="12"/>
      <c r="F419" s="12"/>
      <c r="G419" s="17"/>
      <c r="H419" s="17"/>
      <c r="I419" s="12"/>
      <c r="J419" s="12"/>
      <c r="K419" s="12"/>
      <c r="L419" s="12"/>
      <c r="M419" s="12"/>
      <c r="N419" s="12"/>
    </row>
    <row r="420" ht="13.5" customHeight="1">
      <c r="A420" s="17"/>
      <c r="B420" s="12"/>
      <c r="C420" s="17"/>
      <c r="D420" s="17"/>
      <c r="E420" s="12"/>
      <c r="F420" s="12"/>
      <c r="G420" s="17"/>
      <c r="H420" s="17"/>
      <c r="I420" s="12"/>
      <c r="J420" s="12"/>
      <c r="K420" s="12"/>
      <c r="L420" s="12"/>
      <c r="M420" s="12"/>
      <c r="N420" s="12"/>
    </row>
    <row r="421" ht="13.5" customHeight="1">
      <c r="A421" s="17"/>
      <c r="B421" s="12"/>
      <c r="C421" s="17"/>
      <c r="D421" s="17"/>
      <c r="E421" s="12"/>
      <c r="F421" s="12"/>
      <c r="G421" s="17"/>
      <c r="H421" s="17"/>
      <c r="I421" s="12"/>
      <c r="J421" s="12"/>
      <c r="K421" s="12"/>
      <c r="L421" s="12"/>
      <c r="M421" s="12"/>
      <c r="N421" s="12"/>
    </row>
    <row r="422" ht="13.5" customHeight="1">
      <c r="A422" s="17"/>
      <c r="B422" s="12"/>
      <c r="C422" s="17"/>
      <c r="D422" s="17"/>
      <c r="E422" s="12"/>
      <c r="F422" s="12"/>
      <c r="G422" s="17"/>
      <c r="H422" s="17"/>
      <c r="I422" s="12"/>
      <c r="J422" s="12"/>
      <c r="K422" s="12"/>
      <c r="L422" s="12"/>
      <c r="M422" s="12"/>
      <c r="N422" s="12"/>
    </row>
    <row r="423" ht="13.5" customHeight="1">
      <c r="A423" s="17"/>
      <c r="B423" s="12"/>
      <c r="C423" s="17"/>
      <c r="D423" s="17"/>
      <c r="E423" s="12"/>
      <c r="F423" s="12"/>
      <c r="G423" s="17"/>
      <c r="H423" s="17"/>
      <c r="I423" s="12"/>
      <c r="J423" s="12"/>
      <c r="K423" s="12"/>
      <c r="L423" s="12"/>
      <c r="M423" s="12"/>
      <c r="N423" s="12"/>
    </row>
    <row r="424" ht="13.5" customHeight="1">
      <c r="A424" s="17"/>
      <c r="B424" s="12"/>
      <c r="C424" s="17"/>
      <c r="D424" s="17"/>
      <c r="E424" s="12"/>
      <c r="F424" s="12"/>
      <c r="G424" s="17"/>
      <c r="H424" s="17"/>
      <c r="I424" s="12"/>
      <c r="J424" s="12"/>
      <c r="K424" s="12"/>
      <c r="L424" s="12"/>
      <c r="M424" s="12"/>
      <c r="N424" s="12"/>
    </row>
    <row r="425" ht="13.5" customHeight="1">
      <c r="A425" s="17"/>
      <c r="B425" s="12"/>
      <c r="C425" s="17"/>
      <c r="D425" s="17"/>
      <c r="E425" s="12"/>
      <c r="F425" s="12"/>
      <c r="G425" s="17"/>
      <c r="H425" s="17"/>
      <c r="I425" s="12"/>
      <c r="J425" s="12"/>
      <c r="K425" s="12"/>
      <c r="L425" s="12"/>
      <c r="M425" s="12"/>
      <c r="N425" s="12"/>
    </row>
    <row r="426" ht="13.5" customHeight="1">
      <c r="A426" s="17"/>
      <c r="B426" s="12"/>
      <c r="C426" s="17"/>
      <c r="D426" s="17"/>
      <c r="E426" s="12"/>
      <c r="F426" s="12"/>
      <c r="G426" s="17"/>
      <c r="H426" s="17"/>
      <c r="I426" s="12"/>
      <c r="J426" s="12"/>
      <c r="K426" s="12"/>
      <c r="L426" s="12"/>
      <c r="M426" s="12"/>
      <c r="N426" s="12"/>
    </row>
    <row r="427" ht="13.5" customHeight="1">
      <c r="A427" s="17"/>
      <c r="B427" s="12"/>
      <c r="C427" s="17"/>
      <c r="D427" s="17"/>
      <c r="E427" s="12"/>
      <c r="F427" s="12"/>
      <c r="G427" s="17"/>
      <c r="H427" s="17"/>
      <c r="I427" s="12"/>
      <c r="J427" s="12"/>
      <c r="K427" s="12"/>
      <c r="L427" s="12"/>
      <c r="M427" s="12"/>
      <c r="N427" s="12"/>
    </row>
    <row r="428" ht="13.5" customHeight="1">
      <c r="A428" s="17"/>
      <c r="B428" s="12"/>
      <c r="C428" s="17"/>
      <c r="D428" s="17"/>
      <c r="E428" s="12"/>
      <c r="F428" s="12"/>
      <c r="G428" s="17"/>
      <c r="H428" s="17"/>
      <c r="I428" s="12"/>
      <c r="J428" s="12"/>
      <c r="K428" s="12"/>
      <c r="L428" s="12"/>
      <c r="M428" s="12"/>
      <c r="N428" s="12"/>
    </row>
    <row r="429" ht="13.5" customHeight="1">
      <c r="A429" s="17"/>
      <c r="B429" s="12"/>
      <c r="C429" s="17"/>
      <c r="D429" s="17"/>
      <c r="E429" s="12"/>
      <c r="F429" s="12"/>
      <c r="G429" s="17"/>
      <c r="H429" s="17"/>
      <c r="I429" s="12"/>
      <c r="J429" s="12"/>
      <c r="K429" s="12"/>
      <c r="L429" s="12"/>
      <c r="M429" s="12"/>
      <c r="N429" s="12"/>
    </row>
    <row r="430" ht="13.5" customHeight="1">
      <c r="A430" s="17"/>
      <c r="B430" s="12"/>
      <c r="C430" s="17"/>
      <c r="D430" s="17"/>
      <c r="E430" s="12"/>
      <c r="F430" s="12"/>
      <c r="G430" s="17"/>
      <c r="H430" s="17"/>
      <c r="I430" s="12"/>
      <c r="J430" s="12"/>
      <c r="K430" s="12"/>
      <c r="L430" s="12"/>
      <c r="M430" s="12"/>
      <c r="N430" s="12"/>
    </row>
    <row r="431" ht="13.5" customHeight="1">
      <c r="A431" s="17"/>
      <c r="B431" s="12"/>
      <c r="C431" s="17"/>
      <c r="D431" s="17"/>
      <c r="E431" s="12"/>
      <c r="F431" s="12"/>
      <c r="G431" s="17"/>
      <c r="H431" s="17"/>
      <c r="I431" s="12"/>
      <c r="J431" s="12"/>
      <c r="K431" s="12"/>
      <c r="L431" s="12"/>
      <c r="M431" s="12"/>
      <c r="N431" s="12"/>
    </row>
    <row r="432" ht="13.5" customHeight="1">
      <c r="A432" s="17"/>
      <c r="B432" s="12"/>
      <c r="C432" s="17"/>
      <c r="D432" s="17"/>
      <c r="E432" s="12"/>
      <c r="F432" s="12"/>
      <c r="G432" s="17"/>
      <c r="H432" s="17"/>
      <c r="I432" s="12"/>
      <c r="J432" s="12"/>
      <c r="K432" s="12"/>
      <c r="L432" s="12"/>
      <c r="M432" s="12"/>
      <c r="N432" s="12"/>
    </row>
    <row r="433" ht="13.5" customHeight="1">
      <c r="A433" s="17"/>
      <c r="B433" s="12"/>
      <c r="C433" s="17"/>
      <c r="D433" s="17"/>
      <c r="E433" s="12"/>
      <c r="F433" s="12"/>
      <c r="G433" s="17"/>
      <c r="H433" s="17"/>
      <c r="I433" s="12"/>
      <c r="J433" s="12"/>
      <c r="K433" s="12"/>
      <c r="L433" s="12"/>
      <c r="M433" s="12"/>
      <c r="N433" s="12"/>
    </row>
    <row r="434" ht="13.5" customHeight="1">
      <c r="A434" s="17"/>
      <c r="B434" s="12"/>
      <c r="C434" s="17"/>
      <c r="D434" s="17"/>
      <c r="E434" s="12"/>
      <c r="F434" s="12"/>
      <c r="G434" s="17"/>
      <c r="H434" s="17"/>
      <c r="I434" s="12"/>
      <c r="J434" s="12"/>
      <c r="K434" s="12"/>
      <c r="L434" s="12"/>
      <c r="M434" s="12"/>
      <c r="N434" s="12"/>
    </row>
    <row r="435" ht="13.5" customHeight="1">
      <c r="A435" s="17"/>
      <c r="B435" s="12"/>
      <c r="C435" s="17"/>
      <c r="D435" s="17"/>
      <c r="E435" s="12"/>
      <c r="F435" s="12"/>
      <c r="G435" s="17"/>
      <c r="H435" s="17"/>
      <c r="I435" s="12"/>
      <c r="J435" s="12"/>
      <c r="K435" s="12"/>
      <c r="L435" s="12"/>
      <c r="M435" s="12"/>
      <c r="N435" s="12"/>
    </row>
    <row r="436" ht="13.5" customHeight="1">
      <c r="A436" s="17"/>
      <c r="B436" s="12"/>
      <c r="C436" s="17"/>
      <c r="D436" s="17"/>
      <c r="E436" s="12"/>
      <c r="F436" s="12"/>
      <c r="G436" s="17"/>
      <c r="H436" s="17"/>
      <c r="I436" s="12"/>
      <c r="J436" s="12"/>
      <c r="K436" s="12"/>
      <c r="L436" s="12"/>
      <c r="M436" s="12"/>
      <c r="N436" s="12"/>
    </row>
    <row r="437" ht="13.5" customHeight="1">
      <c r="A437" s="17"/>
      <c r="B437" s="12"/>
      <c r="C437" s="17"/>
      <c r="D437" s="17"/>
      <c r="E437" s="12"/>
      <c r="F437" s="12"/>
      <c r="G437" s="17"/>
      <c r="H437" s="17"/>
      <c r="I437" s="12"/>
      <c r="J437" s="12"/>
      <c r="K437" s="12"/>
      <c r="L437" s="12"/>
      <c r="M437" s="12"/>
      <c r="N437" s="12"/>
    </row>
    <row r="438" ht="13.5" customHeight="1">
      <c r="A438" s="17"/>
      <c r="B438" s="12"/>
      <c r="C438" s="17"/>
      <c r="D438" s="17"/>
      <c r="E438" s="12"/>
      <c r="F438" s="12"/>
      <c r="G438" s="17"/>
      <c r="H438" s="17"/>
      <c r="I438" s="12"/>
      <c r="J438" s="12"/>
      <c r="K438" s="12"/>
      <c r="L438" s="12"/>
      <c r="M438" s="12"/>
      <c r="N438" s="12"/>
    </row>
    <row r="439" ht="13.5" customHeight="1">
      <c r="A439" s="17"/>
      <c r="B439" s="12"/>
      <c r="C439" s="17"/>
      <c r="D439" s="17"/>
      <c r="E439" s="12"/>
      <c r="F439" s="12"/>
      <c r="G439" s="17"/>
      <c r="H439" s="17"/>
      <c r="I439" s="12"/>
      <c r="J439" s="12"/>
      <c r="K439" s="12"/>
      <c r="L439" s="12"/>
      <c r="M439" s="12"/>
      <c r="N439" s="12"/>
    </row>
    <row r="440" ht="13.5" customHeight="1">
      <c r="A440" s="17"/>
      <c r="B440" s="12"/>
      <c r="C440" s="17"/>
      <c r="D440" s="17"/>
      <c r="E440" s="12"/>
      <c r="F440" s="12"/>
      <c r="G440" s="17"/>
      <c r="H440" s="17"/>
      <c r="I440" s="12"/>
      <c r="J440" s="12"/>
      <c r="K440" s="12"/>
      <c r="L440" s="12"/>
      <c r="M440" s="12"/>
      <c r="N440" s="12"/>
    </row>
    <row r="441" ht="13.5" customHeight="1">
      <c r="A441" s="17"/>
      <c r="B441" s="12"/>
      <c r="C441" s="17"/>
      <c r="D441" s="17"/>
      <c r="E441" s="12"/>
      <c r="F441" s="12"/>
      <c r="G441" s="17"/>
      <c r="H441" s="17"/>
      <c r="I441" s="12"/>
      <c r="J441" s="12"/>
      <c r="K441" s="12"/>
      <c r="L441" s="12"/>
      <c r="M441" s="12"/>
      <c r="N441" s="12"/>
    </row>
    <row r="442" ht="13.5" customHeight="1">
      <c r="A442" s="17"/>
      <c r="B442" s="12"/>
      <c r="C442" s="17"/>
      <c r="D442" s="17"/>
      <c r="E442" s="12"/>
      <c r="F442" s="12"/>
      <c r="G442" s="17"/>
      <c r="H442" s="17"/>
      <c r="I442" s="12"/>
      <c r="J442" s="12"/>
      <c r="K442" s="12"/>
      <c r="L442" s="12"/>
      <c r="M442" s="12"/>
      <c r="N442" s="12"/>
    </row>
    <row r="443" ht="13.5" customHeight="1">
      <c r="A443" s="17"/>
      <c r="B443" s="12"/>
      <c r="C443" s="17"/>
      <c r="D443" s="17"/>
      <c r="E443" s="12"/>
      <c r="F443" s="12"/>
      <c r="G443" s="17"/>
      <c r="H443" s="17"/>
      <c r="I443" s="12"/>
      <c r="J443" s="12"/>
      <c r="K443" s="12"/>
      <c r="L443" s="12"/>
      <c r="M443" s="12"/>
      <c r="N443" s="12"/>
    </row>
    <row r="444" ht="13.5" customHeight="1">
      <c r="A444" s="17"/>
      <c r="B444" s="12"/>
      <c r="C444" s="17"/>
      <c r="D444" s="17"/>
      <c r="E444" s="12"/>
      <c r="F444" s="12"/>
      <c r="G444" s="17"/>
      <c r="H444" s="17"/>
      <c r="I444" s="12"/>
      <c r="J444" s="12"/>
      <c r="K444" s="12"/>
      <c r="L444" s="12"/>
      <c r="M444" s="12"/>
      <c r="N444" s="12"/>
    </row>
    <row r="445" ht="13.5" customHeight="1">
      <c r="A445" s="17"/>
      <c r="B445" s="12"/>
      <c r="C445" s="17"/>
      <c r="D445" s="17"/>
      <c r="E445" s="12"/>
      <c r="F445" s="12"/>
      <c r="G445" s="17"/>
      <c r="H445" s="17"/>
      <c r="I445" s="12"/>
      <c r="J445" s="12"/>
      <c r="K445" s="12"/>
      <c r="L445" s="12"/>
      <c r="M445" s="12"/>
      <c r="N445" s="12"/>
    </row>
    <row r="446" ht="13.5" customHeight="1">
      <c r="A446" s="17"/>
      <c r="B446" s="12"/>
      <c r="C446" s="17"/>
      <c r="D446" s="17"/>
      <c r="E446" s="12"/>
      <c r="F446" s="12"/>
      <c r="G446" s="17"/>
      <c r="H446" s="17"/>
      <c r="I446" s="12"/>
      <c r="J446" s="12"/>
      <c r="K446" s="12"/>
      <c r="L446" s="12"/>
      <c r="M446" s="12"/>
      <c r="N446" s="12"/>
    </row>
    <row r="447" ht="13.5" customHeight="1">
      <c r="A447" s="17"/>
      <c r="B447" s="12"/>
      <c r="C447" s="17"/>
      <c r="D447" s="17"/>
      <c r="E447" s="12"/>
      <c r="F447" s="12"/>
      <c r="G447" s="17"/>
      <c r="H447" s="17"/>
      <c r="I447" s="12"/>
      <c r="J447" s="12"/>
      <c r="K447" s="12"/>
      <c r="L447" s="12"/>
      <c r="M447" s="12"/>
      <c r="N447" s="12"/>
    </row>
    <row r="448" ht="13.5" customHeight="1">
      <c r="A448" s="17"/>
      <c r="B448" s="12"/>
      <c r="C448" s="17"/>
      <c r="D448" s="17"/>
      <c r="E448" s="12"/>
      <c r="F448" s="12"/>
      <c r="G448" s="17"/>
      <c r="H448" s="17"/>
      <c r="I448" s="12"/>
      <c r="J448" s="12"/>
      <c r="K448" s="12"/>
      <c r="L448" s="12"/>
      <c r="M448" s="12"/>
      <c r="N448" s="12"/>
    </row>
    <row r="449" ht="13.5" customHeight="1">
      <c r="A449" s="17"/>
      <c r="B449" s="12"/>
      <c r="C449" s="17"/>
      <c r="D449" s="17"/>
      <c r="E449" s="12"/>
      <c r="F449" s="12"/>
      <c r="G449" s="17"/>
      <c r="H449" s="17"/>
      <c r="I449" s="12"/>
      <c r="J449" s="12"/>
      <c r="K449" s="12"/>
      <c r="L449" s="12"/>
      <c r="M449" s="12"/>
      <c r="N449" s="12"/>
    </row>
    <row r="450" ht="13.5" customHeight="1">
      <c r="A450" s="17"/>
      <c r="B450" s="12"/>
      <c r="C450" s="17"/>
      <c r="D450" s="17"/>
      <c r="E450" s="12"/>
      <c r="F450" s="12"/>
      <c r="G450" s="17"/>
      <c r="H450" s="17"/>
      <c r="I450" s="12"/>
      <c r="J450" s="12"/>
      <c r="K450" s="12"/>
      <c r="L450" s="12"/>
      <c r="M450" s="12"/>
      <c r="N450" s="12"/>
    </row>
    <row r="451" ht="13.5" customHeight="1">
      <c r="A451" s="17"/>
      <c r="B451" s="12"/>
      <c r="C451" s="17"/>
      <c r="D451" s="17"/>
      <c r="E451" s="12"/>
      <c r="F451" s="12"/>
      <c r="G451" s="17"/>
      <c r="H451" s="17"/>
      <c r="I451" s="12"/>
      <c r="J451" s="12"/>
      <c r="K451" s="12"/>
      <c r="L451" s="12"/>
      <c r="M451" s="12"/>
      <c r="N451" s="12"/>
    </row>
    <row r="452" ht="13.5" customHeight="1">
      <c r="A452" s="17"/>
      <c r="B452" s="12"/>
      <c r="C452" s="17"/>
      <c r="D452" s="17"/>
      <c r="E452" s="12"/>
      <c r="F452" s="12"/>
      <c r="G452" s="17"/>
      <c r="H452" s="17"/>
      <c r="I452" s="12"/>
      <c r="J452" s="12"/>
      <c r="K452" s="12"/>
      <c r="L452" s="12"/>
      <c r="M452" s="12"/>
      <c r="N452" s="12"/>
    </row>
    <row r="453" ht="13.5" customHeight="1">
      <c r="A453" s="17"/>
      <c r="B453" s="12"/>
      <c r="C453" s="17"/>
      <c r="D453" s="17"/>
      <c r="E453" s="12"/>
      <c r="F453" s="12"/>
      <c r="G453" s="17"/>
      <c r="H453" s="17"/>
      <c r="I453" s="12"/>
      <c r="J453" s="12"/>
      <c r="K453" s="12"/>
      <c r="L453" s="12"/>
      <c r="M453" s="12"/>
      <c r="N453" s="12"/>
    </row>
    <row r="454" ht="13.5" customHeight="1">
      <c r="A454" s="17"/>
      <c r="B454" s="12"/>
      <c r="C454" s="17"/>
      <c r="D454" s="17"/>
      <c r="E454" s="12"/>
      <c r="F454" s="12"/>
      <c r="G454" s="17"/>
      <c r="H454" s="17"/>
      <c r="I454" s="12"/>
      <c r="J454" s="12"/>
      <c r="K454" s="12"/>
      <c r="L454" s="12"/>
      <c r="M454" s="12"/>
      <c r="N454" s="12"/>
    </row>
    <row r="455" ht="13.5" customHeight="1">
      <c r="A455" s="17"/>
      <c r="B455" s="12"/>
      <c r="C455" s="17"/>
      <c r="D455" s="17"/>
      <c r="E455" s="12"/>
      <c r="F455" s="12"/>
      <c r="G455" s="17"/>
      <c r="H455" s="17"/>
      <c r="I455" s="12"/>
      <c r="J455" s="12"/>
      <c r="K455" s="12"/>
      <c r="L455" s="12"/>
      <c r="M455" s="12"/>
      <c r="N455" s="12"/>
    </row>
    <row r="456" ht="13.5" customHeight="1">
      <c r="A456" s="17"/>
      <c r="B456" s="12"/>
      <c r="C456" s="17"/>
      <c r="D456" s="17"/>
      <c r="E456" s="12"/>
      <c r="F456" s="12"/>
      <c r="G456" s="17"/>
      <c r="H456" s="17"/>
      <c r="I456" s="12"/>
      <c r="J456" s="12"/>
      <c r="K456" s="12"/>
      <c r="L456" s="12"/>
      <c r="M456" s="12"/>
      <c r="N456" s="12"/>
    </row>
    <row r="457" ht="13.5" customHeight="1">
      <c r="A457" s="17"/>
      <c r="B457" s="12"/>
      <c r="C457" s="17"/>
      <c r="D457" s="17"/>
      <c r="E457" s="12"/>
      <c r="F457" s="12"/>
      <c r="G457" s="17"/>
      <c r="H457" s="17"/>
      <c r="I457" s="12"/>
      <c r="J457" s="12"/>
      <c r="K457" s="12"/>
      <c r="L457" s="12"/>
      <c r="M457" s="12"/>
      <c r="N457" s="12"/>
    </row>
    <row r="458" ht="13.5" customHeight="1">
      <c r="A458" s="17"/>
      <c r="B458" s="12"/>
      <c r="C458" s="17"/>
      <c r="D458" s="17"/>
      <c r="E458" s="12"/>
      <c r="F458" s="12"/>
      <c r="G458" s="17"/>
      <c r="H458" s="17"/>
      <c r="I458" s="12"/>
      <c r="J458" s="12"/>
      <c r="K458" s="12"/>
      <c r="L458" s="12"/>
      <c r="M458" s="12"/>
      <c r="N458" s="12"/>
    </row>
    <row r="459" ht="13.5" customHeight="1">
      <c r="A459" s="17"/>
      <c r="B459" s="12"/>
      <c r="C459" s="17"/>
      <c r="D459" s="17"/>
      <c r="E459" s="12"/>
      <c r="F459" s="12"/>
      <c r="G459" s="17"/>
      <c r="H459" s="17"/>
      <c r="I459" s="12"/>
      <c r="J459" s="12"/>
      <c r="K459" s="12"/>
      <c r="L459" s="12"/>
      <c r="M459" s="12"/>
      <c r="N459" s="12"/>
    </row>
    <row r="460" ht="13.5" customHeight="1">
      <c r="A460" s="17"/>
      <c r="B460" s="12"/>
      <c r="C460" s="17"/>
      <c r="D460" s="17"/>
      <c r="E460" s="12"/>
      <c r="F460" s="12"/>
      <c r="G460" s="17"/>
      <c r="H460" s="17"/>
      <c r="I460" s="12"/>
      <c r="J460" s="12"/>
      <c r="K460" s="12"/>
      <c r="L460" s="12"/>
      <c r="M460" s="12"/>
      <c r="N460" s="12"/>
    </row>
    <row r="461" ht="13.5" customHeight="1">
      <c r="A461" s="17"/>
      <c r="B461" s="12"/>
      <c r="C461" s="17"/>
      <c r="D461" s="17"/>
      <c r="E461" s="12"/>
      <c r="F461" s="12"/>
      <c r="G461" s="17"/>
      <c r="H461" s="17"/>
      <c r="I461" s="12"/>
      <c r="J461" s="12"/>
      <c r="K461" s="12"/>
      <c r="L461" s="12"/>
      <c r="M461" s="12"/>
      <c r="N461" s="12"/>
    </row>
    <row r="462" ht="13.5" customHeight="1">
      <c r="A462" s="17"/>
      <c r="B462" s="12"/>
      <c r="C462" s="17"/>
      <c r="D462" s="17"/>
      <c r="E462" s="12"/>
      <c r="F462" s="12"/>
      <c r="G462" s="17"/>
      <c r="H462" s="17"/>
      <c r="I462" s="12"/>
      <c r="J462" s="12"/>
      <c r="K462" s="12"/>
      <c r="L462" s="12"/>
      <c r="M462" s="12"/>
      <c r="N462" s="12"/>
    </row>
    <row r="463" ht="13.5" customHeight="1">
      <c r="A463" s="17"/>
      <c r="B463" s="12"/>
      <c r="C463" s="17"/>
      <c r="D463" s="17"/>
      <c r="E463" s="12"/>
      <c r="F463" s="12"/>
      <c r="G463" s="17"/>
      <c r="H463" s="17"/>
      <c r="I463" s="12"/>
      <c r="J463" s="12"/>
      <c r="K463" s="12"/>
      <c r="L463" s="12"/>
      <c r="M463" s="12"/>
      <c r="N463" s="12"/>
    </row>
    <row r="464" ht="13.5" customHeight="1">
      <c r="A464" s="17"/>
      <c r="B464" s="12"/>
      <c r="C464" s="17"/>
      <c r="D464" s="17"/>
      <c r="E464" s="12"/>
      <c r="F464" s="12"/>
      <c r="G464" s="17"/>
      <c r="H464" s="17"/>
      <c r="I464" s="12"/>
      <c r="J464" s="12"/>
      <c r="K464" s="12"/>
      <c r="L464" s="12"/>
      <c r="M464" s="12"/>
      <c r="N464" s="12"/>
    </row>
    <row r="465" ht="13.5" customHeight="1">
      <c r="A465" s="17"/>
      <c r="B465" s="12"/>
      <c r="C465" s="17"/>
      <c r="D465" s="17"/>
      <c r="E465" s="12"/>
      <c r="F465" s="12"/>
      <c r="G465" s="17"/>
      <c r="H465" s="17"/>
      <c r="I465" s="12"/>
      <c r="J465" s="12"/>
      <c r="K465" s="12"/>
      <c r="L465" s="12"/>
      <c r="M465" s="12"/>
      <c r="N465" s="12"/>
    </row>
    <row r="466" ht="13.5" customHeight="1">
      <c r="A466" s="17"/>
      <c r="B466" s="12"/>
      <c r="C466" s="17"/>
      <c r="D466" s="17"/>
      <c r="E466" s="12"/>
      <c r="F466" s="12"/>
      <c r="G466" s="17"/>
      <c r="H466" s="17"/>
      <c r="I466" s="12"/>
      <c r="J466" s="12"/>
      <c r="K466" s="12"/>
      <c r="L466" s="12"/>
      <c r="M466" s="12"/>
      <c r="N466" s="12"/>
    </row>
    <row r="467" ht="13.5" customHeight="1">
      <c r="A467" s="17"/>
      <c r="B467" s="12"/>
      <c r="C467" s="17"/>
      <c r="D467" s="17"/>
      <c r="E467" s="12"/>
      <c r="F467" s="12"/>
      <c r="G467" s="17"/>
      <c r="H467" s="17"/>
      <c r="I467" s="12"/>
      <c r="J467" s="12"/>
      <c r="K467" s="12"/>
      <c r="L467" s="12"/>
      <c r="M467" s="12"/>
      <c r="N467" s="12"/>
    </row>
    <row r="468" ht="13.5" customHeight="1">
      <c r="A468" s="17"/>
      <c r="B468" s="12"/>
      <c r="C468" s="17"/>
      <c r="D468" s="17"/>
      <c r="E468" s="12"/>
      <c r="F468" s="12"/>
      <c r="G468" s="17"/>
      <c r="H468" s="17"/>
      <c r="I468" s="12"/>
      <c r="J468" s="12"/>
      <c r="K468" s="12"/>
      <c r="L468" s="12"/>
      <c r="M468" s="12"/>
      <c r="N468" s="12"/>
    </row>
    <row r="469" ht="13.5" customHeight="1">
      <c r="A469" s="17"/>
      <c r="B469" s="12"/>
      <c r="C469" s="17"/>
      <c r="D469" s="17"/>
      <c r="E469" s="12"/>
      <c r="F469" s="12"/>
      <c r="G469" s="17"/>
      <c r="H469" s="17"/>
      <c r="I469" s="12"/>
      <c r="J469" s="12"/>
      <c r="K469" s="12"/>
      <c r="L469" s="12"/>
      <c r="M469" s="12"/>
      <c r="N469" s="12"/>
    </row>
    <row r="470" ht="13.5" customHeight="1">
      <c r="A470" s="17"/>
      <c r="B470" s="12"/>
      <c r="C470" s="17"/>
      <c r="D470" s="17"/>
      <c r="E470" s="12"/>
      <c r="F470" s="12"/>
      <c r="G470" s="17"/>
      <c r="H470" s="17"/>
      <c r="I470" s="12"/>
      <c r="J470" s="12"/>
      <c r="K470" s="12"/>
      <c r="L470" s="12"/>
      <c r="M470" s="12"/>
      <c r="N470" s="12"/>
    </row>
    <row r="471" ht="13.5" customHeight="1">
      <c r="A471" s="17"/>
      <c r="B471" s="12"/>
      <c r="C471" s="17"/>
      <c r="D471" s="17"/>
      <c r="E471" s="12"/>
      <c r="F471" s="12"/>
      <c r="G471" s="17"/>
      <c r="H471" s="17"/>
      <c r="I471" s="12"/>
      <c r="J471" s="12"/>
      <c r="K471" s="12"/>
      <c r="L471" s="12"/>
      <c r="M471" s="12"/>
      <c r="N471" s="12"/>
    </row>
    <row r="472" ht="13.5" customHeight="1">
      <c r="A472" s="17"/>
      <c r="B472" s="12"/>
      <c r="C472" s="17"/>
      <c r="D472" s="17"/>
      <c r="E472" s="12"/>
      <c r="F472" s="12"/>
      <c r="G472" s="17"/>
      <c r="H472" s="17"/>
      <c r="I472" s="12"/>
      <c r="J472" s="12"/>
      <c r="K472" s="12"/>
      <c r="L472" s="12"/>
      <c r="M472" s="12"/>
      <c r="N472" s="12"/>
    </row>
    <row r="473" ht="13.5" customHeight="1">
      <c r="A473" s="17"/>
      <c r="B473" s="12"/>
      <c r="C473" s="17"/>
      <c r="D473" s="17"/>
      <c r="E473" s="12"/>
      <c r="F473" s="12"/>
      <c r="G473" s="17"/>
      <c r="H473" s="17"/>
      <c r="I473" s="12"/>
      <c r="J473" s="12"/>
      <c r="K473" s="12"/>
      <c r="L473" s="12"/>
      <c r="M473" s="12"/>
      <c r="N473" s="12"/>
    </row>
    <row r="474" ht="13.5" customHeight="1">
      <c r="A474" s="17"/>
      <c r="B474" s="12"/>
      <c r="C474" s="17"/>
      <c r="D474" s="17"/>
      <c r="E474" s="12"/>
      <c r="F474" s="12"/>
      <c r="G474" s="17"/>
      <c r="H474" s="17"/>
      <c r="I474" s="12"/>
      <c r="J474" s="12"/>
      <c r="K474" s="12"/>
      <c r="L474" s="12"/>
      <c r="M474" s="12"/>
      <c r="N474" s="12"/>
    </row>
    <row r="475" ht="13.5" customHeight="1">
      <c r="A475" s="17"/>
      <c r="B475" s="12"/>
      <c r="C475" s="17"/>
      <c r="D475" s="17"/>
      <c r="E475" s="12"/>
      <c r="F475" s="12"/>
      <c r="G475" s="17"/>
      <c r="H475" s="17"/>
      <c r="I475" s="12"/>
      <c r="J475" s="12"/>
      <c r="K475" s="12"/>
      <c r="L475" s="12"/>
      <c r="M475" s="12"/>
      <c r="N475" s="12"/>
    </row>
    <row r="476" ht="13.5" customHeight="1">
      <c r="A476" s="17"/>
      <c r="B476" s="12"/>
      <c r="C476" s="17"/>
      <c r="D476" s="17"/>
      <c r="E476" s="12"/>
      <c r="F476" s="12"/>
      <c r="G476" s="17"/>
      <c r="H476" s="17"/>
      <c r="I476" s="12"/>
      <c r="J476" s="12"/>
      <c r="K476" s="12"/>
      <c r="L476" s="12"/>
      <c r="M476" s="12"/>
      <c r="N476" s="12"/>
    </row>
    <row r="477" ht="13.5" customHeight="1">
      <c r="A477" s="17"/>
      <c r="B477" s="12"/>
      <c r="C477" s="17"/>
      <c r="D477" s="17"/>
      <c r="E477" s="12"/>
      <c r="F477" s="12"/>
      <c r="G477" s="17"/>
      <c r="H477" s="17"/>
      <c r="I477" s="12"/>
      <c r="J477" s="12"/>
      <c r="K477" s="12"/>
      <c r="L477" s="12"/>
      <c r="M477" s="12"/>
      <c r="N477" s="12"/>
    </row>
    <row r="478" ht="13.5" customHeight="1">
      <c r="A478" s="17"/>
      <c r="B478" s="12"/>
      <c r="C478" s="17"/>
      <c r="D478" s="17"/>
      <c r="E478" s="12"/>
      <c r="F478" s="12"/>
      <c r="G478" s="17"/>
      <c r="H478" s="17"/>
      <c r="I478" s="12"/>
      <c r="J478" s="12"/>
      <c r="K478" s="12"/>
      <c r="L478" s="12"/>
      <c r="M478" s="12"/>
      <c r="N478" s="12"/>
    </row>
    <row r="479" ht="13.5" customHeight="1">
      <c r="A479" s="17"/>
      <c r="B479" s="12"/>
      <c r="C479" s="17"/>
      <c r="D479" s="17"/>
      <c r="E479" s="12"/>
      <c r="F479" s="12"/>
      <c r="G479" s="17"/>
      <c r="H479" s="17"/>
      <c r="I479" s="12"/>
      <c r="J479" s="12"/>
      <c r="K479" s="12"/>
      <c r="L479" s="12"/>
      <c r="M479" s="12"/>
      <c r="N479" s="12"/>
    </row>
    <row r="480" ht="13.5" customHeight="1">
      <c r="A480" s="17"/>
      <c r="B480" s="12"/>
      <c r="C480" s="17"/>
      <c r="D480" s="17"/>
      <c r="E480" s="12"/>
      <c r="F480" s="12"/>
      <c r="G480" s="17"/>
      <c r="H480" s="17"/>
      <c r="I480" s="12"/>
      <c r="J480" s="12"/>
      <c r="K480" s="12"/>
      <c r="L480" s="12"/>
      <c r="M480" s="12"/>
      <c r="N480" s="12"/>
    </row>
    <row r="481" ht="13.5" customHeight="1">
      <c r="A481" s="17"/>
      <c r="B481" s="12"/>
      <c r="C481" s="17"/>
      <c r="D481" s="17"/>
      <c r="E481" s="12"/>
      <c r="F481" s="12"/>
      <c r="G481" s="17"/>
      <c r="H481" s="17"/>
      <c r="I481" s="12"/>
      <c r="J481" s="12"/>
      <c r="K481" s="12"/>
      <c r="L481" s="12"/>
      <c r="M481" s="12"/>
      <c r="N481" s="12"/>
    </row>
    <row r="482" ht="13.5" customHeight="1">
      <c r="A482" s="17"/>
      <c r="B482" s="12"/>
      <c r="C482" s="17"/>
      <c r="D482" s="17"/>
      <c r="E482" s="12"/>
      <c r="F482" s="12"/>
      <c r="G482" s="17"/>
      <c r="H482" s="17"/>
      <c r="I482" s="12"/>
      <c r="J482" s="12"/>
      <c r="K482" s="12"/>
      <c r="L482" s="12"/>
      <c r="M482" s="12"/>
      <c r="N482" s="12"/>
    </row>
    <row r="483" ht="13.5" customHeight="1">
      <c r="A483" s="17"/>
      <c r="B483" s="12"/>
      <c r="C483" s="17"/>
      <c r="D483" s="17"/>
      <c r="E483" s="12"/>
      <c r="F483" s="12"/>
      <c r="G483" s="17"/>
      <c r="H483" s="17"/>
      <c r="I483" s="12"/>
      <c r="J483" s="12"/>
      <c r="K483" s="12"/>
      <c r="L483" s="12"/>
      <c r="M483" s="12"/>
      <c r="N483" s="12"/>
    </row>
    <row r="484" ht="13.5" customHeight="1">
      <c r="A484" s="17"/>
      <c r="B484" s="12"/>
      <c r="C484" s="17"/>
      <c r="D484" s="17"/>
      <c r="E484" s="12"/>
      <c r="F484" s="12"/>
      <c r="G484" s="17"/>
      <c r="H484" s="17"/>
      <c r="I484" s="12"/>
      <c r="J484" s="12"/>
      <c r="K484" s="12"/>
      <c r="L484" s="12"/>
      <c r="M484" s="12"/>
      <c r="N484" s="12"/>
    </row>
    <row r="485" ht="13.5" customHeight="1">
      <c r="A485" s="17"/>
      <c r="B485" s="12"/>
      <c r="C485" s="17"/>
      <c r="D485" s="17"/>
      <c r="E485" s="12"/>
      <c r="F485" s="12"/>
      <c r="G485" s="17"/>
      <c r="H485" s="17"/>
      <c r="I485" s="12"/>
      <c r="J485" s="12"/>
      <c r="K485" s="12"/>
      <c r="L485" s="12"/>
      <c r="M485" s="12"/>
      <c r="N485" s="12"/>
    </row>
    <row r="486" ht="13.5" customHeight="1">
      <c r="A486" s="17"/>
      <c r="B486" s="12"/>
      <c r="C486" s="17"/>
      <c r="D486" s="17"/>
      <c r="E486" s="12"/>
      <c r="F486" s="12"/>
      <c r="G486" s="17"/>
      <c r="H486" s="17"/>
      <c r="I486" s="12"/>
      <c r="J486" s="12"/>
      <c r="K486" s="12"/>
      <c r="L486" s="12"/>
      <c r="M486" s="12"/>
      <c r="N486" s="12"/>
    </row>
    <row r="487" ht="13.5" customHeight="1">
      <c r="A487" s="17"/>
      <c r="B487" s="12"/>
      <c r="C487" s="17"/>
      <c r="D487" s="17"/>
      <c r="E487" s="12"/>
      <c r="F487" s="12"/>
      <c r="G487" s="17"/>
      <c r="H487" s="17"/>
      <c r="I487" s="12"/>
      <c r="J487" s="12"/>
      <c r="K487" s="12"/>
      <c r="L487" s="12"/>
      <c r="M487" s="12"/>
      <c r="N487" s="12"/>
    </row>
    <row r="488" ht="13.5" customHeight="1">
      <c r="A488" s="17"/>
      <c r="B488" s="12"/>
      <c r="C488" s="17"/>
      <c r="D488" s="17"/>
      <c r="E488" s="12"/>
      <c r="F488" s="12"/>
      <c r="G488" s="17"/>
      <c r="H488" s="17"/>
      <c r="I488" s="12"/>
      <c r="J488" s="12"/>
      <c r="K488" s="12"/>
      <c r="L488" s="12"/>
      <c r="M488" s="12"/>
      <c r="N488" s="12"/>
    </row>
    <row r="489" ht="13.5" customHeight="1">
      <c r="A489" s="17"/>
      <c r="B489" s="12"/>
      <c r="C489" s="17"/>
      <c r="D489" s="17"/>
      <c r="E489" s="12"/>
      <c r="F489" s="12"/>
      <c r="G489" s="17"/>
      <c r="H489" s="17"/>
      <c r="I489" s="12"/>
      <c r="J489" s="12"/>
      <c r="K489" s="12"/>
      <c r="L489" s="12"/>
      <c r="M489" s="12"/>
      <c r="N489" s="12"/>
    </row>
    <row r="490" ht="13.5" customHeight="1">
      <c r="A490" s="17"/>
      <c r="B490" s="12"/>
      <c r="C490" s="17"/>
      <c r="D490" s="17"/>
      <c r="E490" s="12"/>
      <c r="F490" s="12"/>
      <c r="G490" s="17"/>
      <c r="H490" s="17"/>
      <c r="I490" s="12"/>
      <c r="J490" s="12"/>
      <c r="K490" s="12"/>
      <c r="L490" s="12"/>
      <c r="M490" s="12"/>
      <c r="N490" s="12"/>
    </row>
    <row r="491" ht="13.5" customHeight="1">
      <c r="A491" s="17"/>
      <c r="B491" s="12"/>
      <c r="C491" s="17"/>
      <c r="D491" s="17"/>
      <c r="E491" s="12"/>
      <c r="F491" s="12"/>
      <c r="G491" s="17"/>
      <c r="H491" s="17"/>
      <c r="I491" s="12"/>
      <c r="J491" s="12"/>
      <c r="K491" s="12"/>
      <c r="L491" s="12"/>
      <c r="M491" s="12"/>
      <c r="N491" s="12"/>
    </row>
    <row r="492" ht="13.5" customHeight="1">
      <c r="A492" s="17"/>
      <c r="B492" s="12"/>
      <c r="C492" s="17"/>
      <c r="D492" s="17"/>
      <c r="E492" s="12"/>
      <c r="F492" s="12"/>
      <c r="G492" s="17"/>
      <c r="H492" s="17"/>
      <c r="I492" s="12"/>
      <c r="J492" s="12"/>
      <c r="K492" s="12"/>
      <c r="L492" s="12"/>
      <c r="M492" s="12"/>
      <c r="N492" s="12"/>
    </row>
    <row r="493" ht="13.5" customHeight="1">
      <c r="A493" s="17"/>
      <c r="B493" s="12"/>
      <c r="C493" s="17"/>
      <c r="D493" s="17"/>
      <c r="E493" s="12"/>
      <c r="F493" s="12"/>
      <c r="G493" s="17"/>
      <c r="H493" s="17"/>
      <c r="I493" s="12"/>
      <c r="J493" s="12"/>
      <c r="K493" s="12"/>
      <c r="L493" s="12"/>
      <c r="M493" s="12"/>
      <c r="N493" s="12"/>
    </row>
    <row r="494" ht="13.5" customHeight="1">
      <c r="A494" s="17"/>
      <c r="B494" s="12"/>
      <c r="C494" s="17"/>
      <c r="D494" s="17"/>
      <c r="E494" s="12"/>
      <c r="F494" s="12"/>
      <c r="G494" s="17"/>
      <c r="H494" s="17"/>
      <c r="I494" s="12"/>
      <c r="J494" s="12"/>
      <c r="K494" s="12"/>
      <c r="L494" s="12"/>
      <c r="M494" s="12"/>
      <c r="N494" s="12"/>
    </row>
    <row r="495" ht="13.5" customHeight="1">
      <c r="A495" s="17"/>
      <c r="B495" s="12"/>
      <c r="C495" s="17"/>
      <c r="D495" s="17"/>
      <c r="E495" s="12"/>
      <c r="F495" s="12"/>
      <c r="G495" s="17"/>
      <c r="H495" s="17"/>
      <c r="I495" s="12"/>
      <c r="J495" s="12"/>
      <c r="K495" s="12"/>
      <c r="L495" s="12"/>
      <c r="M495" s="12"/>
      <c r="N495" s="12"/>
    </row>
    <row r="496" ht="13.5" customHeight="1">
      <c r="A496" s="17"/>
      <c r="B496" s="12"/>
      <c r="C496" s="17"/>
      <c r="D496" s="17"/>
      <c r="E496" s="12"/>
      <c r="F496" s="12"/>
      <c r="G496" s="17"/>
      <c r="H496" s="17"/>
      <c r="I496" s="12"/>
      <c r="J496" s="12"/>
      <c r="K496" s="12"/>
      <c r="L496" s="12"/>
      <c r="M496" s="12"/>
      <c r="N496" s="12"/>
    </row>
    <row r="497" ht="13.5" customHeight="1">
      <c r="A497" s="17"/>
      <c r="B497" s="12"/>
      <c r="C497" s="17"/>
      <c r="D497" s="17"/>
      <c r="E497" s="12"/>
      <c r="F497" s="12"/>
      <c r="G497" s="17"/>
      <c r="H497" s="17"/>
      <c r="I497" s="12"/>
      <c r="J497" s="12"/>
      <c r="K497" s="12"/>
      <c r="L497" s="12"/>
      <c r="M497" s="12"/>
      <c r="N497" s="12"/>
    </row>
    <row r="498" ht="13.5" customHeight="1">
      <c r="A498" s="17"/>
      <c r="B498" s="12"/>
      <c r="C498" s="17"/>
      <c r="D498" s="17"/>
      <c r="E498" s="12"/>
      <c r="F498" s="12"/>
      <c r="G498" s="17"/>
      <c r="H498" s="17"/>
      <c r="I498" s="12"/>
      <c r="J498" s="12"/>
      <c r="K498" s="12"/>
      <c r="L498" s="12"/>
      <c r="M498" s="12"/>
      <c r="N498" s="12"/>
    </row>
    <row r="499" ht="13.5" customHeight="1">
      <c r="A499" s="17"/>
      <c r="B499" s="12"/>
      <c r="C499" s="17"/>
      <c r="D499" s="17"/>
      <c r="E499" s="12"/>
      <c r="F499" s="12"/>
      <c r="G499" s="17"/>
      <c r="H499" s="17"/>
      <c r="I499" s="12"/>
      <c r="J499" s="12"/>
      <c r="K499" s="12"/>
      <c r="L499" s="12"/>
      <c r="M499" s="12"/>
      <c r="N499" s="12"/>
    </row>
    <row r="500" ht="13.5" customHeight="1">
      <c r="A500" s="17"/>
      <c r="B500" s="12"/>
      <c r="C500" s="17"/>
      <c r="D500" s="17"/>
      <c r="E500" s="12"/>
      <c r="F500" s="12"/>
      <c r="G500" s="17"/>
      <c r="H500" s="17"/>
      <c r="I500" s="12"/>
      <c r="J500" s="12"/>
      <c r="K500" s="12"/>
      <c r="L500" s="12"/>
      <c r="M500" s="12"/>
      <c r="N500" s="12"/>
    </row>
    <row r="501" ht="13.5" customHeight="1">
      <c r="A501" s="17"/>
      <c r="B501" s="12"/>
      <c r="C501" s="17"/>
      <c r="D501" s="17"/>
      <c r="E501" s="12"/>
      <c r="F501" s="12"/>
      <c r="G501" s="17"/>
      <c r="H501" s="17"/>
      <c r="I501" s="12"/>
      <c r="J501" s="12"/>
      <c r="K501" s="12"/>
      <c r="L501" s="12"/>
      <c r="M501" s="12"/>
      <c r="N501" s="12"/>
    </row>
    <row r="502" ht="13.5" customHeight="1">
      <c r="A502" s="17"/>
      <c r="B502" s="12"/>
      <c r="C502" s="17"/>
      <c r="D502" s="17"/>
      <c r="E502" s="12"/>
      <c r="F502" s="12"/>
      <c r="G502" s="17"/>
      <c r="H502" s="17"/>
      <c r="I502" s="12"/>
      <c r="J502" s="12"/>
      <c r="K502" s="12"/>
      <c r="L502" s="12"/>
      <c r="M502" s="12"/>
      <c r="N502" s="12"/>
    </row>
    <row r="503" ht="13.5" customHeight="1">
      <c r="A503" s="17"/>
      <c r="B503" s="12"/>
      <c r="C503" s="17"/>
      <c r="D503" s="17"/>
      <c r="E503" s="12"/>
      <c r="F503" s="12"/>
      <c r="G503" s="17"/>
      <c r="H503" s="17"/>
      <c r="I503" s="12"/>
      <c r="J503" s="12"/>
      <c r="K503" s="12"/>
      <c r="L503" s="12"/>
      <c r="M503" s="12"/>
      <c r="N503" s="12"/>
    </row>
    <row r="504" ht="13.5" customHeight="1">
      <c r="A504" s="17"/>
      <c r="B504" s="12"/>
      <c r="C504" s="17"/>
      <c r="D504" s="17"/>
      <c r="E504" s="12"/>
      <c r="F504" s="12"/>
      <c r="G504" s="17"/>
      <c r="H504" s="17"/>
      <c r="I504" s="12"/>
      <c r="J504" s="12"/>
      <c r="K504" s="12"/>
      <c r="L504" s="12"/>
      <c r="M504" s="12"/>
      <c r="N504" s="12"/>
    </row>
    <row r="505" ht="13.5" customHeight="1">
      <c r="A505" s="17"/>
      <c r="B505" s="12"/>
      <c r="C505" s="17"/>
      <c r="D505" s="17"/>
      <c r="E505" s="12"/>
      <c r="F505" s="12"/>
      <c r="G505" s="17"/>
      <c r="H505" s="17"/>
      <c r="I505" s="12"/>
      <c r="J505" s="12"/>
      <c r="K505" s="12"/>
      <c r="L505" s="12"/>
      <c r="M505" s="12"/>
      <c r="N505" s="12"/>
    </row>
    <row r="506" ht="13.5" customHeight="1">
      <c r="A506" s="17"/>
      <c r="B506" s="12"/>
      <c r="C506" s="17"/>
      <c r="D506" s="17"/>
      <c r="E506" s="12"/>
      <c r="F506" s="12"/>
      <c r="G506" s="17"/>
      <c r="H506" s="17"/>
      <c r="I506" s="12"/>
      <c r="J506" s="12"/>
      <c r="K506" s="12"/>
      <c r="L506" s="12"/>
      <c r="M506" s="12"/>
      <c r="N506" s="12"/>
    </row>
    <row r="507" ht="13.5" customHeight="1">
      <c r="A507" s="17"/>
      <c r="B507" s="12"/>
      <c r="C507" s="17"/>
      <c r="D507" s="17"/>
      <c r="E507" s="12"/>
      <c r="F507" s="12"/>
      <c r="G507" s="17"/>
      <c r="H507" s="17"/>
      <c r="I507" s="12"/>
      <c r="J507" s="12"/>
      <c r="K507" s="12"/>
      <c r="L507" s="12"/>
      <c r="M507" s="12"/>
      <c r="N507" s="12"/>
    </row>
    <row r="508" ht="13.5" customHeight="1">
      <c r="A508" s="17"/>
      <c r="B508" s="12"/>
      <c r="C508" s="17"/>
      <c r="D508" s="17"/>
      <c r="E508" s="12"/>
      <c r="F508" s="12"/>
      <c r="G508" s="17"/>
      <c r="H508" s="17"/>
      <c r="I508" s="12"/>
      <c r="J508" s="12"/>
      <c r="K508" s="12"/>
      <c r="L508" s="12"/>
      <c r="M508" s="12"/>
      <c r="N508" s="12"/>
    </row>
    <row r="509" ht="13.5" customHeight="1">
      <c r="A509" s="17"/>
      <c r="B509" s="12"/>
      <c r="C509" s="17"/>
      <c r="D509" s="17"/>
      <c r="E509" s="12"/>
      <c r="F509" s="12"/>
      <c r="G509" s="17"/>
      <c r="H509" s="17"/>
      <c r="I509" s="12"/>
      <c r="J509" s="12"/>
      <c r="K509" s="12"/>
      <c r="L509" s="12"/>
      <c r="M509" s="12"/>
      <c r="N509" s="12"/>
    </row>
    <row r="510" ht="13.5" customHeight="1">
      <c r="A510" s="17"/>
      <c r="B510" s="12"/>
      <c r="C510" s="17"/>
      <c r="D510" s="17"/>
      <c r="E510" s="12"/>
      <c r="F510" s="12"/>
      <c r="G510" s="17"/>
      <c r="H510" s="17"/>
      <c r="I510" s="12"/>
      <c r="J510" s="12"/>
      <c r="K510" s="12"/>
      <c r="L510" s="12"/>
      <c r="M510" s="12"/>
      <c r="N510" s="12"/>
    </row>
    <row r="511" ht="13.5" customHeight="1">
      <c r="A511" s="17"/>
      <c r="B511" s="12"/>
      <c r="C511" s="17"/>
      <c r="D511" s="17"/>
      <c r="E511" s="12"/>
      <c r="F511" s="12"/>
      <c r="G511" s="17"/>
      <c r="H511" s="17"/>
      <c r="I511" s="12"/>
      <c r="J511" s="12"/>
      <c r="K511" s="12"/>
      <c r="L511" s="12"/>
      <c r="M511" s="12"/>
      <c r="N511" s="12"/>
    </row>
    <row r="512" ht="13.5" customHeight="1">
      <c r="A512" s="17"/>
      <c r="B512" s="12"/>
      <c r="C512" s="17"/>
      <c r="D512" s="17"/>
      <c r="E512" s="12"/>
      <c r="F512" s="12"/>
      <c r="G512" s="17"/>
      <c r="H512" s="17"/>
      <c r="I512" s="12"/>
      <c r="J512" s="12"/>
      <c r="K512" s="12"/>
      <c r="L512" s="12"/>
      <c r="M512" s="12"/>
      <c r="N512" s="12"/>
    </row>
    <row r="513" ht="13.5" customHeight="1">
      <c r="A513" s="17"/>
      <c r="B513" s="12"/>
      <c r="C513" s="17"/>
      <c r="D513" s="17"/>
      <c r="E513" s="12"/>
      <c r="F513" s="12"/>
      <c r="G513" s="17"/>
      <c r="H513" s="17"/>
      <c r="I513" s="12"/>
      <c r="J513" s="12"/>
      <c r="K513" s="12"/>
      <c r="L513" s="12"/>
      <c r="M513" s="12"/>
      <c r="N513" s="12"/>
    </row>
    <row r="514" ht="13.5" customHeight="1">
      <c r="A514" s="17"/>
      <c r="B514" s="12"/>
      <c r="C514" s="17"/>
      <c r="D514" s="17"/>
      <c r="E514" s="12"/>
      <c r="F514" s="12"/>
      <c r="G514" s="17"/>
      <c r="H514" s="17"/>
      <c r="I514" s="12"/>
      <c r="J514" s="12"/>
      <c r="K514" s="12"/>
      <c r="L514" s="12"/>
      <c r="M514" s="12"/>
      <c r="N514" s="12"/>
    </row>
    <row r="515" ht="13.5" customHeight="1">
      <c r="A515" s="17"/>
      <c r="B515" s="12"/>
      <c r="C515" s="17"/>
      <c r="D515" s="17"/>
      <c r="E515" s="12"/>
      <c r="F515" s="12"/>
      <c r="G515" s="17"/>
      <c r="H515" s="17"/>
      <c r="I515" s="12"/>
      <c r="J515" s="12"/>
      <c r="K515" s="12"/>
      <c r="L515" s="12"/>
      <c r="M515" s="12"/>
      <c r="N515" s="12"/>
    </row>
    <row r="516" ht="13.5" customHeight="1">
      <c r="A516" s="17"/>
      <c r="B516" s="12"/>
      <c r="C516" s="17"/>
      <c r="D516" s="17"/>
      <c r="E516" s="12"/>
      <c r="F516" s="12"/>
      <c r="G516" s="17"/>
      <c r="H516" s="17"/>
      <c r="I516" s="12"/>
      <c r="J516" s="12"/>
      <c r="K516" s="12"/>
      <c r="L516" s="12"/>
      <c r="M516" s="12"/>
      <c r="N516" s="12"/>
    </row>
    <row r="517" ht="13.5" customHeight="1">
      <c r="A517" s="17"/>
      <c r="B517" s="12"/>
      <c r="C517" s="17"/>
      <c r="D517" s="17"/>
      <c r="E517" s="12"/>
      <c r="F517" s="12"/>
      <c r="G517" s="17"/>
      <c r="H517" s="17"/>
      <c r="I517" s="12"/>
      <c r="J517" s="12"/>
      <c r="K517" s="12"/>
      <c r="L517" s="12"/>
      <c r="M517" s="12"/>
      <c r="N517" s="12"/>
    </row>
    <row r="518" ht="13.5" customHeight="1">
      <c r="A518" s="17"/>
      <c r="B518" s="12"/>
      <c r="C518" s="17"/>
      <c r="D518" s="17"/>
      <c r="E518" s="12"/>
      <c r="F518" s="12"/>
      <c r="G518" s="17"/>
      <c r="H518" s="17"/>
      <c r="I518" s="12"/>
      <c r="J518" s="12"/>
      <c r="K518" s="12"/>
      <c r="L518" s="12"/>
      <c r="M518" s="12"/>
      <c r="N518" s="12"/>
    </row>
    <row r="519" ht="13.5" customHeight="1">
      <c r="A519" s="17"/>
      <c r="B519" s="12"/>
      <c r="C519" s="17"/>
      <c r="D519" s="17"/>
      <c r="E519" s="12"/>
      <c r="F519" s="12"/>
      <c r="G519" s="17"/>
      <c r="H519" s="17"/>
      <c r="I519" s="12"/>
      <c r="J519" s="12"/>
      <c r="K519" s="12"/>
      <c r="L519" s="12"/>
      <c r="M519" s="12"/>
      <c r="N519" s="12"/>
    </row>
    <row r="520" ht="13.5" customHeight="1">
      <c r="A520" s="17"/>
      <c r="B520" s="12"/>
      <c r="C520" s="17"/>
      <c r="D520" s="17"/>
      <c r="E520" s="12"/>
      <c r="F520" s="12"/>
      <c r="G520" s="17"/>
      <c r="H520" s="17"/>
      <c r="I520" s="12"/>
      <c r="J520" s="12"/>
      <c r="K520" s="12"/>
      <c r="L520" s="12"/>
      <c r="M520" s="12"/>
      <c r="N520" s="12"/>
    </row>
    <row r="521" ht="13.5" customHeight="1">
      <c r="A521" s="17"/>
      <c r="B521" s="12"/>
      <c r="C521" s="17"/>
      <c r="D521" s="17"/>
      <c r="E521" s="12"/>
      <c r="F521" s="12"/>
      <c r="G521" s="17"/>
      <c r="H521" s="17"/>
      <c r="I521" s="12"/>
      <c r="J521" s="12"/>
      <c r="K521" s="12"/>
      <c r="L521" s="12"/>
      <c r="M521" s="12"/>
      <c r="N521" s="12"/>
    </row>
    <row r="522" ht="13.5" customHeight="1">
      <c r="A522" s="17"/>
      <c r="B522" s="12"/>
      <c r="C522" s="17"/>
      <c r="D522" s="17"/>
      <c r="E522" s="12"/>
      <c r="F522" s="12"/>
      <c r="G522" s="17"/>
      <c r="H522" s="17"/>
      <c r="I522" s="12"/>
      <c r="J522" s="12"/>
      <c r="K522" s="12"/>
      <c r="L522" s="12"/>
      <c r="M522" s="12"/>
      <c r="N522" s="12"/>
    </row>
    <row r="523" ht="13.5" customHeight="1">
      <c r="A523" s="17"/>
      <c r="B523" s="12"/>
      <c r="C523" s="17"/>
      <c r="D523" s="17"/>
      <c r="E523" s="12"/>
      <c r="F523" s="12"/>
      <c r="G523" s="17"/>
      <c r="H523" s="17"/>
      <c r="I523" s="12"/>
      <c r="J523" s="12"/>
      <c r="K523" s="12"/>
      <c r="L523" s="12"/>
      <c r="M523" s="12"/>
      <c r="N523" s="12"/>
    </row>
    <row r="524" ht="13.5" customHeight="1">
      <c r="A524" s="17"/>
      <c r="B524" s="12"/>
      <c r="C524" s="17"/>
      <c r="D524" s="17"/>
      <c r="E524" s="12"/>
      <c r="F524" s="12"/>
      <c r="G524" s="17"/>
      <c r="H524" s="17"/>
      <c r="I524" s="12"/>
      <c r="J524" s="12"/>
      <c r="K524" s="12"/>
      <c r="L524" s="12"/>
      <c r="M524" s="12"/>
      <c r="N524" s="12"/>
    </row>
    <row r="525" ht="13.5" customHeight="1">
      <c r="A525" s="17"/>
      <c r="B525" s="12"/>
      <c r="C525" s="17"/>
      <c r="D525" s="17"/>
      <c r="E525" s="12"/>
      <c r="F525" s="12"/>
      <c r="G525" s="17"/>
      <c r="H525" s="17"/>
      <c r="I525" s="12"/>
      <c r="J525" s="12"/>
      <c r="K525" s="12"/>
      <c r="L525" s="12"/>
      <c r="M525" s="12"/>
      <c r="N525" s="12"/>
    </row>
    <row r="526" ht="13.5" customHeight="1">
      <c r="A526" s="17"/>
      <c r="B526" s="12"/>
      <c r="C526" s="17"/>
      <c r="D526" s="17"/>
      <c r="E526" s="12"/>
      <c r="F526" s="12"/>
      <c r="G526" s="17"/>
      <c r="H526" s="17"/>
      <c r="I526" s="12"/>
      <c r="J526" s="12"/>
      <c r="K526" s="12"/>
      <c r="L526" s="12"/>
      <c r="M526" s="12"/>
      <c r="N526" s="12"/>
    </row>
    <row r="527" ht="13.5" customHeight="1">
      <c r="A527" s="17"/>
      <c r="B527" s="12"/>
      <c r="C527" s="17"/>
      <c r="D527" s="17"/>
      <c r="E527" s="12"/>
      <c r="F527" s="12"/>
      <c r="G527" s="17"/>
      <c r="H527" s="17"/>
      <c r="I527" s="12"/>
      <c r="J527" s="12"/>
      <c r="K527" s="12"/>
      <c r="L527" s="12"/>
      <c r="M527" s="12"/>
      <c r="N527" s="12"/>
    </row>
    <row r="528" ht="13.5" customHeight="1">
      <c r="A528" s="17"/>
      <c r="B528" s="12"/>
      <c r="C528" s="17"/>
      <c r="D528" s="17"/>
      <c r="E528" s="12"/>
      <c r="F528" s="12"/>
      <c r="G528" s="17"/>
      <c r="H528" s="17"/>
      <c r="I528" s="12"/>
      <c r="J528" s="12"/>
      <c r="K528" s="12"/>
      <c r="L528" s="12"/>
      <c r="M528" s="12"/>
      <c r="N528" s="12"/>
    </row>
    <row r="529" ht="13.5" customHeight="1">
      <c r="A529" s="17"/>
      <c r="B529" s="12"/>
      <c r="C529" s="17"/>
      <c r="D529" s="17"/>
      <c r="E529" s="12"/>
      <c r="F529" s="12"/>
      <c r="G529" s="17"/>
      <c r="H529" s="17"/>
      <c r="I529" s="12"/>
      <c r="J529" s="12"/>
      <c r="K529" s="12"/>
      <c r="L529" s="12"/>
      <c r="M529" s="12"/>
      <c r="N529" s="12"/>
    </row>
    <row r="530" ht="13.5" customHeight="1">
      <c r="A530" s="17"/>
      <c r="B530" s="12"/>
      <c r="C530" s="17"/>
      <c r="D530" s="17"/>
      <c r="E530" s="12"/>
      <c r="F530" s="12"/>
      <c r="G530" s="17"/>
      <c r="H530" s="17"/>
      <c r="I530" s="12"/>
      <c r="J530" s="12"/>
      <c r="K530" s="12"/>
      <c r="L530" s="12"/>
      <c r="M530" s="12"/>
      <c r="N530" s="12"/>
    </row>
    <row r="531" ht="13.5" customHeight="1">
      <c r="A531" s="17"/>
      <c r="B531" s="12"/>
      <c r="C531" s="17"/>
      <c r="D531" s="17"/>
      <c r="E531" s="12"/>
      <c r="F531" s="12"/>
      <c r="G531" s="17"/>
      <c r="H531" s="17"/>
      <c r="I531" s="12"/>
      <c r="J531" s="12"/>
      <c r="K531" s="12"/>
      <c r="L531" s="12"/>
      <c r="M531" s="12"/>
      <c r="N531" s="12"/>
    </row>
    <row r="532" ht="13.5" customHeight="1">
      <c r="A532" s="17"/>
      <c r="B532" s="12"/>
      <c r="C532" s="17"/>
      <c r="D532" s="17"/>
      <c r="E532" s="12"/>
      <c r="F532" s="12"/>
      <c r="G532" s="17"/>
      <c r="H532" s="17"/>
      <c r="I532" s="12"/>
      <c r="J532" s="12"/>
      <c r="K532" s="12"/>
      <c r="L532" s="12"/>
      <c r="M532" s="12"/>
      <c r="N532" s="12"/>
    </row>
    <row r="533" ht="13.5" customHeight="1">
      <c r="A533" s="17"/>
      <c r="B533" s="12"/>
      <c r="C533" s="17"/>
      <c r="D533" s="17"/>
      <c r="E533" s="12"/>
      <c r="F533" s="12"/>
      <c r="G533" s="17"/>
      <c r="H533" s="17"/>
      <c r="I533" s="12"/>
      <c r="J533" s="12"/>
      <c r="K533" s="12"/>
      <c r="L533" s="12"/>
      <c r="M533" s="12"/>
      <c r="N533" s="12"/>
    </row>
    <row r="534" ht="13.5" customHeight="1">
      <c r="A534" s="17"/>
      <c r="B534" s="12"/>
      <c r="C534" s="17"/>
      <c r="D534" s="17"/>
      <c r="E534" s="12"/>
      <c r="F534" s="12"/>
      <c r="G534" s="17"/>
      <c r="H534" s="17"/>
      <c r="I534" s="12"/>
      <c r="J534" s="12"/>
      <c r="K534" s="12"/>
      <c r="L534" s="12"/>
      <c r="M534" s="12"/>
      <c r="N534" s="12"/>
    </row>
    <row r="535" ht="13.5" customHeight="1">
      <c r="A535" s="17"/>
      <c r="B535" s="12"/>
      <c r="C535" s="17"/>
      <c r="D535" s="17"/>
      <c r="E535" s="12"/>
      <c r="F535" s="12"/>
      <c r="G535" s="17"/>
      <c r="H535" s="17"/>
      <c r="I535" s="12"/>
      <c r="J535" s="12"/>
      <c r="K535" s="12"/>
      <c r="L535" s="12"/>
      <c r="M535" s="12"/>
      <c r="N535" s="12"/>
    </row>
    <row r="536" ht="13.5" customHeight="1">
      <c r="A536" s="17"/>
      <c r="B536" s="12"/>
      <c r="C536" s="17"/>
      <c r="D536" s="17"/>
      <c r="E536" s="12"/>
      <c r="F536" s="12"/>
      <c r="G536" s="17"/>
      <c r="H536" s="17"/>
      <c r="I536" s="12"/>
      <c r="J536" s="12"/>
      <c r="K536" s="12"/>
      <c r="L536" s="12"/>
      <c r="M536" s="12"/>
      <c r="N536" s="12"/>
    </row>
    <row r="537" ht="13.5" customHeight="1">
      <c r="A537" s="17"/>
      <c r="B537" s="12"/>
      <c r="C537" s="17"/>
      <c r="D537" s="17"/>
      <c r="E537" s="12"/>
      <c r="F537" s="12"/>
      <c r="G537" s="17"/>
      <c r="H537" s="17"/>
      <c r="I537" s="12"/>
      <c r="J537" s="12"/>
      <c r="K537" s="12"/>
      <c r="L537" s="12"/>
      <c r="M537" s="12"/>
      <c r="N537" s="12"/>
    </row>
    <row r="538" ht="13.5" customHeight="1">
      <c r="A538" s="17"/>
      <c r="B538" s="12"/>
      <c r="C538" s="17"/>
      <c r="D538" s="17"/>
      <c r="E538" s="12"/>
      <c r="F538" s="12"/>
      <c r="G538" s="17"/>
      <c r="H538" s="17"/>
      <c r="I538" s="12"/>
      <c r="J538" s="12"/>
      <c r="K538" s="12"/>
      <c r="L538" s="12"/>
      <c r="M538" s="12"/>
      <c r="N538" s="12"/>
    </row>
    <row r="539" ht="13.5" customHeight="1">
      <c r="A539" s="17"/>
      <c r="B539" s="12"/>
      <c r="C539" s="17"/>
      <c r="D539" s="17"/>
      <c r="E539" s="12"/>
      <c r="F539" s="12"/>
      <c r="G539" s="17"/>
      <c r="H539" s="17"/>
      <c r="I539" s="12"/>
      <c r="J539" s="12"/>
      <c r="K539" s="12"/>
      <c r="L539" s="12"/>
      <c r="M539" s="12"/>
      <c r="N539" s="12"/>
    </row>
    <row r="540" ht="13.5" customHeight="1">
      <c r="A540" s="17"/>
      <c r="B540" s="12"/>
      <c r="C540" s="17"/>
      <c r="D540" s="17"/>
      <c r="E540" s="12"/>
      <c r="F540" s="12"/>
      <c r="G540" s="17"/>
      <c r="H540" s="17"/>
      <c r="I540" s="12"/>
      <c r="J540" s="12"/>
      <c r="K540" s="12"/>
      <c r="L540" s="12"/>
      <c r="M540" s="12"/>
      <c r="N540" s="12"/>
    </row>
    <row r="541" ht="13.5" customHeight="1">
      <c r="A541" s="17"/>
      <c r="B541" s="12"/>
      <c r="C541" s="17"/>
      <c r="D541" s="17"/>
      <c r="E541" s="12"/>
      <c r="F541" s="12"/>
      <c r="G541" s="17"/>
      <c r="H541" s="17"/>
      <c r="I541" s="12"/>
      <c r="J541" s="12"/>
      <c r="K541" s="12"/>
      <c r="L541" s="12"/>
      <c r="M541" s="12"/>
      <c r="N541" s="12"/>
    </row>
    <row r="542" ht="13.5" customHeight="1">
      <c r="A542" s="17"/>
      <c r="B542" s="12"/>
      <c r="C542" s="17"/>
      <c r="D542" s="17"/>
      <c r="E542" s="12"/>
      <c r="F542" s="12"/>
      <c r="G542" s="17"/>
      <c r="H542" s="17"/>
      <c r="I542" s="12"/>
      <c r="J542" s="12"/>
      <c r="K542" s="12"/>
      <c r="L542" s="12"/>
      <c r="M542" s="12"/>
      <c r="N542" s="12"/>
    </row>
    <row r="543" ht="13.5" customHeight="1">
      <c r="A543" s="17"/>
      <c r="B543" s="12"/>
      <c r="C543" s="17"/>
      <c r="D543" s="17"/>
      <c r="E543" s="12"/>
      <c r="F543" s="12"/>
      <c r="G543" s="17"/>
      <c r="H543" s="17"/>
      <c r="I543" s="12"/>
      <c r="J543" s="12"/>
      <c r="K543" s="12"/>
      <c r="L543" s="12"/>
      <c r="M543" s="12"/>
      <c r="N543" s="12"/>
    </row>
    <row r="544" ht="13.5" customHeight="1">
      <c r="A544" s="17"/>
      <c r="B544" s="12"/>
      <c r="C544" s="17"/>
      <c r="D544" s="17"/>
      <c r="E544" s="12"/>
      <c r="F544" s="12"/>
      <c r="G544" s="17"/>
      <c r="H544" s="17"/>
      <c r="I544" s="12"/>
      <c r="J544" s="12"/>
      <c r="K544" s="12"/>
      <c r="L544" s="12"/>
      <c r="M544" s="12"/>
      <c r="N544" s="12"/>
    </row>
    <row r="545" ht="13.5" customHeight="1">
      <c r="A545" s="17"/>
      <c r="B545" s="12"/>
      <c r="C545" s="17"/>
      <c r="D545" s="17"/>
      <c r="E545" s="12"/>
      <c r="F545" s="12"/>
      <c r="G545" s="17"/>
      <c r="H545" s="17"/>
      <c r="I545" s="12"/>
      <c r="J545" s="12"/>
      <c r="K545" s="12"/>
      <c r="L545" s="12"/>
      <c r="M545" s="12"/>
      <c r="N545" s="12"/>
    </row>
    <row r="546" ht="13.5" customHeight="1">
      <c r="A546" s="17"/>
      <c r="B546" s="12"/>
      <c r="C546" s="17"/>
      <c r="D546" s="17"/>
      <c r="E546" s="12"/>
      <c r="F546" s="12"/>
      <c r="G546" s="17"/>
      <c r="H546" s="17"/>
      <c r="I546" s="12"/>
      <c r="J546" s="12"/>
      <c r="K546" s="12"/>
      <c r="L546" s="12"/>
      <c r="M546" s="12"/>
      <c r="N546" s="12"/>
    </row>
    <row r="547" ht="13.5" customHeight="1">
      <c r="A547" s="17"/>
      <c r="B547" s="12"/>
      <c r="C547" s="17"/>
      <c r="D547" s="17"/>
      <c r="E547" s="12"/>
      <c r="F547" s="12"/>
      <c r="G547" s="17"/>
      <c r="H547" s="17"/>
      <c r="I547" s="12"/>
      <c r="J547" s="12"/>
      <c r="K547" s="12"/>
      <c r="L547" s="12"/>
      <c r="M547" s="12"/>
      <c r="N547" s="12"/>
    </row>
    <row r="548" ht="13.5" customHeight="1">
      <c r="A548" s="17"/>
      <c r="B548" s="12"/>
      <c r="C548" s="17"/>
      <c r="D548" s="17"/>
      <c r="E548" s="12"/>
      <c r="F548" s="12"/>
      <c r="G548" s="17"/>
      <c r="H548" s="17"/>
      <c r="I548" s="12"/>
      <c r="J548" s="12"/>
      <c r="K548" s="12"/>
      <c r="L548" s="12"/>
      <c r="M548" s="12"/>
      <c r="N548" s="12"/>
    </row>
    <row r="549" ht="13.5" customHeight="1">
      <c r="A549" s="17"/>
      <c r="B549" s="12"/>
      <c r="C549" s="17"/>
      <c r="D549" s="17"/>
      <c r="E549" s="12"/>
      <c r="F549" s="12"/>
      <c r="G549" s="17"/>
      <c r="H549" s="17"/>
      <c r="I549" s="12"/>
      <c r="J549" s="12"/>
      <c r="K549" s="12"/>
      <c r="L549" s="12"/>
      <c r="M549" s="12"/>
      <c r="N549" s="12"/>
    </row>
    <row r="550" ht="13.5" customHeight="1">
      <c r="A550" s="17"/>
      <c r="B550" s="12"/>
      <c r="C550" s="17"/>
      <c r="D550" s="17"/>
      <c r="E550" s="12"/>
      <c r="F550" s="12"/>
      <c r="G550" s="17"/>
      <c r="H550" s="17"/>
      <c r="I550" s="12"/>
      <c r="J550" s="12"/>
      <c r="K550" s="12"/>
      <c r="L550" s="12"/>
      <c r="M550" s="12"/>
      <c r="N550" s="12"/>
    </row>
    <row r="551" ht="13.5" customHeight="1">
      <c r="A551" s="17"/>
      <c r="B551" s="12"/>
      <c r="C551" s="17"/>
      <c r="D551" s="17"/>
      <c r="E551" s="12"/>
      <c r="F551" s="12"/>
      <c r="G551" s="17"/>
      <c r="H551" s="17"/>
      <c r="I551" s="12"/>
      <c r="J551" s="12"/>
      <c r="K551" s="12"/>
      <c r="L551" s="12"/>
      <c r="M551" s="12"/>
      <c r="N551" s="12"/>
    </row>
    <row r="552" ht="13.5" customHeight="1">
      <c r="A552" s="17"/>
      <c r="B552" s="12"/>
      <c r="C552" s="17"/>
      <c r="D552" s="17"/>
      <c r="E552" s="12"/>
      <c r="F552" s="12"/>
      <c r="G552" s="17"/>
      <c r="H552" s="17"/>
      <c r="I552" s="12"/>
      <c r="J552" s="12"/>
      <c r="K552" s="12"/>
      <c r="L552" s="12"/>
      <c r="M552" s="12"/>
      <c r="N552" s="12"/>
    </row>
    <row r="553" ht="13.5" customHeight="1">
      <c r="A553" s="17"/>
      <c r="B553" s="12"/>
      <c r="C553" s="17"/>
      <c r="D553" s="17"/>
      <c r="E553" s="12"/>
      <c r="F553" s="12"/>
      <c r="G553" s="17"/>
      <c r="H553" s="17"/>
      <c r="I553" s="12"/>
      <c r="J553" s="12"/>
      <c r="K553" s="12"/>
      <c r="L553" s="12"/>
      <c r="M553" s="12"/>
      <c r="N553" s="12"/>
    </row>
    <row r="554" ht="13.5" customHeight="1">
      <c r="A554" s="17"/>
      <c r="B554" s="12"/>
      <c r="C554" s="17"/>
      <c r="D554" s="17"/>
      <c r="E554" s="12"/>
      <c r="F554" s="12"/>
      <c r="G554" s="17"/>
      <c r="H554" s="17"/>
      <c r="I554" s="12"/>
      <c r="J554" s="12"/>
      <c r="K554" s="12"/>
      <c r="L554" s="12"/>
      <c r="M554" s="12"/>
      <c r="N554" s="12"/>
    </row>
    <row r="555" ht="13.5" customHeight="1">
      <c r="A555" s="17"/>
      <c r="B555" s="12"/>
      <c r="C555" s="17"/>
      <c r="D555" s="17"/>
      <c r="E555" s="12"/>
      <c r="F555" s="12"/>
      <c r="G555" s="17"/>
      <c r="H555" s="17"/>
      <c r="I555" s="12"/>
      <c r="J555" s="12"/>
      <c r="K555" s="12"/>
      <c r="L555" s="12"/>
      <c r="M555" s="12"/>
      <c r="N555" s="12"/>
    </row>
    <row r="556" ht="13.5" customHeight="1">
      <c r="A556" s="17"/>
      <c r="B556" s="12"/>
      <c r="C556" s="17"/>
      <c r="D556" s="17"/>
      <c r="E556" s="12"/>
      <c r="F556" s="12"/>
      <c r="G556" s="17"/>
      <c r="H556" s="17"/>
      <c r="I556" s="12"/>
      <c r="J556" s="12"/>
      <c r="K556" s="12"/>
      <c r="L556" s="12"/>
      <c r="M556" s="12"/>
      <c r="N556" s="12"/>
    </row>
    <row r="557" ht="13.5" customHeight="1">
      <c r="A557" s="17"/>
      <c r="B557" s="12"/>
      <c r="C557" s="17"/>
      <c r="D557" s="17"/>
      <c r="E557" s="12"/>
      <c r="F557" s="12"/>
      <c r="G557" s="17"/>
      <c r="H557" s="17"/>
      <c r="I557" s="12"/>
      <c r="J557" s="12"/>
      <c r="K557" s="12"/>
      <c r="L557" s="12"/>
      <c r="M557" s="12"/>
      <c r="N557" s="12"/>
    </row>
    <row r="558" ht="13.5" customHeight="1">
      <c r="A558" s="17"/>
      <c r="B558" s="12"/>
      <c r="C558" s="17"/>
      <c r="D558" s="17"/>
      <c r="E558" s="12"/>
      <c r="F558" s="12"/>
      <c r="G558" s="17"/>
      <c r="H558" s="17"/>
      <c r="I558" s="12"/>
      <c r="J558" s="12"/>
      <c r="K558" s="12"/>
      <c r="L558" s="12"/>
      <c r="M558" s="12"/>
      <c r="N558" s="12"/>
    </row>
    <row r="559" ht="13.5" customHeight="1">
      <c r="A559" s="17"/>
      <c r="B559" s="12"/>
      <c r="C559" s="17"/>
      <c r="D559" s="17"/>
      <c r="E559" s="12"/>
      <c r="F559" s="12"/>
      <c r="G559" s="17"/>
      <c r="H559" s="17"/>
      <c r="I559" s="12"/>
      <c r="J559" s="12"/>
      <c r="K559" s="12"/>
      <c r="L559" s="12"/>
      <c r="M559" s="12"/>
      <c r="N559" s="12"/>
    </row>
    <row r="560" ht="13.5" customHeight="1">
      <c r="A560" s="17"/>
      <c r="B560" s="12"/>
      <c r="C560" s="17"/>
      <c r="D560" s="17"/>
      <c r="E560" s="12"/>
      <c r="F560" s="12"/>
      <c r="G560" s="17"/>
      <c r="H560" s="17"/>
      <c r="I560" s="12"/>
      <c r="J560" s="12"/>
      <c r="K560" s="12"/>
      <c r="L560" s="12"/>
      <c r="M560" s="12"/>
      <c r="N560" s="12"/>
    </row>
    <row r="561" ht="13.5" customHeight="1">
      <c r="A561" s="17"/>
      <c r="B561" s="12"/>
      <c r="C561" s="17"/>
      <c r="D561" s="17"/>
      <c r="E561" s="12"/>
      <c r="F561" s="12"/>
      <c r="G561" s="17"/>
      <c r="H561" s="17"/>
      <c r="I561" s="12"/>
      <c r="J561" s="12"/>
      <c r="K561" s="12"/>
      <c r="L561" s="12"/>
      <c r="M561" s="12"/>
      <c r="N561" s="12"/>
    </row>
    <row r="562" ht="13.5" customHeight="1">
      <c r="A562" s="17"/>
      <c r="B562" s="12"/>
      <c r="C562" s="17"/>
      <c r="D562" s="17"/>
      <c r="E562" s="12"/>
      <c r="F562" s="12"/>
      <c r="G562" s="17"/>
      <c r="H562" s="17"/>
      <c r="I562" s="12"/>
      <c r="J562" s="12"/>
      <c r="K562" s="12"/>
      <c r="L562" s="12"/>
      <c r="M562" s="12"/>
      <c r="N562" s="12"/>
    </row>
    <row r="563" ht="13.5" customHeight="1">
      <c r="A563" s="17"/>
      <c r="B563" s="12"/>
      <c r="C563" s="17"/>
      <c r="D563" s="17"/>
      <c r="E563" s="12"/>
      <c r="F563" s="12"/>
      <c r="G563" s="17"/>
      <c r="H563" s="17"/>
      <c r="I563" s="12"/>
      <c r="J563" s="12"/>
      <c r="K563" s="12"/>
      <c r="L563" s="12"/>
      <c r="M563" s="12"/>
      <c r="N563" s="12"/>
    </row>
    <row r="564" ht="13.5" customHeight="1">
      <c r="A564" s="17"/>
      <c r="B564" s="12"/>
      <c r="C564" s="17"/>
      <c r="D564" s="17"/>
      <c r="E564" s="12"/>
      <c r="F564" s="12"/>
      <c r="G564" s="17"/>
      <c r="H564" s="17"/>
      <c r="I564" s="12"/>
      <c r="J564" s="12"/>
      <c r="K564" s="12"/>
      <c r="L564" s="12"/>
      <c r="M564" s="12"/>
      <c r="N564" s="12"/>
    </row>
    <row r="565" ht="13.5" customHeight="1">
      <c r="A565" s="17"/>
      <c r="B565" s="12"/>
      <c r="C565" s="17"/>
      <c r="D565" s="17"/>
      <c r="E565" s="12"/>
      <c r="F565" s="12"/>
      <c r="G565" s="17"/>
      <c r="H565" s="17"/>
      <c r="I565" s="12"/>
      <c r="J565" s="12"/>
      <c r="K565" s="12"/>
      <c r="L565" s="12"/>
      <c r="M565" s="12"/>
      <c r="N565" s="12"/>
    </row>
    <row r="566" ht="13.5" customHeight="1">
      <c r="A566" s="17"/>
      <c r="B566" s="12"/>
      <c r="C566" s="17"/>
      <c r="D566" s="17"/>
      <c r="E566" s="12"/>
      <c r="F566" s="12"/>
      <c r="G566" s="17"/>
      <c r="H566" s="17"/>
      <c r="I566" s="12"/>
      <c r="J566" s="12"/>
      <c r="K566" s="12"/>
      <c r="L566" s="12"/>
      <c r="M566" s="12"/>
      <c r="N566" s="12"/>
    </row>
    <row r="567" ht="13.5" customHeight="1">
      <c r="A567" s="17"/>
      <c r="B567" s="12"/>
      <c r="C567" s="17"/>
      <c r="D567" s="17"/>
      <c r="E567" s="12"/>
      <c r="F567" s="12"/>
      <c r="G567" s="17"/>
      <c r="H567" s="17"/>
      <c r="I567" s="12"/>
      <c r="J567" s="12"/>
      <c r="K567" s="12"/>
      <c r="L567" s="12"/>
      <c r="M567" s="12"/>
      <c r="N567" s="12"/>
    </row>
    <row r="568" ht="13.5" customHeight="1">
      <c r="A568" s="17"/>
      <c r="B568" s="12"/>
      <c r="C568" s="17"/>
      <c r="D568" s="17"/>
      <c r="E568" s="12"/>
      <c r="F568" s="12"/>
      <c r="G568" s="17"/>
      <c r="H568" s="17"/>
      <c r="I568" s="12"/>
      <c r="J568" s="12"/>
      <c r="K568" s="12"/>
      <c r="L568" s="12"/>
      <c r="M568" s="12"/>
      <c r="N568" s="12"/>
    </row>
    <row r="569" ht="13.5" customHeight="1">
      <c r="A569" s="17"/>
      <c r="B569" s="12"/>
      <c r="C569" s="17"/>
      <c r="D569" s="17"/>
      <c r="E569" s="12"/>
      <c r="F569" s="12"/>
      <c r="G569" s="17"/>
      <c r="H569" s="17"/>
      <c r="I569" s="12"/>
      <c r="J569" s="12"/>
      <c r="K569" s="12"/>
      <c r="L569" s="12"/>
      <c r="M569" s="12"/>
      <c r="N569" s="12"/>
    </row>
    <row r="570" ht="13.5" customHeight="1">
      <c r="A570" s="17"/>
      <c r="B570" s="12"/>
      <c r="C570" s="17"/>
      <c r="D570" s="17"/>
      <c r="E570" s="12"/>
      <c r="F570" s="12"/>
      <c r="G570" s="17"/>
      <c r="H570" s="17"/>
      <c r="I570" s="12"/>
      <c r="J570" s="12"/>
      <c r="K570" s="12"/>
      <c r="L570" s="12"/>
      <c r="M570" s="12"/>
      <c r="N570" s="12"/>
    </row>
    <row r="571" ht="13.5" customHeight="1">
      <c r="A571" s="17"/>
      <c r="B571" s="12"/>
      <c r="C571" s="17"/>
      <c r="D571" s="17"/>
      <c r="E571" s="12"/>
      <c r="F571" s="12"/>
      <c r="G571" s="17"/>
      <c r="H571" s="17"/>
      <c r="I571" s="12"/>
      <c r="J571" s="12"/>
      <c r="K571" s="12"/>
      <c r="L571" s="12"/>
      <c r="M571" s="12"/>
      <c r="N571" s="12"/>
    </row>
    <row r="572" ht="13.5" customHeight="1">
      <c r="A572" s="17"/>
      <c r="B572" s="12"/>
      <c r="C572" s="17"/>
      <c r="D572" s="17"/>
      <c r="E572" s="12"/>
      <c r="F572" s="12"/>
      <c r="G572" s="17"/>
      <c r="H572" s="17"/>
      <c r="I572" s="12"/>
      <c r="J572" s="12"/>
      <c r="K572" s="12"/>
      <c r="L572" s="12"/>
      <c r="M572" s="12"/>
      <c r="N572" s="12"/>
    </row>
    <row r="573" ht="13.5" customHeight="1">
      <c r="A573" s="17"/>
      <c r="B573" s="12"/>
      <c r="C573" s="17"/>
      <c r="D573" s="17"/>
      <c r="E573" s="12"/>
      <c r="F573" s="12"/>
      <c r="G573" s="17"/>
      <c r="H573" s="17"/>
      <c r="I573" s="12"/>
      <c r="J573" s="12"/>
      <c r="K573" s="12"/>
      <c r="L573" s="12"/>
      <c r="M573" s="12"/>
      <c r="N573" s="12"/>
    </row>
    <row r="574" ht="13.5" customHeight="1">
      <c r="A574" s="17"/>
      <c r="B574" s="12"/>
      <c r="C574" s="17"/>
      <c r="D574" s="17"/>
      <c r="E574" s="12"/>
      <c r="F574" s="12"/>
      <c r="G574" s="17"/>
      <c r="H574" s="17"/>
      <c r="I574" s="12"/>
      <c r="J574" s="12"/>
      <c r="K574" s="12"/>
      <c r="L574" s="12"/>
      <c r="M574" s="12"/>
      <c r="N574" s="12"/>
    </row>
    <row r="575" ht="13.5" customHeight="1">
      <c r="A575" s="17"/>
      <c r="B575" s="12"/>
      <c r="C575" s="17"/>
      <c r="D575" s="17"/>
      <c r="E575" s="12"/>
      <c r="F575" s="12"/>
      <c r="G575" s="17"/>
      <c r="H575" s="17"/>
      <c r="I575" s="12"/>
      <c r="J575" s="12"/>
      <c r="K575" s="12"/>
      <c r="L575" s="12"/>
      <c r="M575" s="12"/>
      <c r="N575" s="12"/>
    </row>
    <row r="576" ht="13.5" customHeight="1">
      <c r="A576" s="17"/>
      <c r="B576" s="12"/>
      <c r="C576" s="17"/>
      <c r="D576" s="17"/>
      <c r="E576" s="12"/>
      <c r="F576" s="12"/>
      <c r="G576" s="17"/>
      <c r="H576" s="17"/>
      <c r="I576" s="12"/>
      <c r="J576" s="12"/>
      <c r="K576" s="12"/>
      <c r="L576" s="12"/>
      <c r="M576" s="12"/>
      <c r="N576" s="12"/>
    </row>
    <row r="577" ht="13.5" customHeight="1">
      <c r="A577" s="17"/>
      <c r="B577" s="12"/>
      <c r="C577" s="17"/>
      <c r="D577" s="17"/>
      <c r="E577" s="12"/>
      <c r="F577" s="12"/>
      <c r="G577" s="17"/>
      <c r="H577" s="17"/>
      <c r="I577" s="12"/>
      <c r="J577" s="12"/>
      <c r="K577" s="12"/>
      <c r="L577" s="12"/>
      <c r="M577" s="12"/>
      <c r="N577" s="12"/>
    </row>
    <row r="578" ht="13.5" customHeight="1">
      <c r="A578" s="17"/>
      <c r="B578" s="12"/>
      <c r="C578" s="17"/>
      <c r="D578" s="17"/>
      <c r="E578" s="12"/>
      <c r="F578" s="12"/>
      <c r="G578" s="17"/>
      <c r="H578" s="17"/>
      <c r="I578" s="12"/>
      <c r="J578" s="12"/>
      <c r="K578" s="12"/>
      <c r="L578" s="12"/>
      <c r="M578" s="12"/>
      <c r="N578" s="12"/>
    </row>
    <row r="579" ht="13.5" customHeight="1">
      <c r="A579" s="17"/>
      <c r="B579" s="12"/>
      <c r="C579" s="17"/>
      <c r="D579" s="17"/>
      <c r="E579" s="12"/>
      <c r="F579" s="12"/>
      <c r="G579" s="17"/>
      <c r="H579" s="17"/>
      <c r="I579" s="12"/>
      <c r="J579" s="12"/>
      <c r="K579" s="12"/>
      <c r="L579" s="12"/>
      <c r="M579" s="12"/>
      <c r="N579" s="12"/>
    </row>
    <row r="580" ht="13.5" customHeight="1">
      <c r="A580" s="17"/>
      <c r="B580" s="12"/>
      <c r="C580" s="17"/>
      <c r="D580" s="17"/>
      <c r="E580" s="12"/>
      <c r="F580" s="12"/>
      <c r="G580" s="17"/>
      <c r="H580" s="17"/>
      <c r="I580" s="12"/>
      <c r="J580" s="12"/>
      <c r="K580" s="12"/>
      <c r="L580" s="12"/>
      <c r="M580" s="12"/>
      <c r="N580" s="12"/>
    </row>
    <row r="581" ht="13.5" customHeight="1">
      <c r="A581" s="17"/>
      <c r="B581" s="12"/>
      <c r="C581" s="17"/>
      <c r="D581" s="17"/>
      <c r="E581" s="12"/>
      <c r="F581" s="12"/>
      <c r="G581" s="17"/>
      <c r="H581" s="17"/>
      <c r="I581" s="12"/>
      <c r="J581" s="12"/>
      <c r="K581" s="12"/>
      <c r="L581" s="12"/>
      <c r="M581" s="12"/>
      <c r="N581" s="12"/>
    </row>
    <row r="582" ht="13.5" customHeight="1">
      <c r="A582" s="17"/>
      <c r="B582" s="12"/>
      <c r="C582" s="17"/>
      <c r="D582" s="17"/>
      <c r="E582" s="12"/>
      <c r="F582" s="12"/>
      <c r="G582" s="17"/>
      <c r="H582" s="17"/>
      <c r="I582" s="12"/>
      <c r="J582" s="12"/>
      <c r="K582" s="12"/>
      <c r="L582" s="12"/>
      <c r="M582" s="12"/>
      <c r="N582" s="12"/>
    </row>
    <row r="583" ht="13.5" customHeight="1">
      <c r="A583" s="17"/>
      <c r="B583" s="12"/>
      <c r="C583" s="17"/>
      <c r="D583" s="17"/>
      <c r="E583" s="12"/>
      <c r="F583" s="12"/>
      <c r="G583" s="17"/>
      <c r="H583" s="17"/>
      <c r="I583" s="12"/>
      <c r="J583" s="12"/>
      <c r="K583" s="12"/>
      <c r="L583" s="12"/>
      <c r="M583" s="12"/>
      <c r="N583" s="12"/>
    </row>
    <row r="584" ht="13.5" customHeight="1">
      <c r="A584" s="17"/>
      <c r="B584" s="12"/>
      <c r="C584" s="17"/>
      <c r="D584" s="17"/>
      <c r="E584" s="12"/>
      <c r="F584" s="12"/>
      <c r="G584" s="17"/>
      <c r="H584" s="17"/>
      <c r="I584" s="12"/>
      <c r="J584" s="12"/>
      <c r="K584" s="12"/>
      <c r="L584" s="12"/>
      <c r="M584" s="12"/>
      <c r="N584" s="12"/>
    </row>
    <row r="585" ht="13.5" customHeight="1">
      <c r="A585" s="17"/>
      <c r="B585" s="12"/>
      <c r="C585" s="17"/>
      <c r="D585" s="17"/>
      <c r="E585" s="12"/>
      <c r="F585" s="12"/>
      <c r="G585" s="17"/>
      <c r="H585" s="17"/>
      <c r="I585" s="12"/>
      <c r="J585" s="12"/>
      <c r="K585" s="12"/>
      <c r="L585" s="12"/>
      <c r="M585" s="12"/>
      <c r="N585" s="12"/>
    </row>
    <row r="586" ht="13.5" customHeight="1">
      <c r="A586" s="17"/>
      <c r="B586" s="12"/>
      <c r="C586" s="17"/>
      <c r="D586" s="17"/>
      <c r="E586" s="12"/>
      <c r="F586" s="12"/>
      <c r="G586" s="17"/>
      <c r="H586" s="17"/>
      <c r="I586" s="12"/>
      <c r="J586" s="12"/>
      <c r="K586" s="12"/>
      <c r="L586" s="12"/>
      <c r="M586" s="12"/>
      <c r="N586" s="12"/>
    </row>
    <row r="587" ht="13.5" customHeight="1">
      <c r="A587" s="17"/>
      <c r="B587" s="12"/>
      <c r="C587" s="17"/>
      <c r="D587" s="17"/>
      <c r="E587" s="12"/>
      <c r="F587" s="12"/>
      <c r="G587" s="17"/>
      <c r="H587" s="17"/>
      <c r="I587" s="12"/>
      <c r="J587" s="12"/>
      <c r="K587" s="12"/>
      <c r="L587" s="12"/>
      <c r="M587" s="12"/>
      <c r="N587" s="12"/>
    </row>
    <row r="588" ht="13.5" customHeight="1">
      <c r="A588" s="17"/>
      <c r="B588" s="12"/>
      <c r="C588" s="17"/>
      <c r="D588" s="17"/>
      <c r="E588" s="12"/>
      <c r="F588" s="12"/>
      <c r="G588" s="17"/>
      <c r="H588" s="17"/>
      <c r="I588" s="12"/>
      <c r="J588" s="12"/>
      <c r="K588" s="12"/>
      <c r="L588" s="12"/>
      <c r="M588" s="12"/>
      <c r="N588" s="12"/>
    </row>
    <row r="589" ht="13.5" customHeight="1">
      <c r="A589" s="17"/>
      <c r="B589" s="12"/>
      <c r="C589" s="17"/>
      <c r="D589" s="17"/>
      <c r="E589" s="12"/>
      <c r="F589" s="12"/>
      <c r="G589" s="17"/>
      <c r="H589" s="17"/>
      <c r="I589" s="12"/>
      <c r="J589" s="12"/>
      <c r="K589" s="12"/>
      <c r="L589" s="12"/>
      <c r="M589" s="12"/>
      <c r="N589" s="12"/>
    </row>
    <row r="590" ht="13.5" customHeight="1">
      <c r="A590" s="17"/>
      <c r="B590" s="12"/>
      <c r="C590" s="17"/>
      <c r="D590" s="17"/>
      <c r="E590" s="12"/>
      <c r="F590" s="12"/>
      <c r="G590" s="17"/>
      <c r="H590" s="17"/>
      <c r="I590" s="12"/>
      <c r="J590" s="12"/>
      <c r="K590" s="12"/>
      <c r="L590" s="12"/>
      <c r="M590" s="12"/>
      <c r="N590" s="12"/>
    </row>
    <row r="591" ht="13.5" customHeight="1">
      <c r="A591" s="17"/>
      <c r="B591" s="12"/>
      <c r="C591" s="17"/>
      <c r="D591" s="17"/>
      <c r="E591" s="12"/>
      <c r="F591" s="12"/>
      <c r="G591" s="17"/>
      <c r="H591" s="17"/>
      <c r="I591" s="12"/>
      <c r="J591" s="12"/>
      <c r="K591" s="12"/>
      <c r="L591" s="12"/>
      <c r="M591" s="12"/>
      <c r="N591" s="12"/>
    </row>
    <row r="592" ht="13.5" customHeight="1">
      <c r="A592" s="17"/>
      <c r="B592" s="12"/>
      <c r="C592" s="17"/>
      <c r="D592" s="17"/>
      <c r="E592" s="12"/>
      <c r="F592" s="12"/>
      <c r="G592" s="17"/>
      <c r="H592" s="17"/>
      <c r="I592" s="12"/>
      <c r="J592" s="12"/>
      <c r="K592" s="12"/>
      <c r="L592" s="12"/>
      <c r="M592" s="12"/>
      <c r="N592" s="12"/>
    </row>
    <row r="593" ht="13.5" customHeight="1">
      <c r="A593" s="17"/>
      <c r="B593" s="12"/>
      <c r="C593" s="17"/>
      <c r="D593" s="17"/>
      <c r="E593" s="12"/>
      <c r="F593" s="12"/>
      <c r="G593" s="17"/>
      <c r="H593" s="17"/>
      <c r="I593" s="12"/>
      <c r="J593" s="12"/>
      <c r="K593" s="12"/>
      <c r="L593" s="12"/>
      <c r="M593" s="12"/>
      <c r="N593" s="12"/>
    </row>
    <row r="594" ht="13.5" customHeight="1">
      <c r="A594" s="17"/>
      <c r="B594" s="12"/>
      <c r="C594" s="17"/>
      <c r="D594" s="17"/>
      <c r="E594" s="12"/>
      <c r="F594" s="12"/>
      <c r="G594" s="17"/>
      <c r="H594" s="17"/>
      <c r="I594" s="12"/>
      <c r="J594" s="12"/>
      <c r="K594" s="12"/>
      <c r="L594" s="12"/>
      <c r="M594" s="12"/>
      <c r="N594" s="12"/>
    </row>
    <row r="595" ht="13.5" customHeight="1">
      <c r="A595" s="17"/>
      <c r="B595" s="12"/>
      <c r="C595" s="17"/>
      <c r="D595" s="17"/>
      <c r="E595" s="12"/>
      <c r="F595" s="12"/>
      <c r="G595" s="17"/>
      <c r="H595" s="17"/>
      <c r="I595" s="12"/>
      <c r="J595" s="12"/>
      <c r="K595" s="12"/>
      <c r="L595" s="12"/>
      <c r="M595" s="12"/>
      <c r="N595" s="12"/>
    </row>
    <row r="596" ht="13.5" customHeight="1">
      <c r="A596" s="17"/>
      <c r="B596" s="12"/>
      <c r="C596" s="17"/>
      <c r="D596" s="17"/>
      <c r="E596" s="12"/>
      <c r="F596" s="12"/>
      <c r="G596" s="17"/>
      <c r="H596" s="17"/>
      <c r="I596" s="12"/>
      <c r="J596" s="12"/>
      <c r="K596" s="12"/>
      <c r="L596" s="12"/>
      <c r="M596" s="12"/>
      <c r="N596" s="12"/>
    </row>
    <row r="597" ht="13.5" customHeight="1">
      <c r="A597" s="17"/>
      <c r="B597" s="12"/>
      <c r="C597" s="17"/>
      <c r="D597" s="17"/>
      <c r="E597" s="12"/>
      <c r="F597" s="12"/>
      <c r="G597" s="17"/>
      <c r="H597" s="17"/>
      <c r="I597" s="12"/>
      <c r="J597" s="12"/>
      <c r="K597" s="12"/>
      <c r="L597" s="12"/>
      <c r="M597" s="12"/>
      <c r="N597" s="12"/>
    </row>
    <row r="598" ht="13.5" customHeight="1">
      <c r="A598" s="17"/>
      <c r="B598" s="12"/>
      <c r="C598" s="17"/>
      <c r="D598" s="17"/>
      <c r="E598" s="12"/>
      <c r="F598" s="12"/>
      <c r="G598" s="17"/>
      <c r="H598" s="17"/>
      <c r="I598" s="12"/>
      <c r="J598" s="12"/>
      <c r="K598" s="12"/>
      <c r="L598" s="12"/>
      <c r="M598" s="12"/>
      <c r="N598" s="12"/>
    </row>
    <row r="599" ht="13.5" customHeight="1">
      <c r="A599" s="17"/>
      <c r="B599" s="12"/>
      <c r="C599" s="17"/>
      <c r="D599" s="17"/>
      <c r="E599" s="12"/>
      <c r="F599" s="12"/>
      <c r="G599" s="17"/>
      <c r="H599" s="17"/>
      <c r="I599" s="12"/>
      <c r="J599" s="12"/>
      <c r="K599" s="12"/>
      <c r="L599" s="12"/>
      <c r="M599" s="12"/>
      <c r="N599" s="12"/>
    </row>
    <row r="600" ht="13.5" customHeight="1">
      <c r="A600" s="17"/>
      <c r="B600" s="12"/>
      <c r="C600" s="17"/>
      <c r="D600" s="17"/>
      <c r="E600" s="12"/>
      <c r="F600" s="12"/>
      <c r="G600" s="17"/>
      <c r="H600" s="17"/>
      <c r="I600" s="12"/>
      <c r="J600" s="12"/>
      <c r="K600" s="12"/>
      <c r="L600" s="12"/>
      <c r="M600" s="12"/>
      <c r="N600" s="12"/>
    </row>
    <row r="601" ht="13.5" customHeight="1">
      <c r="A601" s="17"/>
      <c r="B601" s="12"/>
      <c r="C601" s="17"/>
      <c r="D601" s="17"/>
      <c r="E601" s="12"/>
      <c r="F601" s="12"/>
      <c r="G601" s="17"/>
      <c r="H601" s="17"/>
      <c r="I601" s="12"/>
      <c r="J601" s="12"/>
      <c r="K601" s="12"/>
      <c r="L601" s="12"/>
      <c r="M601" s="12"/>
      <c r="N601" s="12"/>
    </row>
    <row r="602" ht="13.5" customHeight="1">
      <c r="A602" s="17"/>
      <c r="B602" s="12"/>
      <c r="C602" s="17"/>
      <c r="D602" s="17"/>
      <c r="E602" s="12"/>
      <c r="F602" s="12"/>
      <c r="G602" s="17"/>
      <c r="H602" s="17"/>
      <c r="I602" s="12"/>
      <c r="J602" s="12"/>
      <c r="K602" s="12"/>
      <c r="L602" s="12"/>
      <c r="M602" s="12"/>
      <c r="N602" s="12"/>
    </row>
    <row r="603" ht="13.5" customHeight="1">
      <c r="A603" s="17"/>
      <c r="B603" s="12"/>
      <c r="C603" s="17"/>
      <c r="D603" s="17"/>
      <c r="E603" s="12"/>
      <c r="F603" s="12"/>
      <c r="G603" s="17"/>
      <c r="H603" s="17"/>
      <c r="I603" s="12"/>
      <c r="J603" s="12"/>
      <c r="K603" s="12"/>
      <c r="L603" s="12"/>
      <c r="M603" s="12"/>
      <c r="N603" s="12"/>
    </row>
    <row r="604" ht="13.5" customHeight="1">
      <c r="A604" s="17"/>
      <c r="B604" s="12"/>
      <c r="C604" s="17"/>
      <c r="D604" s="17"/>
      <c r="E604" s="12"/>
      <c r="F604" s="12"/>
      <c r="G604" s="17"/>
      <c r="H604" s="17"/>
      <c r="I604" s="12"/>
      <c r="J604" s="12"/>
      <c r="K604" s="12"/>
      <c r="L604" s="12"/>
      <c r="M604" s="12"/>
      <c r="N604" s="12"/>
    </row>
    <row r="605" ht="13.5" customHeight="1">
      <c r="A605" s="17"/>
      <c r="B605" s="12"/>
      <c r="C605" s="17"/>
      <c r="D605" s="17"/>
      <c r="E605" s="12"/>
      <c r="F605" s="12"/>
      <c r="G605" s="17"/>
      <c r="H605" s="17"/>
      <c r="I605" s="12"/>
      <c r="J605" s="12"/>
      <c r="K605" s="12"/>
      <c r="L605" s="12"/>
      <c r="M605" s="12"/>
      <c r="N605" s="12"/>
    </row>
    <row r="606" ht="13.5" customHeight="1">
      <c r="A606" s="17"/>
      <c r="B606" s="12"/>
      <c r="C606" s="17"/>
      <c r="D606" s="17"/>
      <c r="E606" s="12"/>
      <c r="F606" s="12"/>
      <c r="G606" s="17"/>
      <c r="H606" s="17"/>
      <c r="I606" s="12"/>
      <c r="J606" s="12"/>
      <c r="K606" s="12"/>
      <c r="L606" s="12"/>
      <c r="M606" s="12"/>
      <c r="N606" s="12"/>
    </row>
    <row r="607" ht="13.5" customHeight="1">
      <c r="A607" s="17"/>
      <c r="B607" s="12"/>
      <c r="C607" s="17"/>
      <c r="D607" s="17"/>
      <c r="E607" s="12"/>
      <c r="F607" s="12"/>
      <c r="G607" s="17"/>
      <c r="H607" s="17"/>
      <c r="I607" s="12"/>
      <c r="J607" s="12"/>
      <c r="K607" s="12"/>
      <c r="L607" s="12"/>
      <c r="M607" s="12"/>
      <c r="N607" s="12"/>
    </row>
    <row r="608" ht="13.5" customHeight="1">
      <c r="A608" s="17"/>
      <c r="B608" s="12"/>
      <c r="C608" s="17"/>
      <c r="D608" s="17"/>
      <c r="E608" s="12"/>
      <c r="F608" s="12"/>
      <c r="G608" s="17"/>
      <c r="H608" s="17"/>
      <c r="I608" s="12"/>
      <c r="J608" s="12"/>
      <c r="K608" s="12"/>
      <c r="L608" s="12"/>
      <c r="M608" s="12"/>
      <c r="N608" s="12"/>
    </row>
    <row r="609" ht="13.5" customHeight="1">
      <c r="A609" s="17"/>
      <c r="B609" s="12"/>
      <c r="C609" s="17"/>
      <c r="D609" s="17"/>
      <c r="E609" s="12"/>
      <c r="F609" s="12"/>
      <c r="G609" s="17"/>
      <c r="H609" s="17"/>
      <c r="I609" s="12"/>
      <c r="J609" s="12"/>
      <c r="K609" s="12"/>
      <c r="L609" s="12"/>
      <c r="M609" s="12"/>
      <c r="N609" s="12"/>
    </row>
    <row r="610" ht="13.5" customHeight="1">
      <c r="A610" s="17"/>
      <c r="B610" s="12"/>
      <c r="C610" s="17"/>
      <c r="D610" s="17"/>
      <c r="E610" s="12"/>
      <c r="F610" s="12"/>
      <c r="G610" s="17"/>
      <c r="H610" s="17"/>
      <c r="I610" s="12"/>
      <c r="J610" s="12"/>
      <c r="K610" s="12"/>
      <c r="L610" s="12"/>
      <c r="M610" s="12"/>
      <c r="N610" s="12"/>
    </row>
    <row r="611" ht="13.5" customHeight="1">
      <c r="A611" s="17"/>
      <c r="B611" s="12"/>
      <c r="C611" s="17"/>
      <c r="D611" s="17"/>
      <c r="E611" s="12"/>
      <c r="F611" s="12"/>
      <c r="G611" s="17"/>
      <c r="H611" s="17"/>
      <c r="I611" s="12"/>
      <c r="J611" s="12"/>
      <c r="K611" s="12"/>
      <c r="L611" s="12"/>
      <c r="M611" s="12"/>
      <c r="N611" s="12"/>
    </row>
    <row r="612" ht="13.5" customHeight="1">
      <c r="A612" s="17"/>
      <c r="B612" s="12"/>
      <c r="C612" s="17"/>
      <c r="D612" s="17"/>
      <c r="E612" s="12"/>
      <c r="F612" s="12"/>
      <c r="G612" s="17"/>
      <c r="H612" s="17"/>
      <c r="I612" s="12"/>
      <c r="J612" s="12"/>
      <c r="K612" s="12"/>
      <c r="L612" s="12"/>
      <c r="M612" s="12"/>
      <c r="N612" s="12"/>
    </row>
    <row r="613" ht="13.5" customHeight="1">
      <c r="A613" s="17"/>
      <c r="B613" s="12"/>
      <c r="C613" s="17"/>
      <c r="D613" s="17"/>
      <c r="E613" s="12"/>
      <c r="F613" s="12"/>
      <c r="G613" s="17"/>
      <c r="H613" s="17"/>
      <c r="I613" s="12"/>
      <c r="J613" s="12"/>
      <c r="K613" s="12"/>
      <c r="L613" s="12"/>
      <c r="M613" s="12"/>
      <c r="N613" s="12"/>
    </row>
    <row r="614" ht="13.5" customHeight="1">
      <c r="A614" s="17"/>
      <c r="B614" s="12"/>
      <c r="C614" s="17"/>
      <c r="D614" s="17"/>
      <c r="E614" s="12"/>
      <c r="F614" s="12"/>
      <c r="G614" s="17"/>
      <c r="H614" s="17"/>
      <c r="I614" s="12"/>
      <c r="J614" s="12"/>
      <c r="K614" s="12"/>
      <c r="L614" s="12"/>
      <c r="M614" s="12"/>
      <c r="N614" s="12"/>
    </row>
    <row r="615" ht="13.5" customHeight="1">
      <c r="A615" s="17"/>
      <c r="B615" s="12"/>
      <c r="C615" s="17"/>
      <c r="D615" s="17"/>
      <c r="E615" s="12"/>
      <c r="F615" s="12"/>
      <c r="G615" s="17"/>
      <c r="H615" s="17"/>
      <c r="I615" s="12"/>
      <c r="J615" s="12"/>
      <c r="K615" s="12"/>
      <c r="L615" s="12"/>
      <c r="M615" s="12"/>
      <c r="N615" s="12"/>
    </row>
    <row r="616" ht="13.5" customHeight="1">
      <c r="A616" s="17"/>
      <c r="B616" s="12"/>
      <c r="C616" s="17"/>
      <c r="D616" s="17"/>
      <c r="E616" s="12"/>
      <c r="F616" s="12"/>
      <c r="G616" s="17"/>
      <c r="H616" s="17"/>
      <c r="I616" s="12"/>
      <c r="J616" s="12"/>
      <c r="K616" s="12"/>
      <c r="L616" s="12"/>
      <c r="M616" s="12"/>
      <c r="N616" s="12"/>
    </row>
    <row r="617" ht="13.5" customHeight="1">
      <c r="A617" s="17"/>
      <c r="B617" s="12"/>
      <c r="C617" s="17"/>
      <c r="D617" s="17"/>
      <c r="E617" s="12"/>
      <c r="F617" s="12"/>
      <c r="G617" s="17"/>
      <c r="H617" s="17"/>
      <c r="I617" s="12"/>
      <c r="J617" s="12"/>
      <c r="K617" s="12"/>
      <c r="L617" s="12"/>
      <c r="M617" s="12"/>
      <c r="N617" s="12"/>
    </row>
    <row r="618" ht="13.5" customHeight="1">
      <c r="A618" s="17"/>
      <c r="B618" s="12"/>
      <c r="C618" s="17"/>
      <c r="D618" s="17"/>
      <c r="E618" s="12"/>
      <c r="F618" s="12"/>
      <c r="G618" s="17"/>
      <c r="H618" s="17"/>
      <c r="I618" s="12"/>
      <c r="J618" s="12"/>
      <c r="K618" s="12"/>
      <c r="L618" s="12"/>
      <c r="M618" s="12"/>
      <c r="N618" s="12"/>
    </row>
    <row r="619" ht="13.5" customHeight="1">
      <c r="A619" s="17"/>
      <c r="B619" s="12"/>
      <c r="C619" s="17"/>
      <c r="D619" s="17"/>
      <c r="E619" s="12"/>
      <c r="F619" s="12"/>
      <c r="G619" s="17"/>
      <c r="H619" s="17"/>
      <c r="I619" s="12"/>
      <c r="J619" s="12"/>
      <c r="K619" s="12"/>
      <c r="L619" s="12"/>
      <c r="M619" s="12"/>
      <c r="N619" s="12"/>
    </row>
    <row r="620" ht="13.5" customHeight="1">
      <c r="A620" s="17"/>
      <c r="B620" s="12"/>
      <c r="C620" s="17"/>
      <c r="D620" s="17"/>
      <c r="E620" s="12"/>
      <c r="F620" s="12"/>
      <c r="G620" s="17"/>
      <c r="H620" s="17"/>
      <c r="I620" s="12"/>
      <c r="J620" s="12"/>
      <c r="K620" s="12"/>
      <c r="L620" s="12"/>
      <c r="M620" s="12"/>
      <c r="N620" s="12"/>
    </row>
    <row r="621" ht="13.5" customHeight="1">
      <c r="A621" s="17"/>
      <c r="B621" s="12"/>
      <c r="C621" s="17"/>
      <c r="D621" s="17"/>
      <c r="E621" s="12"/>
      <c r="F621" s="12"/>
      <c r="G621" s="17"/>
      <c r="H621" s="17"/>
      <c r="I621" s="12"/>
      <c r="J621" s="12"/>
      <c r="K621" s="12"/>
      <c r="L621" s="12"/>
      <c r="M621" s="12"/>
      <c r="N621" s="12"/>
    </row>
    <row r="622" ht="13.5" customHeight="1">
      <c r="A622" s="17"/>
      <c r="B622" s="12"/>
      <c r="C622" s="17"/>
      <c r="D622" s="17"/>
      <c r="E622" s="12"/>
      <c r="F622" s="12"/>
      <c r="G622" s="17"/>
      <c r="H622" s="17"/>
      <c r="I622" s="12"/>
      <c r="J622" s="12"/>
      <c r="K622" s="12"/>
      <c r="L622" s="12"/>
      <c r="M622" s="12"/>
      <c r="N622" s="12"/>
    </row>
    <row r="623" ht="13.5" customHeight="1">
      <c r="A623" s="17"/>
      <c r="B623" s="12"/>
      <c r="C623" s="17"/>
      <c r="D623" s="17"/>
      <c r="E623" s="12"/>
      <c r="F623" s="12"/>
      <c r="G623" s="17"/>
      <c r="H623" s="17"/>
      <c r="I623" s="12"/>
      <c r="J623" s="12"/>
      <c r="K623" s="12"/>
      <c r="L623" s="12"/>
      <c r="M623" s="12"/>
      <c r="N623" s="12"/>
    </row>
    <row r="624" ht="13.5" customHeight="1">
      <c r="A624" s="17"/>
      <c r="B624" s="12"/>
      <c r="C624" s="17"/>
      <c r="D624" s="17"/>
      <c r="E624" s="12"/>
      <c r="F624" s="12"/>
      <c r="G624" s="17"/>
      <c r="H624" s="17"/>
      <c r="I624" s="12"/>
      <c r="J624" s="12"/>
      <c r="K624" s="12"/>
      <c r="L624" s="12"/>
      <c r="M624" s="12"/>
      <c r="N624" s="12"/>
    </row>
    <row r="625" ht="13.5" customHeight="1">
      <c r="A625" s="17"/>
      <c r="B625" s="12"/>
      <c r="C625" s="17"/>
      <c r="D625" s="17"/>
      <c r="E625" s="12"/>
      <c r="F625" s="12"/>
      <c r="G625" s="17"/>
      <c r="H625" s="17"/>
      <c r="I625" s="12"/>
      <c r="J625" s="12"/>
      <c r="K625" s="12"/>
      <c r="L625" s="12"/>
      <c r="M625" s="12"/>
      <c r="N625" s="12"/>
    </row>
    <row r="626" ht="13.5" customHeight="1">
      <c r="A626" s="17"/>
      <c r="B626" s="12"/>
      <c r="C626" s="17"/>
      <c r="D626" s="17"/>
      <c r="E626" s="12"/>
      <c r="F626" s="12"/>
      <c r="G626" s="17"/>
      <c r="H626" s="17"/>
      <c r="I626" s="12"/>
      <c r="J626" s="12"/>
      <c r="K626" s="12"/>
      <c r="L626" s="12"/>
      <c r="M626" s="12"/>
      <c r="N626" s="12"/>
    </row>
    <row r="627" ht="13.5" customHeight="1">
      <c r="A627" s="17"/>
      <c r="B627" s="12"/>
      <c r="C627" s="17"/>
      <c r="D627" s="17"/>
      <c r="E627" s="12"/>
      <c r="F627" s="12"/>
      <c r="G627" s="17"/>
      <c r="H627" s="17"/>
      <c r="I627" s="12"/>
      <c r="J627" s="12"/>
      <c r="K627" s="12"/>
      <c r="L627" s="12"/>
      <c r="M627" s="12"/>
      <c r="N627" s="12"/>
    </row>
    <row r="628" ht="13.5" customHeight="1">
      <c r="A628" s="17"/>
      <c r="B628" s="12"/>
      <c r="C628" s="17"/>
      <c r="D628" s="17"/>
      <c r="E628" s="12"/>
      <c r="F628" s="12"/>
      <c r="G628" s="17"/>
      <c r="H628" s="17"/>
      <c r="I628" s="12"/>
      <c r="J628" s="12"/>
      <c r="K628" s="12"/>
      <c r="L628" s="12"/>
      <c r="M628" s="12"/>
      <c r="N628" s="12"/>
    </row>
    <row r="629" ht="13.5" customHeight="1">
      <c r="A629" s="17"/>
      <c r="B629" s="12"/>
      <c r="C629" s="17"/>
      <c r="D629" s="17"/>
      <c r="E629" s="12"/>
      <c r="F629" s="12"/>
      <c r="G629" s="17"/>
      <c r="H629" s="17"/>
      <c r="I629" s="12"/>
      <c r="J629" s="12"/>
      <c r="K629" s="12"/>
      <c r="L629" s="12"/>
      <c r="M629" s="12"/>
      <c r="N629" s="12"/>
    </row>
    <row r="630" ht="13.5" customHeight="1">
      <c r="A630" s="17"/>
      <c r="B630" s="12"/>
      <c r="C630" s="17"/>
      <c r="D630" s="17"/>
      <c r="E630" s="12"/>
      <c r="F630" s="12"/>
      <c r="G630" s="17"/>
      <c r="H630" s="17"/>
      <c r="I630" s="12"/>
      <c r="J630" s="12"/>
      <c r="K630" s="12"/>
      <c r="L630" s="12"/>
      <c r="M630" s="12"/>
      <c r="N630" s="12"/>
    </row>
    <row r="631" ht="13.5" customHeight="1">
      <c r="A631" s="17"/>
      <c r="B631" s="12"/>
      <c r="C631" s="17"/>
      <c r="D631" s="17"/>
      <c r="E631" s="12"/>
      <c r="F631" s="12"/>
      <c r="G631" s="17"/>
      <c r="H631" s="17"/>
      <c r="I631" s="12"/>
      <c r="J631" s="12"/>
      <c r="K631" s="12"/>
      <c r="L631" s="12"/>
      <c r="M631" s="12"/>
      <c r="N631" s="12"/>
    </row>
    <row r="632" ht="13.5" customHeight="1">
      <c r="A632" s="17"/>
      <c r="B632" s="12"/>
      <c r="C632" s="17"/>
      <c r="D632" s="17"/>
      <c r="E632" s="12"/>
      <c r="F632" s="12"/>
      <c r="G632" s="17"/>
      <c r="H632" s="17"/>
      <c r="I632" s="12"/>
      <c r="J632" s="12"/>
      <c r="K632" s="12"/>
      <c r="L632" s="12"/>
      <c r="M632" s="12"/>
      <c r="N632" s="12"/>
    </row>
    <row r="633" ht="13.5" customHeight="1">
      <c r="A633" s="17"/>
      <c r="B633" s="12"/>
      <c r="C633" s="17"/>
      <c r="D633" s="17"/>
      <c r="E633" s="12"/>
      <c r="F633" s="12"/>
      <c r="G633" s="17"/>
      <c r="H633" s="17"/>
      <c r="I633" s="12"/>
      <c r="J633" s="12"/>
      <c r="K633" s="12"/>
      <c r="L633" s="12"/>
      <c r="M633" s="12"/>
      <c r="N633" s="12"/>
    </row>
    <row r="634" ht="13.5" customHeight="1">
      <c r="A634" s="17"/>
      <c r="B634" s="12"/>
      <c r="C634" s="17"/>
      <c r="D634" s="17"/>
      <c r="E634" s="12"/>
      <c r="F634" s="12"/>
      <c r="G634" s="17"/>
      <c r="H634" s="17"/>
      <c r="I634" s="12"/>
      <c r="J634" s="12"/>
      <c r="K634" s="12"/>
      <c r="L634" s="12"/>
      <c r="M634" s="12"/>
      <c r="N634" s="12"/>
    </row>
    <row r="635" ht="13.5" customHeight="1">
      <c r="A635" s="17"/>
      <c r="B635" s="12"/>
      <c r="C635" s="17"/>
      <c r="D635" s="17"/>
      <c r="E635" s="12"/>
      <c r="F635" s="12"/>
      <c r="G635" s="17"/>
      <c r="H635" s="17"/>
      <c r="I635" s="12"/>
      <c r="J635" s="12"/>
      <c r="K635" s="12"/>
      <c r="L635" s="12"/>
      <c r="M635" s="12"/>
      <c r="N635" s="12"/>
    </row>
    <row r="636" ht="13.5" customHeight="1">
      <c r="A636" s="17"/>
      <c r="B636" s="12"/>
      <c r="C636" s="17"/>
      <c r="D636" s="17"/>
      <c r="E636" s="12"/>
      <c r="F636" s="12"/>
      <c r="G636" s="17"/>
      <c r="H636" s="17"/>
      <c r="I636" s="12"/>
      <c r="J636" s="12"/>
      <c r="K636" s="12"/>
      <c r="L636" s="12"/>
      <c r="M636" s="12"/>
      <c r="N636" s="12"/>
    </row>
    <row r="637" ht="13.5" customHeight="1">
      <c r="A637" s="17"/>
      <c r="B637" s="12"/>
      <c r="C637" s="17"/>
      <c r="D637" s="17"/>
      <c r="E637" s="12"/>
      <c r="F637" s="12"/>
      <c r="G637" s="17"/>
      <c r="H637" s="17"/>
      <c r="I637" s="12"/>
      <c r="J637" s="12"/>
      <c r="K637" s="12"/>
      <c r="L637" s="12"/>
      <c r="M637" s="12"/>
      <c r="N637" s="12"/>
    </row>
    <row r="638" ht="13.5" customHeight="1">
      <c r="A638" s="17"/>
      <c r="B638" s="12"/>
      <c r="C638" s="17"/>
      <c r="D638" s="17"/>
      <c r="E638" s="12"/>
      <c r="F638" s="12"/>
      <c r="G638" s="17"/>
      <c r="H638" s="17"/>
      <c r="I638" s="12"/>
      <c r="J638" s="12"/>
      <c r="K638" s="12"/>
      <c r="L638" s="12"/>
      <c r="M638" s="12"/>
      <c r="N638" s="12"/>
    </row>
    <row r="639" ht="13.5" customHeight="1">
      <c r="A639" s="17"/>
      <c r="B639" s="12"/>
      <c r="C639" s="17"/>
      <c r="D639" s="17"/>
      <c r="E639" s="12"/>
      <c r="F639" s="12"/>
      <c r="G639" s="17"/>
      <c r="H639" s="17"/>
      <c r="I639" s="12"/>
      <c r="J639" s="12"/>
      <c r="K639" s="12"/>
      <c r="L639" s="12"/>
      <c r="M639" s="12"/>
      <c r="N639" s="12"/>
    </row>
    <row r="640" ht="13.5" customHeight="1">
      <c r="A640" s="17"/>
      <c r="B640" s="12"/>
      <c r="C640" s="17"/>
      <c r="D640" s="17"/>
      <c r="E640" s="12"/>
      <c r="F640" s="12"/>
      <c r="G640" s="17"/>
      <c r="H640" s="17"/>
      <c r="I640" s="12"/>
      <c r="J640" s="12"/>
      <c r="K640" s="12"/>
      <c r="L640" s="12"/>
      <c r="M640" s="12"/>
      <c r="N640" s="12"/>
    </row>
    <row r="641" ht="13.5" customHeight="1">
      <c r="A641" s="17"/>
      <c r="B641" s="12"/>
      <c r="C641" s="17"/>
      <c r="D641" s="17"/>
      <c r="E641" s="12"/>
      <c r="F641" s="12"/>
      <c r="G641" s="17"/>
      <c r="H641" s="17"/>
      <c r="I641" s="12"/>
      <c r="J641" s="12"/>
      <c r="K641" s="12"/>
      <c r="L641" s="12"/>
      <c r="M641" s="12"/>
      <c r="N641" s="12"/>
    </row>
    <row r="642" ht="13.5" customHeight="1">
      <c r="A642" s="17"/>
      <c r="B642" s="12"/>
      <c r="C642" s="17"/>
      <c r="D642" s="17"/>
      <c r="E642" s="12"/>
      <c r="F642" s="12"/>
      <c r="G642" s="17"/>
      <c r="H642" s="17"/>
      <c r="I642" s="12"/>
      <c r="J642" s="12"/>
      <c r="K642" s="12"/>
      <c r="L642" s="12"/>
      <c r="M642" s="12"/>
      <c r="N642" s="12"/>
    </row>
    <row r="643" ht="13.5" customHeight="1">
      <c r="A643" s="17"/>
      <c r="B643" s="12"/>
      <c r="C643" s="17"/>
      <c r="D643" s="17"/>
      <c r="E643" s="12"/>
      <c r="F643" s="12"/>
      <c r="G643" s="17"/>
      <c r="H643" s="17"/>
      <c r="I643" s="12"/>
      <c r="J643" s="12"/>
      <c r="K643" s="12"/>
      <c r="L643" s="12"/>
      <c r="M643" s="12"/>
      <c r="N643" s="12"/>
    </row>
    <row r="644" ht="13.5" customHeight="1">
      <c r="A644" s="17"/>
      <c r="B644" s="12"/>
      <c r="C644" s="17"/>
      <c r="D644" s="17"/>
      <c r="E644" s="12"/>
      <c r="F644" s="12"/>
      <c r="G644" s="17"/>
      <c r="H644" s="17"/>
      <c r="I644" s="12"/>
      <c r="J644" s="12"/>
      <c r="K644" s="12"/>
      <c r="L644" s="12"/>
      <c r="M644" s="12"/>
      <c r="N644" s="12"/>
    </row>
    <row r="645" ht="13.5" customHeight="1">
      <c r="A645" s="17"/>
      <c r="B645" s="12"/>
      <c r="C645" s="17"/>
      <c r="D645" s="17"/>
      <c r="E645" s="12"/>
      <c r="F645" s="12"/>
      <c r="G645" s="17"/>
      <c r="H645" s="17"/>
      <c r="I645" s="12"/>
      <c r="J645" s="12"/>
      <c r="K645" s="12"/>
      <c r="L645" s="12"/>
      <c r="M645" s="12"/>
      <c r="N645" s="12"/>
    </row>
    <row r="646" ht="13.5" customHeight="1">
      <c r="A646" s="17"/>
      <c r="B646" s="12"/>
      <c r="C646" s="17"/>
      <c r="D646" s="17"/>
      <c r="E646" s="12"/>
      <c r="F646" s="12"/>
      <c r="G646" s="17"/>
      <c r="H646" s="17"/>
      <c r="I646" s="12"/>
      <c r="J646" s="12"/>
      <c r="K646" s="12"/>
      <c r="L646" s="12"/>
      <c r="M646" s="12"/>
      <c r="N646" s="12"/>
    </row>
    <row r="647" ht="13.5" customHeight="1">
      <c r="A647" s="17"/>
      <c r="B647" s="12"/>
      <c r="C647" s="17"/>
      <c r="D647" s="17"/>
      <c r="E647" s="12"/>
      <c r="F647" s="12"/>
      <c r="G647" s="17"/>
      <c r="H647" s="17"/>
      <c r="I647" s="12"/>
      <c r="J647" s="12"/>
      <c r="K647" s="12"/>
      <c r="L647" s="12"/>
      <c r="M647" s="12"/>
      <c r="N647" s="12"/>
    </row>
    <row r="648" ht="13.5" customHeight="1">
      <c r="A648" s="17"/>
      <c r="B648" s="12"/>
      <c r="C648" s="17"/>
      <c r="D648" s="17"/>
      <c r="E648" s="12"/>
      <c r="F648" s="12"/>
      <c r="G648" s="17"/>
      <c r="H648" s="17"/>
      <c r="I648" s="12"/>
      <c r="J648" s="12"/>
      <c r="K648" s="12"/>
      <c r="L648" s="12"/>
      <c r="M648" s="12"/>
      <c r="N648" s="12"/>
    </row>
    <row r="649" ht="13.5" customHeight="1">
      <c r="A649" s="17"/>
      <c r="B649" s="12"/>
      <c r="C649" s="17"/>
      <c r="D649" s="17"/>
      <c r="E649" s="12"/>
      <c r="F649" s="12"/>
      <c r="G649" s="17"/>
      <c r="H649" s="17"/>
      <c r="I649" s="12"/>
      <c r="J649" s="12"/>
      <c r="K649" s="12"/>
      <c r="L649" s="12"/>
      <c r="M649" s="12"/>
      <c r="N649" s="12"/>
    </row>
    <row r="650" ht="13.5" customHeight="1">
      <c r="A650" s="17"/>
      <c r="B650" s="12"/>
      <c r="C650" s="17"/>
      <c r="D650" s="17"/>
      <c r="E650" s="12"/>
      <c r="F650" s="12"/>
      <c r="G650" s="17"/>
      <c r="H650" s="17"/>
      <c r="I650" s="12"/>
      <c r="J650" s="12"/>
      <c r="K650" s="12"/>
      <c r="L650" s="12"/>
      <c r="M650" s="12"/>
      <c r="N650" s="12"/>
    </row>
    <row r="651" ht="13.5" customHeight="1">
      <c r="A651" s="17"/>
      <c r="B651" s="12"/>
      <c r="C651" s="17"/>
      <c r="D651" s="17"/>
      <c r="E651" s="12"/>
      <c r="F651" s="12"/>
      <c r="G651" s="17"/>
      <c r="H651" s="17"/>
      <c r="I651" s="12"/>
      <c r="J651" s="12"/>
      <c r="K651" s="12"/>
      <c r="L651" s="12"/>
      <c r="M651" s="12"/>
      <c r="N651" s="12"/>
    </row>
    <row r="652" ht="13.5" customHeight="1">
      <c r="A652" s="17"/>
      <c r="B652" s="12"/>
      <c r="C652" s="17"/>
      <c r="D652" s="17"/>
      <c r="E652" s="12"/>
      <c r="F652" s="12"/>
      <c r="G652" s="17"/>
      <c r="H652" s="17"/>
      <c r="I652" s="12"/>
      <c r="J652" s="12"/>
      <c r="K652" s="12"/>
      <c r="L652" s="12"/>
      <c r="M652" s="12"/>
      <c r="N652" s="12"/>
    </row>
    <row r="653" ht="13.5" customHeight="1">
      <c r="A653" s="17"/>
      <c r="B653" s="12"/>
      <c r="C653" s="17"/>
      <c r="D653" s="17"/>
      <c r="E653" s="12"/>
      <c r="F653" s="12"/>
      <c r="G653" s="17"/>
      <c r="H653" s="17"/>
      <c r="I653" s="12"/>
      <c r="J653" s="12"/>
      <c r="K653" s="12"/>
      <c r="L653" s="12"/>
      <c r="M653" s="12"/>
      <c r="N653" s="12"/>
    </row>
    <row r="654" ht="13.5" customHeight="1">
      <c r="A654" s="17"/>
      <c r="B654" s="12"/>
      <c r="C654" s="17"/>
      <c r="D654" s="17"/>
      <c r="E654" s="12"/>
      <c r="F654" s="12"/>
      <c r="G654" s="17"/>
      <c r="H654" s="17"/>
      <c r="I654" s="12"/>
      <c r="J654" s="12"/>
      <c r="K654" s="12"/>
      <c r="L654" s="12"/>
      <c r="M654" s="12"/>
      <c r="N654" s="12"/>
    </row>
    <row r="655" ht="13.5" customHeight="1">
      <c r="A655" s="17"/>
      <c r="B655" s="12"/>
      <c r="C655" s="17"/>
      <c r="D655" s="17"/>
      <c r="E655" s="12"/>
      <c r="F655" s="12"/>
      <c r="G655" s="17"/>
      <c r="H655" s="17"/>
      <c r="I655" s="12"/>
      <c r="J655" s="12"/>
      <c r="K655" s="12"/>
      <c r="L655" s="12"/>
      <c r="M655" s="12"/>
      <c r="N655" s="12"/>
    </row>
    <row r="656" ht="13.5" customHeight="1">
      <c r="A656" s="17"/>
      <c r="B656" s="12"/>
      <c r="C656" s="17"/>
      <c r="D656" s="17"/>
      <c r="E656" s="12"/>
      <c r="F656" s="12"/>
      <c r="G656" s="17"/>
      <c r="H656" s="17"/>
      <c r="I656" s="12"/>
      <c r="J656" s="12"/>
      <c r="K656" s="12"/>
      <c r="L656" s="12"/>
      <c r="M656" s="12"/>
      <c r="N656" s="12"/>
    </row>
    <row r="657" ht="13.5" customHeight="1">
      <c r="A657" s="17"/>
      <c r="B657" s="12"/>
      <c r="C657" s="17"/>
      <c r="D657" s="17"/>
      <c r="E657" s="12"/>
      <c r="F657" s="12"/>
      <c r="G657" s="17"/>
      <c r="H657" s="17"/>
      <c r="I657" s="12"/>
      <c r="J657" s="12"/>
      <c r="K657" s="12"/>
      <c r="L657" s="12"/>
      <c r="M657" s="12"/>
      <c r="N657" s="12"/>
    </row>
    <row r="658" ht="13.5" customHeight="1">
      <c r="A658" s="17"/>
      <c r="B658" s="12"/>
      <c r="C658" s="17"/>
      <c r="D658" s="17"/>
      <c r="E658" s="12"/>
      <c r="F658" s="12"/>
      <c r="G658" s="17"/>
      <c r="H658" s="17"/>
      <c r="I658" s="12"/>
      <c r="J658" s="12"/>
      <c r="K658" s="12"/>
      <c r="L658" s="12"/>
      <c r="M658" s="12"/>
      <c r="N658" s="12"/>
    </row>
    <row r="659" ht="13.5" customHeight="1">
      <c r="A659" s="17"/>
      <c r="B659" s="12"/>
      <c r="C659" s="17"/>
      <c r="D659" s="17"/>
      <c r="E659" s="12"/>
      <c r="F659" s="12"/>
      <c r="G659" s="17"/>
      <c r="H659" s="17"/>
      <c r="I659" s="12"/>
      <c r="J659" s="12"/>
      <c r="K659" s="12"/>
      <c r="L659" s="12"/>
      <c r="M659" s="12"/>
      <c r="N659" s="12"/>
    </row>
    <row r="660" ht="13.5" customHeight="1">
      <c r="A660" s="17"/>
      <c r="B660" s="12"/>
      <c r="C660" s="17"/>
      <c r="D660" s="17"/>
      <c r="E660" s="12"/>
      <c r="F660" s="12"/>
      <c r="G660" s="17"/>
      <c r="H660" s="17"/>
      <c r="I660" s="12"/>
      <c r="J660" s="12"/>
      <c r="K660" s="12"/>
      <c r="L660" s="12"/>
      <c r="M660" s="12"/>
      <c r="N660" s="12"/>
    </row>
    <row r="661" ht="13.5" customHeight="1">
      <c r="A661" s="17"/>
      <c r="B661" s="12"/>
      <c r="C661" s="17"/>
      <c r="D661" s="17"/>
      <c r="E661" s="12"/>
      <c r="F661" s="12"/>
      <c r="G661" s="17"/>
      <c r="H661" s="17"/>
      <c r="I661" s="12"/>
      <c r="J661" s="12"/>
      <c r="K661" s="12"/>
      <c r="L661" s="12"/>
      <c r="M661" s="12"/>
      <c r="N661" s="12"/>
    </row>
    <row r="662" ht="13.5" customHeight="1">
      <c r="A662" s="17"/>
      <c r="B662" s="12"/>
      <c r="C662" s="17"/>
      <c r="D662" s="17"/>
      <c r="E662" s="12"/>
      <c r="F662" s="12"/>
      <c r="G662" s="17"/>
      <c r="H662" s="17"/>
      <c r="I662" s="12"/>
      <c r="J662" s="12"/>
      <c r="K662" s="12"/>
      <c r="L662" s="12"/>
      <c r="M662" s="12"/>
      <c r="N662" s="12"/>
    </row>
    <row r="663" ht="13.5" customHeight="1">
      <c r="A663" s="17"/>
      <c r="B663" s="12"/>
      <c r="C663" s="17"/>
      <c r="D663" s="17"/>
      <c r="E663" s="12"/>
      <c r="F663" s="12"/>
      <c r="G663" s="17"/>
      <c r="H663" s="17"/>
      <c r="I663" s="12"/>
      <c r="J663" s="12"/>
      <c r="K663" s="12"/>
      <c r="L663" s="12"/>
      <c r="M663" s="12"/>
      <c r="N663" s="12"/>
    </row>
    <row r="664" ht="13.5" customHeight="1">
      <c r="A664" s="17"/>
      <c r="B664" s="12"/>
      <c r="C664" s="17"/>
      <c r="D664" s="17"/>
      <c r="E664" s="12"/>
      <c r="F664" s="12"/>
      <c r="G664" s="17"/>
      <c r="H664" s="17"/>
      <c r="I664" s="12"/>
      <c r="J664" s="12"/>
      <c r="K664" s="12"/>
      <c r="L664" s="12"/>
      <c r="M664" s="12"/>
      <c r="N664" s="12"/>
    </row>
    <row r="665" ht="13.5" customHeight="1">
      <c r="A665" s="17"/>
      <c r="B665" s="12"/>
      <c r="C665" s="17"/>
      <c r="D665" s="17"/>
      <c r="E665" s="12"/>
      <c r="F665" s="12"/>
      <c r="G665" s="17"/>
      <c r="H665" s="17"/>
      <c r="I665" s="12"/>
      <c r="J665" s="12"/>
      <c r="K665" s="12"/>
      <c r="L665" s="12"/>
      <c r="M665" s="12"/>
      <c r="N665" s="12"/>
    </row>
    <row r="666" ht="13.5" customHeight="1">
      <c r="A666" s="17"/>
      <c r="B666" s="12"/>
      <c r="C666" s="17"/>
      <c r="D666" s="17"/>
      <c r="E666" s="12"/>
      <c r="F666" s="12"/>
      <c r="G666" s="17"/>
      <c r="H666" s="17"/>
      <c r="I666" s="12"/>
      <c r="J666" s="12"/>
      <c r="K666" s="12"/>
      <c r="L666" s="12"/>
      <c r="M666" s="12"/>
      <c r="N666" s="12"/>
    </row>
    <row r="667" ht="13.5" customHeight="1">
      <c r="A667" s="17"/>
      <c r="B667" s="12"/>
      <c r="C667" s="17"/>
      <c r="D667" s="17"/>
      <c r="E667" s="12"/>
      <c r="F667" s="12"/>
      <c r="G667" s="17"/>
      <c r="H667" s="17"/>
      <c r="I667" s="12"/>
      <c r="J667" s="12"/>
      <c r="K667" s="12"/>
      <c r="L667" s="12"/>
      <c r="M667" s="12"/>
      <c r="N667" s="12"/>
    </row>
    <row r="668" ht="13.5" customHeight="1">
      <c r="A668" s="17"/>
      <c r="B668" s="12"/>
      <c r="C668" s="17"/>
      <c r="D668" s="17"/>
      <c r="E668" s="12"/>
      <c r="F668" s="12"/>
      <c r="G668" s="17"/>
      <c r="H668" s="17"/>
      <c r="I668" s="12"/>
      <c r="J668" s="12"/>
      <c r="K668" s="12"/>
      <c r="L668" s="12"/>
      <c r="M668" s="12"/>
      <c r="N668" s="12"/>
    </row>
    <row r="669" ht="13.5" customHeight="1">
      <c r="A669" s="17"/>
      <c r="B669" s="12"/>
      <c r="C669" s="17"/>
      <c r="D669" s="17"/>
      <c r="E669" s="12"/>
      <c r="F669" s="12"/>
      <c r="G669" s="17"/>
      <c r="H669" s="17"/>
      <c r="I669" s="12"/>
      <c r="J669" s="12"/>
      <c r="K669" s="12"/>
      <c r="L669" s="12"/>
      <c r="M669" s="12"/>
      <c r="N669" s="12"/>
    </row>
    <row r="670" ht="13.5" customHeight="1">
      <c r="A670" s="17"/>
      <c r="B670" s="12"/>
      <c r="C670" s="17"/>
      <c r="D670" s="17"/>
      <c r="E670" s="12"/>
      <c r="F670" s="12"/>
      <c r="G670" s="17"/>
      <c r="H670" s="17"/>
      <c r="I670" s="12"/>
      <c r="J670" s="12"/>
      <c r="K670" s="12"/>
      <c r="L670" s="12"/>
      <c r="M670" s="12"/>
      <c r="N670" s="12"/>
    </row>
    <row r="671" ht="13.5" customHeight="1">
      <c r="A671" s="17"/>
      <c r="B671" s="12"/>
      <c r="C671" s="17"/>
      <c r="D671" s="17"/>
      <c r="E671" s="12"/>
      <c r="F671" s="12"/>
      <c r="G671" s="17"/>
      <c r="H671" s="17"/>
      <c r="I671" s="12"/>
      <c r="J671" s="12"/>
      <c r="K671" s="12"/>
      <c r="L671" s="12"/>
      <c r="M671" s="12"/>
      <c r="N671" s="12"/>
    </row>
    <row r="672" ht="13.5" customHeight="1">
      <c r="A672" s="17"/>
      <c r="B672" s="12"/>
      <c r="C672" s="17"/>
      <c r="D672" s="17"/>
      <c r="E672" s="12"/>
      <c r="F672" s="12"/>
      <c r="G672" s="17"/>
      <c r="H672" s="17"/>
      <c r="I672" s="12"/>
      <c r="J672" s="12"/>
      <c r="K672" s="12"/>
      <c r="L672" s="12"/>
      <c r="M672" s="12"/>
      <c r="N672" s="12"/>
    </row>
    <row r="673" ht="13.5" customHeight="1">
      <c r="A673" s="17"/>
      <c r="B673" s="12"/>
      <c r="C673" s="17"/>
      <c r="D673" s="17"/>
      <c r="E673" s="12"/>
      <c r="F673" s="12"/>
      <c r="G673" s="17"/>
      <c r="H673" s="17"/>
      <c r="I673" s="12"/>
      <c r="J673" s="12"/>
      <c r="K673" s="12"/>
      <c r="L673" s="12"/>
      <c r="M673" s="12"/>
      <c r="N673" s="12"/>
    </row>
    <row r="674" ht="13.5" customHeight="1">
      <c r="A674" s="17"/>
      <c r="B674" s="12"/>
      <c r="C674" s="17"/>
      <c r="D674" s="17"/>
      <c r="E674" s="12"/>
      <c r="F674" s="12"/>
      <c r="G674" s="17"/>
      <c r="H674" s="17"/>
      <c r="I674" s="12"/>
      <c r="J674" s="12"/>
      <c r="K674" s="12"/>
      <c r="L674" s="12"/>
      <c r="M674" s="12"/>
      <c r="N674" s="12"/>
    </row>
    <row r="675" ht="13.5" customHeight="1">
      <c r="A675" s="17"/>
      <c r="B675" s="12"/>
      <c r="C675" s="17"/>
      <c r="D675" s="17"/>
      <c r="E675" s="12"/>
      <c r="F675" s="12"/>
      <c r="G675" s="17"/>
      <c r="H675" s="17"/>
      <c r="I675" s="12"/>
      <c r="J675" s="12"/>
      <c r="K675" s="12"/>
      <c r="L675" s="12"/>
      <c r="M675" s="12"/>
      <c r="N675" s="12"/>
    </row>
    <row r="676" ht="13.5" customHeight="1">
      <c r="A676" s="17"/>
      <c r="B676" s="12"/>
      <c r="C676" s="17"/>
      <c r="D676" s="17"/>
      <c r="E676" s="12"/>
      <c r="F676" s="12"/>
      <c r="G676" s="17"/>
      <c r="H676" s="17"/>
      <c r="I676" s="12"/>
      <c r="J676" s="12"/>
      <c r="K676" s="12"/>
      <c r="L676" s="12"/>
      <c r="M676" s="12"/>
      <c r="N676" s="12"/>
    </row>
    <row r="677" ht="13.5" customHeight="1">
      <c r="A677" s="17"/>
      <c r="B677" s="12"/>
      <c r="C677" s="17"/>
      <c r="D677" s="17"/>
      <c r="E677" s="12"/>
      <c r="F677" s="12"/>
      <c r="G677" s="17"/>
      <c r="H677" s="17"/>
      <c r="I677" s="12"/>
      <c r="J677" s="12"/>
      <c r="K677" s="12"/>
      <c r="L677" s="12"/>
      <c r="M677" s="12"/>
      <c r="N677" s="12"/>
    </row>
    <row r="678" ht="13.5" customHeight="1">
      <c r="A678" s="17"/>
      <c r="B678" s="12"/>
      <c r="C678" s="17"/>
      <c r="D678" s="17"/>
      <c r="E678" s="12"/>
      <c r="F678" s="12"/>
      <c r="G678" s="17"/>
      <c r="H678" s="17"/>
      <c r="I678" s="12"/>
      <c r="J678" s="12"/>
      <c r="K678" s="12"/>
      <c r="L678" s="12"/>
      <c r="M678" s="12"/>
      <c r="N678" s="12"/>
    </row>
    <row r="679" ht="13.5" customHeight="1">
      <c r="A679" s="17"/>
      <c r="B679" s="12"/>
      <c r="C679" s="17"/>
      <c r="D679" s="17"/>
      <c r="E679" s="12"/>
      <c r="F679" s="12"/>
      <c r="G679" s="17"/>
      <c r="H679" s="17"/>
      <c r="I679" s="12"/>
      <c r="J679" s="12"/>
      <c r="K679" s="12"/>
      <c r="L679" s="12"/>
      <c r="M679" s="12"/>
      <c r="N679" s="12"/>
    </row>
    <row r="680" ht="13.5" customHeight="1">
      <c r="A680" s="17"/>
      <c r="B680" s="12"/>
      <c r="C680" s="17"/>
      <c r="D680" s="17"/>
      <c r="E680" s="12"/>
      <c r="F680" s="12"/>
      <c r="G680" s="17"/>
      <c r="H680" s="17"/>
      <c r="I680" s="12"/>
      <c r="J680" s="12"/>
      <c r="K680" s="12"/>
      <c r="L680" s="12"/>
      <c r="M680" s="12"/>
      <c r="N680" s="12"/>
    </row>
    <row r="681" ht="13.5" customHeight="1">
      <c r="A681" s="17"/>
      <c r="B681" s="12"/>
      <c r="C681" s="17"/>
      <c r="D681" s="17"/>
      <c r="E681" s="12"/>
      <c r="F681" s="12"/>
      <c r="G681" s="17"/>
      <c r="H681" s="17"/>
      <c r="I681" s="12"/>
      <c r="J681" s="12"/>
      <c r="K681" s="12"/>
      <c r="L681" s="12"/>
      <c r="M681" s="12"/>
      <c r="N681" s="12"/>
    </row>
    <row r="682" ht="13.5" customHeight="1">
      <c r="A682" s="17"/>
      <c r="B682" s="12"/>
      <c r="C682" s="17"/>
      <c r="D682" s="17"/>
      <c r="E682" s="12"/>
      <c r="F682" s="12"/>
      <c r="G682" s="17"/>
      <c r="H682" s="17"/>
      <c r="I682" s="12"/>
      <c r="J682" s="12"/>
      <c r="K682" s="12"/>
      <c r="L682" s="12"/>
      <c r="M682" s="12"/>
      <c r="N682" s="12"/>
    </row>
    <row r="683" ht="13.5" customHeight="1">
      <c r="A683" s="17"/>
      <c r="B683" s="12"/>
      <c r="C683" s="17"/>
      <c r="D683" s="17"/>
      <c r="E683" s="12"/>
      <c r="F683" s="12"/>
      <c r="G683" s="17"/>
      <c r="H683" s="17"/>
      <c r="I683" s="12"/>
      <c r="J683" s="12"/>
      <c r="K683" s="12"/>
      <c r="L683" s="12"/>
      <c r="M683" s="12"/>
      <c r="N683" s="12"/>
    </row>
    <row r="684" ht="13.5" customHeight="1">
      <c r="A684" s="17"/>
      <c r="B684" s="12"/>
      <c r="C684" s="17"/>
      <c r="D684" s="17"/>
      <c r="E684" s="12"/>
      <c r="F684" s="12"/>
      <c r="G684" s="17"/>
      <c r="H684" s="17"/>
      <c r="I684" s="12"/>
      <c r="J684" s="12"/>
      <c r="K684" s="12"/>
      <c r="L684" s="12"/>
      <c r="M684" s="12"/>
      <c r="N684" s="12"/>
    </row>
    <row r="685" ht="13.5" customHeight="1">
      <c r="A685" s="17"/>
      <c r="B685" s="12"/>
      <c r="C685" s="17"/>
      <c r="D685" s="17"/>
      <c r="E685" s="12"/>
      <c r="F685" s="12"/>
      <c r="G685" s="17"/>
      <c r="H685" s="17"/>
      <c r="I685" s="12"/>
      <c r="J685" s="12"/>
      <c r="K685" s="12"/>
      <c r="L685" s="12"/>
      <c r="M685" s="12"/>
      <c r="N685" s="12"/>
    </row>
    <row r="686" ht="13.5" customHeight="1">
      <c r="A686" s="17"/>
      <c r="B686" s="12"/>
      <c r="C686" s="17"/>
      <c r="D686" s="17"/>
      <c r="E686" s="12"/>
      <c r="F686" s="12"/>
      <c r="G686" s="17"/>
      <c r="H686" s="17"/>
      <c r="I686" s="12"/>
      <c r="J686" s="12"/>
      <c r="K686" s="12"/>
      <c r="L686" s="12"/>
      <c r="M686" s="12"/>
      <c r="N686" s="12"/>
    </row>
    <row r="687" ht="13.5" customHeight="1">
      <c r="A687" s="17"/>
      <c r="B687" s="12"/>
      <c r="C687" s="17"/>
      <c r="D687" s="17"/>
      <c r="E687" s="12"/>
      <c r="F687" s="12"/>
      <c r="G687" s="17"/>
      <c r="H687" s="17"/>
      <c r="I687" s="12"/>
      <c r="J687" s="12"/>
      <c r="K687" s="12"/>
      <c r="L687" s="12"/>
      <c r="M687" s="12"/>
      <c r="N687" s="12"/>
    </row>
    <row r="688" ht="13.5" customHeight="1">
      <c r="A688" s="17"/>
      <c r="B688" s="12"/>
      <c r="C688" s="17"/>
      <c r="D688" s="17"/>
      <c r="E688" s="12"/>
      <c r="F688" s="12"/>
      <c r="G688" s="17"/>
      <c r="H688" s="17"/>
      <c r="I688" s="12"/>
      <c r="J688" s="12"/>
      <c r="K688" s="12"/>
      <c r="L688" s="12"/>
      <c r="M688" s="12"/>
      <c r="N688" s="12"/>
    </row>
    <row r="689" ht="13.5" customHeight="1">
      <c r="A689" s="17"/>
      <c r="B689" s="12"/>
      <c r="C689" s="17"/>
      <c r="D689" s="17"/>
      <c r="E689" s="12"/>
      <c r="F689" s="12"/>
      <c r="G689" s="17"/>
      <c r="H689" s="17"/>
      <c r="I689" s="12"/>
      <c r="J689" s="12"/>
      <c r="K689" s="12"/>
      <c r="L689" s="12"/>
      <c r="M689" s="12"/>
      <c r="N689" s="12"/>
    </row>
    <row r="690" ht="13.5" customHeight="1">
      <c r="A690" s="17"/>
      <c r="B690" s="12"/>
      <c r="C690" s="17"/>
      <c r="D690" s="17"/>
      <c r="E690" s="12"/>
      <c r="F690" s="12"/>
      <c r="G690" s="17"/>
      <c r="H690" s="17"/>
      <c r="I690" s="12"/>
      <c r="J690" s="12"/>
      <c r="K690" s="12"/>
      <c r="L690" s="12"/>
      <c r="M690" s="12"/>
      <c r="N690" s="12"/>
    </row>
    <row r="691" ht="13.5" customHeight="1">
      <c r="A691" s="17"/>
      <c r="B691" s="12"/>
      <c r="C691" s="17"/>
      <c r="D691" s="17"/>
      <c r="E691" s="12"/>
      <c r="F691" s="12"/>
      <c r="G691" s="17"/>
      <c r="H691" s="17"/>
      <c r="I691" s="12"/>
      <c r="J691" s="12"/>
      <c r="K691" s="12"/>
      <c r="L691" s="12"/>
      <c r="M691" s="12"/>
      <c r="N691" s="12"/>
    </row>
    <row r="692" ht="13.5" customHeight="1">
      <c r="A692" s="17"/>
      <c r="B692" s="12"/>
      <c r="C692" s="17"/>
      <c r="D692" s="17"/>
      <c r="E692" s="12"/>
      <c r="F692" s="12"/>
      <c r="G692" s="17"/>
      <c r="H692" s="17"/>
      <c r="I692" s="12"/>
      <c r="J692" s="12"/>
      <c r="K692" s="12"/>
      <c r="L692" s="12"/>
      <c r="M692" s="12"/>
      <c r="N692" s="12"/>
    </row>
    <row r="693" ht="13.5" customHeight="1">
      <c r="A693" s="17"/>
      <c r="B693" s="12"/>
      <c r="C693" s="17"/>
      <c r="D693" s="17"/>
      <c r="E693" s="12"/>
      <c r="F693" s="12"/>
      <c r="G693" s="17"/>
      <c r="H693" s="17"/>
      <c r="I693" s="12"/>
      <c r="J693" s="12"/>
      <c r="K693" s="12"/>
      <c r="L693" s="12"/>
      <c r="M693" s="12"/>
      <c r="N693" s="12"/>
    </row>
    <row r="694" ht="13.5" customHeight="1">
      <c r="A694" s="17"/>
      <c r="B694" s="12"/>
      <c r="C694" s="17"/>
      <c r="D694" s="17"/>
      <c r="E694" s="12"/>
      <c r="F694" s="12"/>
      <c r="G694" s="17"/>
      <c r="H694" s="17"/>
      <c r="I694" s="12"/>
      <c r="J694" s="12"/>
      <c r="K694" s="12"/>
      <c r="L694" s="12"/>
      <c r="M694" s="12"/>
      <c r="N694" s="12"/>
    </row>
    <row r="695" ht="13.5" customHeight="1">
      <c r="A695" s="17"/>
      <c r="B695" s="12"/>
      <c r="C695" s="17"/>
      <c r="D695" s="17"/>
      <c r="E695" s="12"/>
      <c r="F695" s="12"/>
      <c r="G695" s="17"/>
      <c r="H695" s="17"/>
      <c r="I695" s="12"/>
      <c r="J695" s="12"/>
      <c r="K695" s="12"/>
      <c r="L695" s="12"/>
      <c r="M695" s="12"/>
      <c r="N695" s="12"/>
    </row>
    <row r="696" ht="13.5" customHeight="1">
      <c r="A696" s="17"/>
      <c r="B696" s="12"/>
      <c r="C696" s="17"/>
      <c r="D696" s="17"/>
      <c r="E696" s="12"/>
      <c r="F696" s="12"/>
      <c r="G696" s="17"/>
      <c r="H696" s="17"/>
      <c r="I696" s="12"/>
      <c r="J696" s="12"/>
      <c r="K696" s="12"/>
      <c r="L696" s="12"/>
      <c r="M696" s="12"/>
      <c r="N696" s="12"/>
    </row>
    <row r="697" ht="13.5" customHeight="1">
      <c r="A697" s="17"/>
      <c r="B697" s="12"/>
      <c r="C697" s="17"/>
      <c r="D697" s="17"/>
      <c r="E697" s="12"/>
      <c r="F697" s="12"/>
      <c r="G697" s="17"/>
      <c r="H697" s="17"/>
      <c r="I697" s="12"/>
      <c r="J697" s="12"/>
      <c r="K697" s="12"/>
      <c r="L697" s="12"/>
      <c r="M697" s="12"/>
      <c r="N697" s="12"/>
    </row>
    <row r="698" ht="13.5" customHeight="1">
      <c r="A698" s="17"/>
      <c r="B698" s="12"/>
      <c r="C698" s="17"/>
      <c r="D698" s="17"/>
      <c r="E698" s="12"/>
      <c r="F698" s="12"/>
      <c r="G698" s="17"/>
      <c r="H698" s="17"/>
      <c r="I698" s="12"/>
      <c r="J698" s="12"/>
      <c r="K698" s="12"/>
      <c r="L698" s="12"/>
      <c r="M698" s="12"/>
      <c r="N698" s="12"/>
    </row>
    <row r="699" ht="13.5" customHeight="1">
      <c r="A699" s="17"/>
      <c r="B699" s="12"/>
      <c r="C699" s="17"/>
      <c r="D699" s="17"/>
      <c r="E699" s="12"/>
      <c r="F699" s="12"/>
      <c r="G699" s="17"/>
      <c r="H699" s="17"/>
      <c r="I699" s="12"/>
      <c r="J699" s="12"/>
      <c r="K699" s="12"/>
      <c r="L699" s="12"/>
      <c r="M699" s="12"/>
      <c r="N699" s="12"/>
    </row>
    <row r="700" ht="13.5" customHeight="1">
      <c r="A700" s="17"/>
      <c r="B700" s="12"/>
      <c r="C700" s="17"/>
      <c r="D700" s="17"/>
      <c r="E700" s="12"/>
      <c r="F700" s="12"/>
      <c r="G700" s="17"/>
      <c r="H700" s="17"/>
      <c r="I700" s="12"/>
      <c r="J700" s="12"/>
      <c r="K700" s="12"/>
      <c r="L700" s="12"/>
      <c r="M700" s="12"/>
      <c r="N700" s="12"/>
    </row>
    <row r="701" ht="13.5" customHeight="1">
      <c r="A701" s="17"/>
      <c r="B701" s="12"/>
      <c r="C701" s="17"/>
      <c r="D701" s="17"/>
      <c r="E701" s="12"/>
      <c r="F701" s="12"/>
      <c r="G701" s="17"/>
      <c r="H701" s="17"/>
      <c r="I701" s="12"/>
      <c r="J701" s="12"/>
      <c r="K701" s="12"/>
      <c r="L701" s="12"/>
      <c r="M701" s="12"/>
      <c r="N701" s="12"/>
    </row>
    <row r="702" ht="13.5" customHeight="1">
      <c r="A702" s="17"/>
      <c r="B702" s="12"/>
      <c r="C702" s="17"/>
      <c r="D702" s="17"/>
      <c r="E702" s="12"/>
      <c r="F702" s="12"/>
      <c r="G702" s="17"/>
      <c r="H702" s="17"/>
      <c r="I702" s="12"/>
      <c r="J702" s="12"/>
      <c r="K702" s="12"/>
      <c r="L702" s="12"/>
      <c r="M702" s="12"/>
      <c r="N702" s="12"/>
    </row>
    <row r="703" ht="13.5" customHeight="1">
      <c r="A703" s="17"/>
      <c r="B703" s="12"/>
      <c r="C703" s="17"/>
      <c r="D703" s="17"/>
      <c r="E703" s="12"/>
      <c r="F703" s="12"/>
      <c r="G703" s="17"/>
      <c r="H703" s="17"/>
      <c r="I703" s="12"/>
      <c r="J703" s="12"/>
      <c r="K703" s="12"/>
      <c r="L703" s="12"/>
      <c r="M703" s="12"/>
      <c r="N703" s="12"/>
    </row>
    <row r="704" ht="13.5" customHeight="1">
      <c r="A704" s="17"/>
      <c r="B704" s="12"/>
      <c r="C704" s="17"/>
      <c r="D704" s="17"/>
      <c r="E704" s="12"/>
      <c r="F704" s="12"/>
      <c r="G704" s="17"/>
      <c r="H704" s="17"/>
      <c r="I704" s="12"/>
      <c r="J704" s="12"/>
      <c r="K704" s="12"/>
      <c r="L704" s="12"/>
      <c r="M704" s="12"/>
      <c r="N704" s="12"/>
    </row>
    <row r="705" ht="13.5" customHeight="1">
      <c r="A705" s="17"/>
      <c r="B705" s="12"/>
      <c r="C705" s="17"/>
      <c r="D705" s="17"/>
      <c r="E705" s="12"/>
      <c r="F705" s="12"/>
      <c r="G705" s="17"/>
      <c r="H705" s="17"/>
      <c r="I705" s="12"/>
      <c r="J705" s="12"/>
      <c r="K705" s="12"/>
      <c r="L705" s="12"/>
      <c r="M705" s="12"/>
      <c r="N705" s="12"/>
    </row>
    <row r="706" ht="13.5" customHeight="1">
      <c r="A706" s="17"/>
      <c r="B706" s="12"/>
      <c r="C706" s="17"/>
      <c r="D706" s="17"/>
      <c r="E706" s="12"/>
      <c r="F706" s="12"/>
      <c r="G706" s="17"/>
      <c r="H706" s="17"/>
      <c r="I706" s="12"/>
      <c r="J706" s="12"/>
      <c r="K706" s="12"/>
      <c r="L706" s="12"/>
      <c r="M706" s="12"/>
      <c r="N706" s="12"/>
    </row>
    <row r="707" ht="13.5" customHeight="1">
      <c r="A707" s="17"/>
      <c r="B707" s="12"/>
      <c r="C707" s="17"/>
      <c r="D707" s="17"/>
      <c r="E707" s="12"/>
      <c r="F707" s="12"/>
      <c r="G707" s="17"/>
      <c r="H707" s="17"/>
      <c r="I707" s="12"/>
      <c r="J707" s="12"/>
      <c r="K707" s="12"/>
      <c r="L707" s="12"/>
      <c r="M707" s="12"/>
      <c r="N707" s="12"/>
    </row>
    <row r="708" ht="13.5" customHeight="1">
      <c r="A708" s="17"/>
      <c r="B708" s="12"/>
      <c r="C708" s="17"/>
      <c r="D708" s="17"/>
      <c r="E708" s="12"/>
      <c r="F708" s="12"/>
      <c r="G708" s="17"/>
      <c r="H708" s="17"/>
      <c r="I708" s="12"/>
      <c r="J708" s="12"/>
      <c r="K708" s="12"/>
      <c r="L708" s="12"/>
      <c r="M708" s="12"/>
      <c r="N708" s="12"/>
    </row>
    <row r="709" ht="13.5" customHeight="1">
      <c r="A709" s="17"/>
      <c r="B709" s="12"/>
      <c r="C709" s="17"/>
      <c r="D709" s="17"/>
      <c r="E709" s="12"/>
      <c r="F709" s="12"/>
      <c r="G709" s="17"/>
      <c r="H709" s="17"/>
      <c r="I709" s="12"/>
      <c r="J709" s="12"/>
      <c r="K709" s="12"/>
      <c r="L709" s="12"/>
      <c r="M709" s="12"/>
      <c r="N709" s="12"/>
    </row>
    <row r="710" ht="13.5" customHeight="1">
      <c r="A710" s="17"/>
      <c r="B710" s="12"/>
      <c r="C710" s="17"/>
      <c r="D710" s="17"/>
      <c r="E710" s="12"/>
      <c r="F710" s="12"/>
      <c r="G710" s="17"/>
      <c r="H710" s="17"/>
      <c r="I710" s="12"/>
      <c r="J710" s="12"/>
      <c r="K710" s="12"/>
      <c r="L710" s="12"/>
      <c r="M710" s="12"/>
      <c r="N710" s="12"/>
    </row>
    <row r="711" ht="13.5" customHeight="1">
      <c r="A711" s="17"/>
      <c r="B711" s="12"/>
      <c r="C711" s="17"/>
      <c r="D711" s="17"/>
      <c r="E711" s="12"/>
      <c r="F711" s="12"/>
      <c r="G711" s="17"/>
      <c r="H711" s="17"/>
      <c r="I711" s="12"/>
      <c r="J711" s="12"/>
      <c r="K711" s="12"/>
      <c r="L711" s="12"/>
      <c r="M711" s="12"/>
      <c r="N711" s="12"/>
    </row>
    <row r="712" ht="13.5" customHeight="1">
      <c r="A712" s="17"/>
      <c r="B712" s="12"/>
      <c r="C712" s="17"/>
      <c r="D712" s="17"/>
      <c r="E712" s="12"/>
      <c r="F712" s="12"/>
      <c r="G712" s="17"/>
      <c r="H712" s="17"/>
      <c r="I712" s="12"/>
      <c r="J712" s="12"/>
      <c r="K712" s="12"/>
      <c r="L712" s="12"/>
      <c r="M712" s="12"/>
      <c r="N712" s="12"/>
    </row>
    <row r="713" ht="13.5" customHeight="1">
      <c r="A713" s="17"/>
      <c r="B713" s="12"/>
      <c r="C713" s="17"/>
      <c r="D713" s="17"/>
      <c r="E713" s="12"/>
      <c r="F713" s="12"/>
      <c r="G713" s="17"/>
      <c r="H713" s="17"/>
      <c r="I713" s="12"/>
      <c r="J713" s="12"/>
      <c r="K713" s="12"/>
      <c r="L713" s="12"/>
      <c r="M713" s="12"/>
      <c r="N713" s="12"/>
    </row>
    <row r="714" ht="13.5" customHeight="1">
      <c r="A714" s="17"/>
      <c r="B714" s="12"/>
      <c r="C714" s="17"/>
      <c r="D714" s="17"/>
      <c r="E714" s="12"/>
      <c r="F714" s="12"/>
      <c r="G714" s="17"/>
      <c r="H714" s="17"/>
      <c r="I714" s="12"/>
      <c r="J714" s="12"/>
      <c r="K714" s="12"/>
      <c r="L714" s="12"/>
      <c r="M714" s="12"/>
      <c r="N714" s="12"/>
    </row>
    <row r="715" ht="13.5" customHeight="1">
      <c r="A715" s="17"/>
      <c r="B715" s="12"/>
      <c r="C715" s="17"/>
      <c r="D715" s="17"/>
      <c r="E715" s="12"/>
      <c r="F715" s="12"/>
      <c r="G715" s="17"/>
      <c r="H715" s="17"/>
      <c r="I715" s="12"/>
      <c r="J715" s="12"/>
      <c r="K715" s="12"/>
      <c r="L715" s="12"/>
      <c r="M715" s="12"/>
      <c r="N715" s="12"/>
    </row>
    <row r="716" ht="13.5" customHeight="1">
      <c r="A716" s="17"/>
      <c r="B716" s="12"/>
      <c r="C716" s="17"/>
      <c r="D716" s="17"/>
      <c r="E716" s="12"/>
      <c r="F716" s="12"/>
      <c r="G716" s="17"/>
      <c r="H716" s="17"/>
      <c r="I716" s="12"/>
      <c r="J716" s="12"/>
      <c r="K716" s="12"/>
      <c r="L716" s="12"/>
      <c r="M716" s="12"/>
      <c r="N716" s="12"/>
    </row>
    <row r="717" ht="13.5" customHeight="1">
      <c r="A717" s="17"/>
      <c r="B717" s="12"/>
      <c r="C717" s="17"/>
      <c r="D717" s="17"/>
      <c r="E717" s="12"/>
      <c r="F717" s="12"/>
      <c r="G717" s="17"/>
      <c r="H717" s="17"/>
      <c r="I717" s="12"/>
      <c r="J717" s="12"/>
      <c r="K717" s="12"/>
      <c r="L717" s="12"/>
      <c r="M717" s="12"/>
      <c r="N717" s="12"/>
    </row>
    <row r="718" ht="13.5" customHeight="1">
      <c r="A718" s="17"/>
      <c r="B718" s="12"/>
      <c r="C718" s="17"/>
      <c r="D718" s="17"/>
      <c r="E718" s="12"/>
      <c r="F718" s="12"/>
      <c r="G718" s="17"/>
      <c r="H718" s="17"/>
      <c r="I718" s="12"/>
      <c r="J718" s="12"/>
      <c r="K718" s="12"/>
      <c r="L718" s="12"/>
      <c r="M718" s="12"/>
      <c r="N718" s="12"/>
    </row>
    <row r="719" ht="13.5" customHeight="1">
      <c r="A719" s="17"/>
      <c r="B719" s="12"/>
      <c r="C719" s="17"/>
      <c r="D719" s="17"/>
      <c r="E719" s="12"/>
      <c r="F719" s="12"/>
      <c r="G719" s="17"/>
      <c r="H719" s="17"/>
      <c r="I719" s="12"/>
      <c r="J719" s="12"/>
      <c r="K719" s="12"/>
      <c r="L719" s="12"/>
      <c r="M719" s="12"/>
      <c r="N719" s="12"/>
    </row>
    <row r="720" ht="13.5" customHeight="1">
      <c r="A720" s="17"/>
      <c r="B720" s="12"/>
      <c r="C720" s="17"/>
      <c r="D720" s="17"/>
      <c r="E720" s="12"/>
      <c r="F720" s="12"/>
      <c r="G720" s="17"/>
      <c r="H720" s="17"/>
      <c r="I720" s="12"/>
      <c r="J720" s="12"/>
      <c r="K720" s="12"/>
      <c r="L720" s="12"/>
      <c r="M720" s="12"/>
      <c r="N720" s="12"/>
    </row>
    <row r="721" ht="13.5" customHeight="1">
      <c r="A721" s="17"/>
      <c r="B721" s="12"/>
      <c r="C721" s="17"/>
      <c r="D721" s="17"/>
      <c r="E721" s="12"/>
      <c r="F721" s="12"/>
      <c r="G721" s="17"/>
      <c r="H721" s="17"/>
      <c r="I721" s="12"/>
      <c r="J721" s="12"/>
      <c r="K721" s="12"/>
      <c r="L721" s="12"/>
      <c r="M721" s="12"/>
      <c r="N721" s="12"/>
    </row>
    <row r="722" ht="13.5" customHeight="1">
      <c r="A722" s="17"/>
      <c r="B722" s="12"/>
      <c r="C722" s="17"/>
      <c r="D722" s="17"/>
      <c r="E722" s="12"/>
      <c r="F722" s="12"/>
      <c r="G722" s="17"/>
      <c r="H722" s="17"/>
      <c r="I722" s="12"/>
      <c r="J722" s="12"/>
      <c r="K722" s="12"/>
      <c r="L722" s="12"/>
      <c r="M722" s="12"/>
      <c r="N722" s="12"/>
    </row>
    <row r="723" ht="13.5" customHeight="1">
      <c r="A723" s="17"/>
      <c r="B723" s="12"/>
      <c r="C723" s="17"/>
      <c r="D723" s="17"/>
      <c r="E723" s="12"/>
      <c r="F723" s="12"/>
      <c r="G723" s="17"/>
      <c r="H723" s="17"/>
      <c r="I723" s="12"/>
      <c r="J723" s="12"/>
      <c r="K723" s="12"/>
      <c r="L723" s="12"/>
      <c r="M723" s="12"/>
      <c r="N723" s="12"/>
    </row>
    <row r="724" ht="13.5" customHeight="1">
      <c r="A724" s="17"/>
      <c r="B724" s="12"/>
      <c r="C724" s="17"/>
      <c r="D724" s="17"/>
      <c r="E724" s="12"/>
      <c r="F724" s="12"/>
      <c r="G724" s="17"/>
      <c r="H724" s="17"/>
      <c r="I724" s="12"/>
      <c r="J724" s="12"/>
      <c r="K724" s="12"/>
      <c r="L724" s="12"/>
      <c r="M724" s="12"/>
      <c r="N724" s="12"/>
    </row>
    <row r="725" ht="13.5" customHeight="1">
      <c r="A725" s="17"/>
      <c r="B725" s="12"/>
      <c r="C725" s="17"/>
      <c r="D725" s="17"/>
      <c r="E725" s="12"/>
      <c r="F725" s="12"/>
      <c r="G725" s="17"/>
      <c r="H725" s="17"/>
      <c r="I725" s="12"/>
      <c r="J725" s="12"/>
      <c r="K725" s="12"/>
      <c r="L725" s="12"/>
      <c r="M725" s="12"/>
      <c r="N725" s="12"/>
    </row>
    <row r="726" ht="13.5" customHeight="1">
      <c r="A726" s="17"/>
      <c r="B726" s="12"/>
      <c r="C726" s="17"/>
      <c r="D726" s="17"/>
      <c r="E726" s="12"/>
      <c r="F726" s="12"/>
      <c r="G726" s="17"/>
      <c r="H726" s="17"/>
      <c r="I726" s="12"/>
      <c r="J726" s="12"/>
      <c r="K726" s="12"/>
      <c r="L726" s="12"/>
      <c r="M726" s="12"/>
      <c r="N726" s="12"/>
    </row>
    <row r="727" ht="13.5" customHeight="1">
      <c r="A727" s="17"/>
      <c r="B727" s="12"/>
      <c r="C727" s="17"/>
      <c r="D727" s="17"/>
      <c r="E727" s="12"/>
      <c r="F727" s="12"/>
      <c r="G727" s="17"/>
      <c r="H727" s="17"/>
      <c r="I727" s="12"/>
      <c r="J727" s="12"/>
      <c r="K727" s="12"/>
      <c r="L727" s="12"/>
      <c r="M727" s="12"/>
      <c r="N727" s="12"/>
    </row>
    <row r="728" ht="13.5" customHeight="1">
      <c r="A728" s="17"/>
      <c r="B728" s="12"/>
      <c r="C728" s="17"/>
      <c r="D728" s="17"/>
      <c r="E728" s="12"/>
      <c r="F728" s="12"/>
      <c r="G728" s="17"/>
      <c r="H728" s="17"/>
      <c r="I728" s="12"/>
      <c r="J728" s="12"/>
      <c r="K728" s="12"/>
      <c r="L728" s="12"/>
      <c r="M728" s="12"/>
      <c r="N728" s="12"/>
    </row>
    <row r="729" ht="13.5" customHeight="1">
      <c r="A729" s="17"/>
      <c r="B729" s="12"/>
      <c r="C729" s="17"/>
      <c r="D729" s="17"/>
      <c r="E729" s="12"/>
      <c r="F729" s="12"/>
      <c r="G729" s="17"/>
      <c r="H729" s="17"/>
      <c r="I729" s="12"/>
      <c r="J729" s="12"/>
      <c r="K729" s="12"/>
      <c r="L729" s="12"/>
      <c r="M729" s="12"/>
      <c r="N729" s="12"/>
    </row>
    <row r="730" ht="13.5" customHeight="1">
      <c r="A730" s="17"/>
      <c r="B730" s="12"/>
      <c r="C730" s="17"/>
      <c r="D730" s="17"/>
      <c r="E730" s="12"/>
      <c r="F730" s="12"/>
      <c r="G730" s="17"/>
      <c r="H730" s="17"/>
      <c r="I730" s="12"/>
      <c r="J730" s="12"/>
      <c r="K730" s="12"/>
      <c r="L730" s="12"/>
      <c r="M730" s="12"/>
      <c r="N730" s="12"/>
    </row>
    <row r="731" ht="13.5" customHeight="1">
      <c r="A731" s="17"/>
      <c r="B731" s="12"/>
      <c r="C731" s="17"/>
      <c r="D731" s="17"/>
      <c r="E731" s="12"/>
      <c r="F731" s="12"/>
      <c r="G731" s="17"/>
      <c r="H731" s="17"/>
      <c r="I731" s="12"/>
      <c r="J731" s="12"/>
      <c r="K731" s="12"/>
      <c r="L731" s="12"/>
      <c r="M731" s="12"/>
      <c r="N731" s="12"/>
    </row>
    <row r="732" ht="13.5" customHeight="1">
      <c r="A732" s="17"/>
      <c r="B732" s="12"/>
      <c r="C732" s="17"/>
      <c r="D732" s="17"/>
      <c r="E732" s="12"/>
      <c r="F732" s="12"/>
      <c r="G732" s="17"/>
      <c r="H732" s="17"/>
      <c r="I732" s="12"/>
      <c r="J732" s="12"/>
      <c r="K732" s="12"/>
      <c r="L732" s="12"/>
      <c r="M732" s="12"/>
      <c r="N732" s="12"/>
    </row>
    <row r="733" ht="13.5" customHeight="1">
      <c r="A733" s="17"/>
      <c r="B733" s="12"/>
      <c r="C733" s="17"/>
      <c r="D733" s="17"/>
      <c r="E733" s="12"/>
      <c r="F733" s="12"/>
      <c r="G733" s="17"/>
      <c r="H733" s="17"/>
      <c r="I733" s="12"/>
      <c r="J733" s="12"/>
      <c r="K733" s="12"/>
      <c r="L733" s="12"/>
      <c r="M733" s="12"/>
      <c r="N733" s="12"/>
    </row>
    <row r="734" ht="13.5" customHeight="1">
      <c r="A734" s="17"/>
      <c r="B734" s="12"/>
      <c r="C734" s="17"/>
      <c r="D734" s="17"/>
      <c r="E734" s="12"/>
      <c r="F734" s="12"/>
      <c r="G734" s="17"/>
      <c r="H734" s="17"/>
      <c r="I734" s="12"/>
      <c r="J734" s="12"/>
      <c r="K734" s="12"/>
      <c r="L734" s="12"/>
      <c r="M734" s="12"/>
      <c r="N734" s="12"/>
    </row>
    <row r="735" ht="13.5" customHeight="1">
      <c r="A735" s="17"/>
      <c r="B735" s="12"/>
      <c r="C735" s="17"/>
      <c r="D735" s="17"/>
      <c r="E735" s="12"/>
      <c r="F735" s="12"/>
      <c r="G735" s="17"/>
      <c r="H735" s="17"/>
      <c r="I735" s="12"/>
      <c r="J735" s="12"/>
      <c r="K735" s="12"/>
      <c r="L735" s="12"/>
      <c r="M735" s="12"/>
      <c r="N735" s="12"/>
    </row>
    <row r="736" ht="13.5" customHeight="1">
      <c r="A736" s="17"/>
      <c r="B736" s="12"/>
      <c r="C736" s="17"/>
      <c r="D736" s="17"/>
      <c r="E736" s="12"/>
      <c r="F736" s="12"/>
      <c r="G736" s="17"/>
      <c r="H736" s="17"/>
      <c r="I736" s="12"/>
      <c r="J736" s="12"/>
      <c r="K736" s="12"/>
      <c r="L736" s="12"/>
      <c r="M736" s="12"/>
      <c r="N736" s="12"/>
    </row>
    <row r="737" ht="13.5" customHeight="1">
      <c r="A737" s="17"/>
      <c r="B737" s="12"/>
      <c r="C737" s="17"/>
      <c r="D737" s="17"/>
      <c r="E737" s="12"/>
      <c r="F737" s="12"/>
      <c r="G737" s="17"/>
      <c r="H737" s="17"/>
      <c r="I737" s="12"/>
      <c r="J737" s="12"/>
      <c r="K737" s="12"/>
      <c r="L737" s="12"/>
      <c r="M737" s="12"/>
      <c r="N737" s="12"/>
    </row>
    <row r="738" ht="13.5" customHeight="1">
      <c r="A738" s="17"/>
      <c r="B738" s="12"/>
      <c r="C738" s="17"/>
      <c r="D738" s="17"/>
      <c r="E738" s="12"/>
      <c r="F738" s="12"/>
      <c r="G738" s="17"/>
      <c r="H738" s="17"/>
      <c r="I738" s="12"/>
      <c r="J738" s="12"/>
      <c r="K738" s="12"/>
      <c r="L738" s="12"/>
      <c r="M738" s="12"/>
      <c r="N738" s="12"/>
    </row>
    <row r="739" ht="13.5" customHeight="1">
      <c r="A739" s="17"/>
      <c r="B739" s="12"/>
      <c r="C739" s="17"/>
      <c r="D739" s="17"/>
      <c r="E739" s="12"/>
      <c r="F739" s="12"/>
      <c r="G739" s="17"/>
      <c r="H739" s="17"/>
      <c r="I739" s="12"/>
      <c r="J739" s="12"/>
      <c r="K739" s="12"/>
      <c r="L739" s="12"/>
      <c r="M739" s="12"/>
      <c r="N739" s="12"/>
    </row>
    <row r="740" ht="13.5" customHeight="1">
      <c r="A740" s="17"/>
      <c r="B740" s="12"/>
      <c r="C740" s="17"/>
      <c r="D740" s="17"/>
      <c r="E740" s="12"/>
      <c r="F740" s="12"/>
      <c r="G740" s="17"/>
      <c r="H740" s="17"/>
      <c r="I740" s="12"/>
      <c r="J740" s="12"/>
      <c r="K740" s="12"/>
      <c r="L740" s="12"/>
      <c r="M740" s="12"/>
      <c r="N740" s="12"/>
    </row>
    <row r="741" ht="13.5" customHeight="1">
      <c r="A741" s="17"/>
      <c r="B741" s="12"/>
      <c r="C741" s="17"/>
      <c r="D741" s="17"/>
      <c r="E741" s="12"/>
      <c r="F741" s="12"/>
      <c r="G741" s="17"/>
      <c r="H741" s="17"/>
      <c r="I741" s="12"/>
      <c r="J741" s="12"/>
      <c r="K741" s="12"/>
      <c r="L741" s="12"/>
      <c r="M741" s="12"/>
      <c r="N741" s="12"/>
    </row>
    <row r="742" ht="13.5" customHeight="1">
      <c r="A742" s="17"/>
      <c r="B742" s="12"/>
      <c r="C742" s="17"/>
      <c r="D742" s="17"/>
      <c r="E742" s="12"/>
      <c r="F742" s="12"/>
      <c r="G742" s="17"/>
      <c r="H742" s="17"/>
      <c r="I742" s="12"/>
      <c r="J742" s="12"/>
      <c r="K742" s="12"/>
      <c r="L742" s="12"/>
      <c r="M742" s="12"/>
      <c r="N742" s="12"/>
    </row>
    <row r="743" ht="13.5" customHeight="1">
      <c r="A743" s="17"/>
      <c r="B743" s="12"/>
      <c r="C743" s="17"/>
      <c r="D743" s="17"/>
      <c r="E743" s="12"/>
      <c r="F743" s="12"/>
      <c r="G743" s="17"/>
      <c r="H743" s="17"/>
      <c r="I743" s="12"/>
      <c r="J743" s="12"/>
      <c r="K743" s="12"/>
      <c r="L743" s="12"/>
      <c r="M743" s="12"/>
      <c r="N743" s="12"/>
    </row>
    <row r="744" ht="13.5" customHeight="1">
      <c r="A744" s="17"/>
      <c r="B744" s="12"/>
      <c r="C744" s="17"/>
      <c r="D744" s="17"/>
      <c r="E744" s="12"/>
      <c r="F744" s="12"/>
      <c r="G744" s="17"/>
      <c r="H744" s="17"/>
      <c r="I744" s="12"/>
      <c r="J744" s="12"/>
      <c r="K744" s="12"/>
      <c r="L744" s="12"/>
      <c r="M744" s="12"/>
      <c r="N744" s="12"/>
    </row>
    <row r="745" ht="13.5" customHeight="1">
      <c r="A745" s="17"/>
      <c r="B745" s="12"/>
      <c r="C745" s="17"/>
      <c r="D745" s="17"/>
      <c r="E745" s="12"/>
      <c r="F745" s="12"/>
      <c r="G745" s="17"/>
      <c r="H745" s="17"/>
      <c r="I745" s="12"/>
      <c r="J745" s="12"/>
      <c r="K745" s="12"/>
      <c r="L745" s="12"/>
      <c r="M745" s="12"/>
      <c r="N745" s="12"/>
    </row>
    <row r="746" ht="13.5" customHeight="1">
      <c r="A746" s="17"/>
      <c r="B746" s="12"/>
      <c r="C746" s="17"/>
      <c r="D746" s="17"/>
      <c r="E746" s="12"/>
      <c r="F746" s="12"/>
      <c r="G746" s="17"/>
      <c r="H746" s="17"/>
      <c r="I746" s="12"/>
      <c r="J746" s="12"/>
      <c r="K746" s="12"/>
      <c r="L746" s="12"/>
      <c r="M746" s="12"/>
      <c r="N746" s="12"/>
    </row>
    <row r="747" ht="13.5" customHeight="1">
      <c r="A747" s="17"/>
      <c r="B747" s="12"/>
      <c r="C747" s="17"/>
      <c r="D747" s="17"/>
      <c r="E747" s="12"/>
      <c r="F747" s="12"/>
      <c r="G747" s="17"/>
      <c r="H747" s="17"/>
      <c r="I747" s="12"/>
      <c r="J747" s="12"/>
      <c r="K747" s="12"/>
      <c r="L747" s="12"/>
      <c r="M747" s="12"/>
      <c r="N747" s="12"/>
    </row>
    <row r="748" ht="13.5" customHeight="1">
      <c r="A748" s="17"/>
      <c r="B748" s="12"/>
      <c r="C748" s="17"/>
      <c r="D748" s="17"/>
      <c r="E748" s="12"/>
      <c r="F748" s="12"/>
      <c r="G748" s="17"/>
      <c r="H748" s="17"/>
      <c r="I748" s="12"/>
      <c r="J748" s="12"/>
      <c r="K748" s="12"/>
      <c r="L748" s="12"/>
      <c r="M748" s="12"/>
      <c r="N748" s="12"/>
    </row>
    <row r="749" ht="13.5" customHeight="1">
      <c r="A749" s="17"/>
      <c r="B749" s="12"/>
      <c r="C749" s="17"/>
      <c r="D749" s="17"/>
      <c r="E749" s="12"/>
      <c r="F749" s="12"/>
      <c r="G749" s="17"/>
      <c r="H749" s="17"/>
      <c r="I749" s="12"/>
      <c r="J749" s="12"/>
      <c r="K749" s="12"/>
      <c r="L749" s="12"/>
      <c r="M749" s="12"/>
      <c r="N749" s="12"/>
    </row>
    <row r="750" ht="13.5" customHeight="1">
      <c r="A750" s="17"/>
      <c r="B750" s="12"/>
      <c r="C750" s="17"/>
      <c r="D750" s="17"/>
      <c r="E750" s="12"/>
      <c r="F750" s="12"/>
      <c r="G750" s="17"/>
      <c r="H750" s="17"/>
      <c r="I750" s="12"/>
      <c r="J750" s="12"/>
      <c r="K750" s="12"/>
      <c r="L750" s="12"/>
      <c r="M750" s="12"/>
      <c r="N750" s="12"/>
    </row>
    <row r="751" ht="13.5" customHeight="1">
      <c r="A751" s="17"/>
      <c r="B751" s="12"/>
      <c r="C751" s="17"/>
      <c r="D751" s="17"/>
      <c r="E751" s="12"/>
      <c r="F751" s="12"/>
      <c r="G751" s="17"/>
      <c r="H751" s="17"/>
      <c r="I751" s="12"/>
      <c r="J751" s="12"/>
      <c r="K751" s="12"/>
      <c r="L751" s="12"/>
      <c r="M751" s="12"/>
      <c r="N751" s="12"/>
    </row>
    <row r="752" ht="13.5" customHeight="1">
      <c r="A752" s="17"/>
      <c r="B752" s="12"/>
      <c r="C752" s="17"/>
      <c r="D752" s="17"/>
      <c r="E752" s="12"/>
      <c r="F752" s="12"/>
      <c r="G752" s="17"/>
      <c r="H752" s="17"/>
      <c r="I752" s="12"/>
      <c r="J752" s="12"/>
      <c r="K752" s="12"/>
      <c r="L752" s="12"/>
      <c r="M752" s="12"/>
      <c r="N752" s="12"/>
    </row>
    <row r="753" ht="13.5" customHeight="1">
      <c r="A753" s="17"/>
      <c r="B753" s="12"/>
      <c r="C753" s="17"/>
      <c r="D753" s="17"/>
      <c r="E753" s="12"/>
      <c r="F753" s="12"/>
      <c r="G753" s="17"/>
      <c r="H753" s="17"/>
      <c r="I753" s="12"/>
      <c r="J753" s="12"/>
      <c r="K753" s="12"/>
      <c r="L753" s="12"/>
      <c r="M753" s="12"/>
      <c r="N753" s="12"/>
    </row>
    <row r="754" ht="13.5" customHeight="1">
      <c r="A754" s="17"/>
      <c r="B754" s="12"/>
      <c r="C754" s="17"/>
      <c r="D754" s="17"/>
      <c r="E754" s="12"/>
      <c r="F754" s="12"/>
      <c r="G754" s="17"/>
      <c r="H754" s="17"/>
      <c r="I754" s="12"/>
      <c r="J754" s="12"/>
      <c r="K754" s="12"/>
      <c r="L754" s="12"/>
      <c r="M754" s="12"/>
      <c r="N754" s="12"/>
    </row>
    <row r="755" ht="13.5" customHeight="1">
      <c r="A755" s="17"/>
      <c r="B755" s="12"/>
      <c r="C755" s="17"/>
      <c r="D755" s="17"/>
      <c r="E755" s="12"/>
      <c r="F755" s="12"/>
      <c r="G755" s="17"/>
      <c r="H755" s="17"/>
      <c r="I755" s="12"/>
      <c r="J755" s="12"/>
      <c r="K755" s="12"/>
      <c r="L755" s="12"/>
      <c r="M755" s="12"/>
      <c r="N755" s="12"/>
    </row>
    <row r="756" ht="13.5" customHeight="1">
      <c r="A756" s="17"/>
      <c r="B756" s="12"/>
      <c r="C756" s="17"/>
      <c r="D756" s="17"/>
      <c r="E756" s="12"/>
      <c r="F756" s="12"/>
      <c r="G756" s="17"/>
      <c r="H756" s="17"/>
      <c r="I756" s="12"/>
      <c r="J756" s="12"/>
      <c r="K756" s="12"/>
      <c r="L756" s="12"/>
      <c r="M756" s="12"/>
      <c r="N756" s="12"/>
    </row>
    <row r="757" ht="13.5" customHeight="1">
      <c r="A757" s="17"/>
      <c r="B757" s="12"/>
      <c r="C757" s="17"/>
      <c r="D757" s="17"/>
      <c r="E757" s="12"/>
      <c r="F757" s="12"/>
      <c r="G757" s="17"/>
      <c r="H757" s="17"/>
      <c r="I757" s="12"/>
      <c r="J757" s="12"/>
      <c r="K757" s="12"/>
      <c r="L757" s="12"/>
      <c r="M757" s="12"/>
      <c r="N757" s="12"/>
    </row>
    <row r="758" ht="13.5" customHeight="1">
      <c r="A758" s="17"/>
      <c r="B758" s="12"/>
      <c r="C758" s="17"/>
      <c r="D758" s="17"/>
      <c r="E758" s="12"/>
      <c r="F758" s="12"/>
      <c r="G758" s="17"/>
      <c r="H758" s="17"/>
      <c r="I758" s="12"/>
      <c r="J758" s="12"/>
      <c r="K758" s="12"/>
      <c r="L758" s="12"/>
      <c r="M758" s="12"/>
      <c r="N758" s="12"/>
    </row>
    <row r="759" ht="13.5" customHeight="1">
      <c r="A759" s="17"/>
      <c r="B759" s="12"/>
      <c r="C759" s="17"/>
      <c r="D759" s="17"/>
      <c r="E759" s="12"/>
      <c r="F759" s="12"/>
      <c r="G759" s="17"/>
      <c r="H759" s="17"/>
      <c r="I759" s="12"/>
      <c r="J759" s="12"/>
      <c r="K759" s="12"/>
      <c r="L759" s="12"/>
      <c r="M759" s="12"/>
      <c r="N759" s="12"/>
    </row>
    <row r="760" ht="13.5" customHeight="1">
      <c r="A760" s="17"/>
      <c r="B760" s="12"/>
      <c r="C760" s="17"/>
      <c r="D760" s="17"/>
      <c r="E760" s="12"/>
      <c r="F760" s="12"/>
      <c r="G760" s="17"/>
      <c r="H760" s="17"/>
      <c r="I760" s="12"/>
      <c r="J760" s="12"/>
      <c r="K760" s="12"/>
      <c r="L760" s="12"/>
      <c r="M760" s="12"/>
      <c r="N760" s="12"/>
    </row>
    <row r="761" ht="13.5" customHeight="1">
      <c r="A761" s="17"/>
      <c r="B761" s="12"/>
      <c r="C761" s="17"/>
      <c r="D761" s="17"/>
      <c r="E761" s="12"/>
      <c r="F761" s="12"/>
      <c r="G761" s="17"/>
      <c r="H761" s="17"/>
      <c r="I761" s="12"/>
      <c r="J761" s="12"/>
      <c r="K761" s="12"/>
      <c r="L761" s="12"/>
      <c r="M761" s="12"/>
      <c r="N761" s="12"/>
    </row>
    <row r="762" ht="13.5" customHeight="1">
      <c r="A762" s="17"/>
      <c r="B762" s="12"/>
      <c r="C762" s="17"/>
      <c r="D762" s="17"/>
      <c r="E762" s="12"/>
      <c r="F762" s="12"/>
      <c r="G762" s="17"/>
      <c r="H762" s="17"/>
      <c r="I762" s="12"/>
      <c r="J762" s="12"/>
      <c r="K762" s="12"/>
      <c r="L762" s="12"/>
      <c r="M762" s="12"/>
      <c r="N762" s="12"/>
    </row>
    <row r="763" ht="13.5" customHeight="1">
      <c r="A763" s="17"/>
      <c r="B763" s="12"/>
      <c r="C763" s="17"/>
      <c r="D763" s="17"/>
      <c r="E763" s="12"/>
      <c r="F763" s="12"/>
      <c r="G763" s="17"/>
      <c r="H763" s="17"/>
      <c r="I763" s="12"/>
      <c r="J763" s="12"/>
      <c r="K763" s="12"/>
      <c r="L763" s="12"/>
      <c r="M763" s="12"/>
      <c r="N763" s="12"/>
    </row>
    <row r="764" ht="13.5" customHeight="1">
      <c r="A764" s="17"/>
      <c r="B764" s="12"/>
      <c r="C764" s="17"/>
      <c r="D764" s="17"/>
      <c r="E764" s="12"/>
      <c r="F764" s="12"/>
      <c r="G764" s="17"/>
      <c r="H764" s="17"/>
      <c r="I764" s="12"/>
      <c r="J764" s="12"/>
      <c r="K764" s="12"/>
      <c r="L764" s="12"/>
      <c r="M764" s="12"/>
      <c r="N764" s="12"/>
    </row>
    <row r="765" ht="13.5" customHeight="1">
      <c r="A765" s="17"/>
      <c r="B765" s="12"/>
      <c r="C765" s="17"/>
      <c r="D765" s="17"/>
      <c r="E765" s="12"/>
      <c r="F765" s="12"/>
      <c r="G765" s="17"/>
      <c r="H765" s="17"/>
      <c r="I765" s="12"/>
      <c r="J765" s="12"/>
      <c r="K765" s="12"/>
      <c r="L765" s="12"/>
      <c r="M765" s="12"/>
      <c r="N765" s="12"/>
    </row>
    <row r="766" ht="13.5" customHeight="1">
      <c r="A766" s="17"/>
      <c r="B766" s="12"/>
      <c r="C766" s="17"/>
      <c r="D766" s="17"/>
      <c r="E766" s="12"/>
      <c r="F766" s="12"/>
      <c r="G766" s="17"/>
      <c r="H766" s="17"/>
      <c r="I766" s="12"/>
      <c r="J766" s="12"/>
      <c r="K766" s="12"/>
      <c r="L766" s="12"/>
      <c r="M766" s="12"/>
      <c r="N766" s="12"/>
    </row>
    <row r="767" ht="13.5" customHeight="1">
      <c r="A767" s="17"/>
      <c r="B767" s="12"/>
      <c r="C767" s="17"/>
      <c r="D767" s="17"/>
      <c r="E767" s="12"/>
      <c r="F767" s="12"/>
      <c r="G767" s="17"/>
      <c r="H767" s="17"/>
      <c r="I767" s="12"/>
      <c r="J767" s="12"/>
      <c r="K767" s="12"/>
      <c r="L767" s="12"/>
      <c r="M767" s="12"/>
      <c r="N767" s="12"/>
    </row>
    <row r="768" ht="13.5" customHeight="1">
      <c r="A768" s="17"/>
      <c r="B768" s="12"/>
      <c r="C768" s="17"/>
      <c r="D768" s="17"/>
      <c r="E768" s="12"/>
      <c r="F768" s="12"/>
      <c r="G768" s="17"/>
      <c r="H768" s="17"/>
      <c r="I768" s="12"/>
      <c r="J768" s="12"/>
      <c r="K768" s="12"/>
      <c r="L768" s="12"/>
      <c r="M768" s="12"/>
      <c r="N768" s="12"/>
    </row>
    <row r="769" ht="13.5" customHeight="1">
      <c r="A769" s="17"/>
      <c r="B769" s="12"/>
      <c r="C769" s="17"/>
      <c r="D769" s="17"/>
      <c r="E769" s="12"/>
      <c r="F769" s="12"/>
      <c r="G769" s="17"/>
      <c r="H769" s="17"/>
      <c r="I769" s="12"/>
      <c r="J769" s="12"/>
      <c r="K769" s="12"/>
      <c r="L769" s="12"/>
      <c r="M769" s="12"/>
      <c r="N769" s="12"/>
    </row>
    <row r="770" ht="13.5" customHeight="1">
      <c r="A770" s="17"/>
      <c r="B770" s="12"/>
      <c r="C770" s="17"/>
      <c r="D770" s="17"/>
      <c r="E770" s="12"/>
      <c r="F770" s="12"/>
      <c r="G770" s="17"/>
      <c r="H770" s="17"/>
      <c r="I770" s="12"/>
      <c r="J770" s="12"/>
      <c r="K770" s="12"/>
      <c r="L770" s="12"/>
      <c r="M770" s="12"/>
      <c r="N770" s="12"/>
    </row>
    <row r="771" ht="13.5" customHeight="1">
      <c r="A771" s="17"/>
      <c r="B771" s="12"/>
      <c r="C771" s="17"/>
      <c r="D771" s="17"/>
      <c r="E771" s="12"/>
      <c r="F771" s="12"/>
      <c r="G771" s="17"/>
      <c r="H771" s="17"/>
      <c r="I771" s="12"/>
      <c r="J771" s="12"/>
      <c r="K771" s="12"/>
      <c r="L771" s="12"/>
      <c r="M771" s="12"/>
      <c r="N771" s="12"/>
    </row>
    <row r="772" ht="13.5" customHeight="1">
      <c r="A772" s="17"/>
      <c r="B772" s="12"/>
      <c r="C772" s="17"/>
      <c r="D772" s="17"/>
      <c r="E772" s="12"/>
      <c r="F772" s="12"/>
      <c r="G772" s="17"/>
      <c r="H772" s="17"/>
      <c r="I772" s="12"/>
      <c r="J772" s="12"/>
      <c r="K772" s="12"/>
      <c r="L772" s="12"/>
      <c r="M772" s="12"/>
      <c r="N772" s="12"/>
    </row>
    <row r="773" ht="13.5" customHeight="1">
      <c r="A773" s="17"/>
      <c r="B773" s="12"/>
      <c r="C773" s="17"/>
      <c r="D773" s="17"/>
      <c r="E773" s="12"/>
      <c r="F773" s="12"/>
      <c r="G773" s="17"/>
      <c r="H773" s="17"/>
      <c r="I773" s="12"/>
      <c r="J773" s="12"/>
      <c r="K773" s="12"/>
      <c r="L773" s="12"/>
      <c r="M773" s="12"/>
      <c r="N773" s="12"/>
    </row>
    <row r="774" ht="13.5" customHeight="1">
      <c r="A774" s="17"/>
      <c r="B774" s="12"/>
      <c r="C774" s="17"/>
      <c r="D774" s="17"/>
      <c r="E774" s="12"/>
      <c r="F774" s="12"/>
      <c r="G774" s="17"/>
      <c r="H774" s="17"/>
      <c r="I774" s="12"/>
      <c r="J774" s="12"/>
      <c r="K774" s="12"/>
      <c r="L774" s="12"/>
      <c r="M774" s="12"/>
      <c r="N774" s="12"/>
    </row>
    <row r="775" ht="13.5" customHeight="1">
      <c r="A775" s="17"/>
      <c r="B775" s="12"/>
      <c r="C775" s="17"/>
      <c r="D775" s="17"/>
      <c r="E775" s="12"/>
      <c r="F775" s="12"/>
      <c r="G775" s="17"/>
      <c r="H775" s="17"/>
      <c r="I775" s="12"/>
      <c r="J775" s="12"/>
      <c r="K775" s="12"/>
      <c r="L775" s="12"/>
      <c r="M775" s="12"/>
      <c r="N775" s="12"/>
    </row>
    <row r="776" ht="13.5" customHeight="1">
      <c r="A776" s="17"/>
      <c r="B776" s="12"/>
      <c r="C776" s="17"/>
      <c r="D776" s="17"/>
      <c r="E776" s="12"/>
      <c r="F776" s="12"/>
      <c r="G776" s="17"/>
      <c r="H776" s="17"/>
      <c r="I776" s="12"/>
      <c r="J776" s="12"/>
      <c r="K776" s="12"/>
      <c r="L776" s="12"/>
      <c r="M776" s="12"/>
      <c r="N776" s="12"/>
    </row>
    <row r="777" ht="13.5" customHeight="1">
      <c r="A777" s="17"/>
      <c r="B777" s="12"/>
      <c r="C777" s="17"/>
      <c r="D777" s="17"/>
      <c r="E777" s="12"/>
      <c r="F777" s="12"/>
      <c r="G777" s="17"/>
      <c r="H777" s="17"/>
      <c r="I777" s="12"/>
      <c r="J777" s="12"/>
      <c r="K777" s="12"/>
      <c r="L777" s="12"/>
      <c r="M777" s="12"/>
      <c r="N777" s="12"/>
    </row>
    <row r="778" ht="13.5" customHeight="1">
      <c r="A778" s="17"/>
      <c r="B778" s="12"/>
      <c r="C778" s="17"/>
      <c r="D778" s="17"/>
      <c r="E778" s="12"/>
      <c r="F778" s="12"/>
      <c r="G778" s="17"/>
      <c r="H778" s="17"/>
      <c r="I778" s="12"/>
      <c r="J778" s="12"/>
      <c r="K778" s="12"/>
      <c r="L778" s="12"/>
      <c r="M778" s="12"/>
      <c r="N778" s="12"/>
    </row>
    <row r="779" ht="13.5" customHeight="1">
      <c r="A779" s="17"/>
      <c r="B779" s="12"/>
      <c r="C779" s="17"/>
      <c r="D779" s="17"/>
      <c r="E779" s="12"/>
      <c r="F779" s="12"/>
      <c r="G779" s="17"/>
      <c r="H779" s="17"/>
      <c r="I779" s="12"/>
      <c r="J779" s="12"/>
      <c r="K779" s="12"/>
      <c r="L779" s="12"/>
      <c r="M779" s="12"/>
      <c r="N779" s="12"/>
    </row>
    <row r="780" ht="13.5" customHeight="1">
      <c r="A780" s="17"/>
      <c r="B780" s="12"/>
      <c r="C780" s="17"/>
      <c r="D780" s="17"/>
      <c r="E780" s="12"/>
      <c r="F780" s="12"/>
      <c r="G780" s="17"/>
      <c r="H780" s="17"/>
      <c r="I780" s="12"/>
      <c r="J780" s="12"/>
      <c r="K780" s="12"/>
      <c r="L780" s="12"/>
      <c r="M780" s="12"/>
      <c r="N780" s="12"/>
    </row>
    <row r="781" ht="13.5" customHeight="1">
      <c r="A781" s="17"/>
      <c r="B781" s="12"/>
      <c r="C781" s="17"/>
      <c r="D781" s="17"/>
      <c r="E781" s="12"/>
      <c r="F781" s="12"/>
      <c r="G781" s="17"/>
      <c r="H781" s="17"/>
      <c r="I781" s="12"/>
      <c r="J781" s="12"/>
      <c r="K781" s="12"/>
      <c r="L781" s="12"/>
      <c r="M781" s="12"/>
      <c r="N781" s="12"/>
    </row>
    <row r="782" ht="13.5" customHeight="1">
      <c r="A782" s="17"/>
      <c r="B782" s="12"/>
      <c r="C782" s="17"/>
      <c r="D782" s="17"/>
      <c r="E782" s="12"/>
      <c r="F782" s="12"/>
      <c r="G782" s="17"/>
      <c r="H782" s="17"/>
      <c r="I782" s="12"/>
      <c r="J782" s="12"/>
      <c r="K782" s="12"/>
      <c r="L782" s="12"/>
      <c r="M782" s="12"/>
      <c r="N782" s="12"/>
    </row>
    <row r="783" ht="13.5" customHeight="1">
      <c r="A783" s="17"/>
      <c r="B783" s="12"/>
      <c r="C783" s="17"/>
      <c r="D783" s="17"/>
      <c r="E783" s="12"/>
      <c r="F783" s="12"/>
      <c r="G783" s="17"/>
      <c r="H783" s="17"/>
      <c r="I783" s="12"/>
      <c r="J783" s="12"/>
      <c r="K783" s="12"/>
      <c r="L783" s="12"/>
      <c r="M783" s="12"/>
      <c r="N783" s="12"/>
    </row>
    <row r="784" ht="13.5" customHeight="1">
      <c r="A784" s="17"/>
      <c r="B784" s="12"/>
      <c r="C784" s="17"/>
      <c r="D784" s="17"/>
      <c r="E784" s="12"/>
      <c r="F784" s="12"/>
      <c r="G784" s="17"/>
      <c r="H784" s="17"/>
      <c r="I784" s="12"/>
      <c r="J784" s="12"/>
      <c r="K784" s="12"/>
      <c r="L784" s="12"/>
      <c r="M784" s="12"/>
      <c r="N784" s="12"/>
    </row>
    <row r="785" ht="13.5" customHeight="1">
      <c r="A785" s="17"/>
      <c r="B785" s="12"/>
      <c r="C785" s="17"/>
      <c r="D785" s="17"/>
      <c r="E785" s="12"/>
      <c r="F785" s="12"/>
      <c r="G785" s="17"/>
      <c r="H785" s="17"/>
      <c r="I785" s="12"/>
      <c r="J785" s="12"/>
      <c r="K785" s="12"/>
      <c r="L785" s="12"/>
      <c r="M785" s="12"/>
      <c r="N785" s="12"/>
    </row>
    <row r="786" ht="13.5" customHeight="1">
      <c r="A786" s="17"/>
      <c r="B786" s="12"/>
      <c r="C786" s="17"/>
      <c r="D786" s="17"/>
      <c r="E786" s="12"/>
      <c r="F786" s="12"/>
      <c r="G786" s="17"/>
      <c r="H786" s="17"/>
      <c r="I786" s="12"/>
      <c r="J786" s="12"/>
      <c r="K786" s="12"/>
      <c r="L786" s="12"/>
      <c r="M786" s="12"/>
      <c r="N786" s="12"/>
    </row>
    <row r="787" ht="13.5" customHeight="1">
      <c r="A787" s="17"/>
      <c r="B787" s="12"/>
      <c r="C787" s="17"/>
      <c r="D787" s="17"/>
      <c r="E787" s="12"/>
      <c r="F787" s="12"/>
      <c r="G787" s="17"/>
      <c r="H787" s="17"/>
      <c r="I787" s="12"/>
      <c r="J787" s="12"/>
      <c r="K787" s="12"/>
      <c r="L787" s="12"/>
      <c r="M787" s="12"/>
      <c r="N787" s="12"/>
    </row>
    <row r="788" ht="13.5" customHeight="1">
      <c r="A788" s="17"/>
      <c r="B788" s="12"/>
      <c r="C788" s="17"/>
      <c r="D788" s="17"/>
      <c r="E788" s="12"/>
      <c r="F788" s="12"/>
      <c r="G788" s="17"/>
      <c r="H788" s="17"/>
      <c r="I788" s="12"/>
      <c r="J788" s="12"/>
      <c r="K788" s="12"/>
      <c r="L788" s="12"/>
      <c r="M788" s="12"/>
      <c r="N788" s="12"/>
    </row>
    <row r="789" ht="13.5" customHeight="1">
      <c r="A789" s="17"/>
      <c r="B789" s="12"/>
      <c r="C789" s="17"/>
      <c r="D789" s="17"/>
      <c r="E789" s="12"/>
      <c r="F789" s="12"/>
      <c r="G789" s="17"/>
      <c r="H789" s="17"/>
      <c r="I789" s="12"/>
      <c r="J789" s="12"/>
      <c r="K789" s="12"/>
      <c r="L789" s="12"/>
      <c r="M789" s="12"/>
      <c r="N789" s="12"/>
    </row>
    <row r="790" ht="13.5" customHeight="1">
      <c r="A790" s="17"/>
      <c r="B790" s="12"/>
      <c r="C790" s="17"/>
      <c r="D790" s="17"/>
      <c r="E790" s="12"/>
      <c r="F790" s="12"/>
      <c r="G790" s="17"/>
      <c r="H790" s="17"/>
      <c r="I790" s="12"/>
      <c r="J790" s="12"/>
      <c r="K790" s="12"/>
      <c r="L790" s="12"/>
      <c r="M790" s="12"/>
      <c r="N790" s="12"/>
    </row>
    <row r="791" ht="13.5" customHeight="1">
      <c r="A791" s="17"/>
      <c r="B791" s="12"/>
      <c r="C791" s="17"/>
      <c r="D791" s="17"/>
      <c r="E791" s="12"/>
      <c r="F791" s="12"/>
      <c r="G791" s="17"/>
      <c r="H791" s="17"/>
      <c r="I791" s="12"/>
      <c r="J791" s="12"/>
      <c r="K791" s="12"/>
      <c r="L791" s="12"/>
      <c r="M791" s="12"/>
      <c r="N791" s="12"/>
    </row>
    <row r="792" ht="13.5" customHeight="1">
      <c r="A792" s="17"/>
      <c r="B792" s="12"/>
      <c r="C792" s="17"/>
      <c r="D792" s="17"/>
      <c r="E792" s="12"/>
      <c r="F792" s="12"/>
      <c r="G792" s="17"/>
      <c r="H792" s="17"/>
      <c r="I792" s="12"/>
      <c r="J792" s="12"/>
      <c r="K792" s="12"/>
      <c r="L792" s="12"/>
      <c r="M792" s="12"/>
      <c r="N792" s="12"/>
    </row>
    <row r="793" ht="13.5" customHeight="1">
      <c r="A793" s="17"/>
      <c r="B793" s="12"/>
      <c r="C793" s="17"/>
      <c r="D793" s="17"/>
      <c r="E793" s="12"/>
      <c r="F793" s="12"/>
      <c r="G793" s="17"/>
      <c r="H793" s="17"/>
      <c r="I793" s="12"/>
      <c r="J793" s="12"/>
      <c r="K793" s="12"/>
      <c r="L793" s="12"/>
      <c r="M793" s="12"/>
      <c r="N793" s="12"/>
    </row>
    <row r="794" ht="13.5" customHeight="1">
      <c r="A794" s="17"/>
      <c r="B794" s="12"/>
      <c r="C794" s="17"/>
      <c r="D794" s="17"/>
      <c r="E794" s="12"/>
      <c r="F794" s="12"/>
      <c r="G794" s="17"/>
      <c r="H794" s="17"/>
      <c r="I794" s="12"/>
      <c r="J794" s="12"/>
      <c r="K794" s="12"/>
      <c r="L794" s="12"/>
      <c r="M794" s="12"/>
      <c r="N794" s="12"/>
    </row>
    <row r="795" ht="13.5" customHeight="1">
      <c r="A795" s="17"/>
      <c r="B795" s="12"/>
      <c r="C795" s="17"/>
      <c r="D795" s="17"/>
      <c r="E795" s="12"/>
      <c r="F795" s="12"/>
      <c r="G795" s="17"/>
      <c r="H795" s="17"/>
      <c r="I795" s="12"/>
      <c r="J795" s="12"/>
      <c r="K795" s="12"/>
      <c r="L795" s="12"/>
      <c r="M795" s="12"/>
      <c r="N795" s="12"/>
    </row>
    <row r="796" ht="13.5" customHeight="1">
      <c r="A796" s="17"/>
      <c r="B796" s="12"/>
      <c r="C796" s="17"/>
      <c r="D796" s="17"/>
      <c r="E796" s="12"/>
      <c r="F796" s="12"/>
      <c r="G796" s="17"/>
      <c r="H796" s="17"/>
      <c r="I796" s="12"/>
      <c r="J796" s="12"/>
      <c r="K796" s="12"/>
      <c r="L796" s="12"/>
      <c r="M796" s="12"/>
      <c r="N796" s="12"/>
    </row>
    <row r="797" ht="13.5" customHeight="1">
      <c r="A797" s="17"/>
      <c r="B797" s="12"/>
      <c r="C797" s="17"/>
      <c r="D797" s="17"/>
      <c r="E797" s="12"/>
      <c r="F797" s="12"/>
      <c r="G797" s="17"/>
      <c r="H797" s="17"/>
      <c r="I797" s="12"/>
      <c r="J797" s="12"/>
      <c r="K797" s="12"/>
      <c r="L797" s="12"/>
      <c r="M797" s="12"/>
      <c r="N797" s="12"/>
    </row>
    <row r="798" ht="13.5" customHeight="1">
      <c r="A798" s="17"/>
      <c r="B798" s="12"/>
      <c r="C798" s="17"/>
      <c r="D798" s="17"/>
      <c r="E798" s="12"/>
      <c r="F798" s="12"/>
      <c r="G798" s="17"/>
      <c r="H798" s="17"/>
      <c r="I798" s="12"/>
      <c r="J798" s="12"/>
      <c r="K798" s="12"/>
      <c r="L798" s="12"/>
      <c r="M798" s="12"/>
      <c r="N798" s="12"/>
    </row>
    <row r="799" ht="13.5" customHeight="1">
      <c r="A799" s="17"/>
      <c r="B799" s="12"/>
      <c r="C799" s="17"/>
      <c r="D799" s="17"/>
      <c r="E799" s="12"/>
      <c r="F799" s="12"/>
      <c r="G799" s="17"/>
      <c r="H799" s="17"/>
      <c r="I799" s="12"/>
      <c r="J799" s="12"/>
      <c r="K799" s="12"/>
      <c r="L799" s="12"/>
      <c r="M799" s="12"/>
      <c r="N799" s="12"/>
    </row>
    <row r="800" ht="13.5" customHeight="1">
      <c r="A800" s="17"/>
      <c r="B800" s="12"/>
      <c r="C800" s="17"/>
      <c r="D800" s="17"/>
      <c r="E800" s="12"/>
      <c r="F800" s="12"/>
      <c r="G800" s="17"/>
      <c r="H800" s="17"/>
      <c r="I800" s="12"/>
      <c r="J800" s="12"/>
      <c r="K800" s="12"/>
      <c r="L800" s="12"/>
      <c r="M800" s="12"/>
      <c r="N800" s="12"/>
    </row>
    <row r="801" ht="13.5" customHeight="1">
      <c r="A801" s="17"/>
      <c r="B801" s="12"/>
      <c r="C801" s="17"/>
      <c r="D801" s="17"/>
      <c r="E801" s="12"/>
      <c r="F801" s="12"/>
      <c r="G801" s="17"/>
      <c r="H801" s="17"/>
      <c r="I801" s="12"/>
      <c r="J801" s="12"/>
      <c r="K801" s="12"/>
      <c r="L801" s="12"/>
      <c r="M801" s="12"/>
      <c r="N801" s="12"/>
    </row>
    <row r="802" ht="13.5" customHeight="1">
      <c r="A802" s="17"/>
      <c r="B802" s="12"/>
      <c r="C802" s="17"/>
      <c r="D802" s="17"/>
      <c r="E802" s="12"/>
      <c r="F802" s="12"/>
      <c r="G802" s="17"/>
      <c r="H802" s="17"/>
      <c r="I802" s="12"/>
      <c r="J802" s="12"/>
      <c r="K802" s="12"/>
      <c r="L802" s="12"/>
      <c r="M802" s="12"/>
      <c r="N802" s="12"/>
    </row>
    <row r="803" ht="13.5" customHeight="1">
      <c r="A803" s="17"/>
      <c r="B803" s="12"/>
      <c r="C803" s="17"/>
      <c r="D803" s="17"/>
      <c r="E803" s="12"/>
      <c r="F803" s="12"/>
      <c r="G803" s="17"/>
      <c r="H803" s="17"/>
      <c r="I803" s="12"/>
      <c r="J803" s="12"/>
      <c r="K803" s="12"/>
      <c r="L803" s="12"/>
      <c r="M803" s="12"/>
      <c r="N803" s="12"/>
    </row>
    <row r="804" ht="13.5" customHeight="1">
      <c r="A804" s="17"/>
      <c r="B804" s="12"/>
      <c r="C804" s="17"/>
      <c r="D804" s="17"/>
      <c r="E804" s="12"/>
      <c r="F804" s="12"/>
      <c r="G804" s="17"/>
      <c r="H804" s="17"/>
      <c r="I804" s="12"/>
      <c r="J804" s="12"/>
      <c r="K804" s="12"/>
      <c r="L804" s="12"/>
      <c r="M804" s="12"/>
      <c r="N804" s="12"/>
    </row>
    <row r="805" ht="13.5" customHeight="1">
      <c r="A805" s="17"/>
      <c r="B805" s="12"/>
      <c r="C805" s="17"/>
      <c r="D805" s="17"/>
      <c r="E805" s="12"/>
      <c r="F805" s="12"/>
      <c r="G805" s="17"/>
      <c r="H805" s="17"/>
      <c r="I805" s="12"/>
      <c r="J805" s="12"/>
      <c r="K805" s="12"/>
      <c r="L805" s="12"/>
      <c r="M805" s="12"/>
      <c r="N805" s="12"/>
    </row>
    <row r="806" ht="13.5" customHeight="1">
      <c r="A806" s="17"/>
      <c r="B806" s="12"/>
      <c r="C806" s="17"/>
      <c r="D806" s="17"/>
      <c r="E806" s="12"/>
      <c r="F806" s="12"/>
      <c r="G806" s="17"/>
      <c r="H806" s="17"/>
      <c r="I806" s="12"/>
      <c r="J806" s="12"/>
      <c r="K806" s="12"/>
      <c r="L806" s="12"/>
      <c r="M806" s="12"/>
      <c r="N806" s="12"/>
    </row>
    <row r="807" ht="13.5" customHeight="1">
      <c r="A807" s="17"/>
      <c r="B807" s="12"/>
      <c r="C807" s="17"/>
      <c r="D807" s="17"/>
      <c r="E807" s="12"/>
      <c r="F807" s="12"/>
      <c r="G807" s="17"/>
      <c r="H807" s="17"/>
      <c r="I807" s="12"/>
      <c r="J807" s="12"/>
      <c r="K807" s="12"/>
      <c r="L807" s="12"/>
      <c r="M807" s="12"/>
      <c r="N807" s="12"/>
    </row>
    <row r="808" ht="13.5" customHeight="1">
      <c r="A808" s="17"/>
      <c r="B808" s="12"/>
      <c r="C808" s="17"/>
      <c r="D808" s="17"/>
      <c r="E808" s="12"/>
      <c r="F808" s="12"/>
      <c r="G808" s="17"/>
      <c r="H808" s="17"/>
      <c r="I808" s="12"/>
      <c r="J808" s="12"/>
      <c r="K808" s="12"/>
      <c r="L808" s="12"/>
      <c r="M808" s="12"/>
      <c r="N808" s="12"/>
    </row>
    <row r="809" ht="13.5" customHeight="1">
      <c r="A809" s="17"/>
      <c r="B809" s="12"/>
      <c r="C809" s="17"/>
      <c r="D809" s="17"/>
      <c r="E809" s="12"/>
      <c r="F809" s="12"/>
      <c r="G809" s="17"/>
      <c r="H809" s="17"/>
      <c r="I809" s="12"/>
      <c r="J809" s="12"/>
      <c r="K809" s="12"/>
      <c r="L809" s="12"/>
      <c r="M809" s="12"/>
      <c r="N809" s="12"/>
    </row>
    <row r="810" ht="13.5" customHeight="1">
      <c r="A810" s="17"/>
      <c r="B810" s="12"/>
      <c r="C810" s="17"/>
      <c r="D810" s="17"/>
      <c r="E810" s="12"/>
      <c r="F810" s="12"/>
      <c r="G810" s="17"/>
      <c r="H810" s="17"/>
      <c r="I810" s="12"/>
      <c r="J810" s="12"/>
      <c r="K810" s="12"/>
      <c r="L810" s="12"/>
      <c r="M810" s="12"/>
      <c r="N810" s="12"/>
    </row>
    <row r="811" ht="13.5" customHeight="1">
      <c r="A811" s="17"/>
      <c r="B811" s="12"/>
      <c r="C811" s="17"/>
      <c r="D811" s="17"/>
      <c r="E811" s="12"/>
      <c r="F811" s="12"/>
      <c r="G811" s="17"/>
      <c r="H811" s="17"/>
      <c r="I811" s="12"/>
      <c r="J811" s="12"/>
      <c r="K811" s="12"/>
      <c r="L811" s="12"/>
      <c r="M811" s="12"/>
      <c r="N811" s="12"/>
    </row>
    <row r="812" ht="13.5" customHeight="1">
      <c r="A812" s="17"/>
      <c r="B812" s="12"/>
      <c r="C812" s="17"/>
      <c r="D812" s="17"/>
      <c r="E812" s="12"/>
      <c r="F812" s="12"/>
      <c r="G812" s="17"/>
      <c r="H812" s="17"/>
      <c r="I812" s="12"/>
      <c r="J812" s="12"/>
      <c r="K812" s="12"/>
      <c r="L812" s="12"/>
      <c r="M812" s="12"/>
      <c r="N812" s="12"/>
    </row>
    <row r="813" ht="13.5" customHeight="1">
      <c r="A813" s="17"/>
      <c r="B813" s="12"/>
      <c r="C813" s="17"/>
      <c r="D813" s="17"/>
      <c r="E813" s="12"/>
      <c r="F813" s="12"/>
      <c r="G813" s="17"/>
      <c r="H813" s="17"/>
      <c r="I813" s="12"/>
      <c r="J813" s="12"/>
      <c r="K813" s="12"/>
      <c r="L813" s="12"/>
      <c r="M813" s="12"/>
      <c r="N813" s="12"/>
    </row>
    <row r="814" ht="13.5" customHeight="1">
      <c r="A814" s="17"/>
      <c r="B814" s="12"/>
      <c r="C814" s="17"/>
      <c r="D814" s="17"/>
      <c r="E814" s="12"/>
      <c r="F814" s="12"/>
      <c r="G814" s="17"/>
      <c r="H814" s="17"/>
      <c r="I814" s="12"/>
      <c r="J814" s="12"/>
      <c r="K814" s="12"/>
      <c r="L814" s="12"/>
      <c r="M814" s="12"/>
      <c r="N814" s="12"/>
    </row>
    <row r="815" ht="13.5" customHeight="1">
      <c r="A815" s="17"/>
      <c r="B815" s="12"/>
      <c r="C815" s="17"/>
      <c r="D815" s="17"/>
      <c r="E815" s="12"/>
      <c r="F815" s="12"/>
      <c r="G815" s="17"/>
      <c r="H815" s="17"/>
      <c r="I815" s="12"/>
      <c r="J815" s="12"/>
      <c r="K815" s="12"/>
      <c r="L815" s="12"/>
      <c r="M815" s="12"/>
      <c r="N815" s="12"/>
    </row>
    <row r="816" ht="13.5" customHeight="1">
      <c r="A816" s="17"/>
      <c r="B816" s="12"/>
      <c r="C816" s="17"/>
      <c r="D816" s="17"/>
      <c r="E816" s="12"/>
      <c r="F816" s="12"/>
      <c r="G816" s="17"/>
      <c r="H816" s="17"/>
      <c r="I816" s="12"/>
      <c r="J816" s="12"/>
      <c r="K816" s="12"/>
      <c r="L816" s="12"/>
      <c r="M816" s="12"/>
      <c r="N816" s="12"/>
    </row>
    <row r="817" ht="13.5" customHeight="1">
      <c r="A817" s="17"/>
      <c r="B817" s="12"/>
      <c r="C817" s="17"/>
      <c r="D817" s="17"/>
      <c r="E817" s="12"/>
      <c r="F817" s="12"/>
      <c r="G817" s="17"/>
      <c r="H817" s="17"/>
      <c r="I817" s="12"/>
      <c r="J817" s="12"/>
      <c r="K817" s="12"/>
      <c r="L817" s="12"/>
      <c r="M817" s="12"/>
      <c r="N817" s="12"/>
    </row>
    <row r="818" ht="13.5" customHeight="1">
      <c r="A818" s="17"/>
      <c r="B818" s="12"/>
      <c r="C818" s="17"/>
      <c r="D818" s="17"/>
      <c r="E818" s="12"/>
      <c r="F818" s="12"/>
      <c r="G818" s="17"/>
      <c r="H818" s="17"/>
      <c r="I818" s="12"/>
      <c r="J818" s="12"/>
      <c r="K818" s="12"/>
      <c r="L818" s="12"/>
      <c r="M818" s="12"/>
      <c r="N818" s="12"/>
    </row>
    <row r="819" ht="13.5" customHeight="1">
      <c r="A819" s="17"/>
      <c r="B819" s="12"/>
      <c r="C819" s="17"/>
      <c r="D819" s="17"/>
      <c r="E819" s="12"/>
      <c r="F819" s="12"/>
      <c r="G819" s="17"/>
      <c r="H819" s="17"/>
      <c r="I819" s="12"/>
      <c r="J819" s="12"/>
      <c r="K819" s="12"/>
      <c r="L819" s="12"/>
      <c r="M819" s="12"/>
      <c r="N819" s="12"/>
    </row>
    <row r="820" ht="13.5" customHeight="1">
      <c r="A820" s="17"/>
      <c r="B820" s="12"/>
      <c r="C820" s="17"/>
      <c r="D820" s="17"/>
      <c r="E820" s="12"/>
      <c r="F820" s="12"/>
      <c r="G820" s="17"/>
      <c r="H820" s="17"/>
      <c r="I820" s="12"/>
      <c r="J820" s="12"/>
      <c r="K820" s="12"/>
      <c r="L820" s="12"/>
      <c r="M820" s="12"/>
      <c r="N820" s="12"/>
    </row>
    <row r="821" ht="13.5" customHeight="1">
      <c r="A821" s="17"/>
      <c r="B821" s="12"/>
      <c r="C821" s="17"/>
      <c r="D821" s="17"/>
      <c r="E821" s="12"/>
      <c r="F821" s="12"/>
      <c r="G821" s="17"/>
      <c r="H821" s="17"/>
      <c r="I821" s="12"/>
      <c r="J821" s="12"/>
      <c r="K821" s="12"/>
      <c r="L821" s="12"/>
      <c r="M821" s="12"/>
      <c r="N821" s="12"/>
    </row>
    <row r="822" ht="13.5" customHeight="1">
      <c r="A822" s="17"/>
      <c r="B822" s="12"/>
      <c r="C822" s="17"/>
      <c r="D822" s="17"/>
      <c r="E822" s="12"/>
      <c r="F822" s="12"/>
      <c r="G822" s="17"/>
      <c r="H822" s="17"/>
      <c r="I822" s="12"/>
      <c r="J822" s="12"/>
      <c r="K822" s="12"/>
      <c r="L822" s="12"/>
      <c r="M822" s="12"/>
      <c r="N822" s="12"/>
    </row>
    <row r="823" ht="13.5" customHeight="1">
      <c r="A823" s="17"/>
      <c r="B823" s="12"/>
      <c r="C823" s="17"/>
      <c r="D823" s="17"/>
      <c r="E823" s="12"/>
      <c r="F823" s="12"/>
      <c r="G823" s="17"/>
      <c r="H823" s="17"/>
      <c r="I823" s="12"/>
      <c r="J823" s="12"/>
      <c r="K823" s="12"/>
      <c r="L823" s="12"/>
      <c r="M823" s="12"/>
      <c r="N823" s="12"/>
    </row>
    <row r="824" ht="13.5" customHeight="1">
      <c r="A824" s="17"/>
      <c r="B824" s="12"/>
      <c r="C824" s="17"/>
      <c r="D824" s="17"/>
      <c r="E824" s="12"/>
      <c r="F824" s="12"/>
      <c r="G824" s="17"/>
      <c r="H824" s="17"/>
      <c r="I824" s="12"/>
      <c r="J824" s="12"/>
      <c r="K824" s="12"/>
      <c r="L824" s="12"/>
      <c r="M824" s="12"/>
      <c r="N824" s="12"/>
    </row>
    <row r="825" ht="13.5" customHeight="1">
      <c r="A825" s="17"/>
      <c r="B825" s="12"/>
      <c r="C825" s="17"/>
      <c r="D825" s="17"/>
      <c r="E825" s="12"/>
      <c r="F825" s="12"/>
      <c r="G825" s="17"/>
      <c r="H825" s="17"/>
      <c r="I825" s="12"/>
      <c r="J825" s="12"/>
      <c r="K825" s="12"/>
      <c r="L825" s="12"/>
      <c r="M825" s="12"/>
      <c r="N825" s="12"/>
    </row>
    <row r="826" ht="13.5" customHeight="1">
      <c r="A826" s="17"/>
      <c r="B826" s="12"/>
      <c r="C826" s="17"/>
      <c r="D826" s="17"/>
      <c r="E826" s="12"/>
      <c r="F826" s="12"/>
      <c r="G826" s="17"/>
      <c r="H826" s="17"/>
      <c r="I826" s="12"/>
      <c r="J826" s="12"/>
      <c r="K826" s="12"/>
      <c r="L826" s="12"/>
      <c r="M826" s="12"/>
      <c r="N826" s="12"/>
    </row>
    <row r="827" ht="13.5" customHeight="1">
      <c r="A827" s="17"/>
      <c r="B827" s="12"/>
      <c r="C827" s="17"/>
      <c r="D827" s="17"/>
      <c r="E827" s="12"/>
      <c r="F827" s="12"/>
      <c r="G827" s="17"/>
      <c r="H827" s="17"/>
      <c r="I827" s="12"/>
      <c r="J827" s="12"/>
      <c r="K827" s="12"/>
      <c r="L827" s="12"/>
      <c r="M827" s="12"/>
      <c r="N827" s="12"/>
    </row>
    <row r="828" ht="13.5" customHeight="1">
      <c r="A828" s="17"/>
      <c r="B828" s="12"/>
      <c r="C828" s="17"/>
      <c r="D828" s="17"/>
      <c r="E828" s="12"/>
      <c r="F828" s="12"/>
      <c r="G828" s="17"/>
      <c r="H828" s="17"/>
      <c r="I828" s="12"/>
      <c r="J828" s="12"/>
      <c r="K828" s="12"/>
      <c r="L828" s="12"/>
      <c r="M828" s="12"/>
      <c r="N828" s="12"/>
    </row>
    <row r="829" ht="13.5" customHeight="1">
      <c r="A829" s="17"/>
      <c r="B829" s="12"/>
      <c r="C829" s="17"/>
      <c r="D829" s="17"/>
      <c r="E829" s="12"/>
      <c r="F829" s="12"/>
      <c r="G829" s="17"/>
      <c r="H829" s="17"/>
      <c r="I829" s="12"/>
      <c r="J829" s="12"/>
      <c r="K829" s="12"/>
      <c r="L829" s="12"/>
      <c r="M829" s="12"/>
      <c r="N829" s="12"/>
    </row>
    <row r="830" ht="13.5" customHeight="1">
      <c r="A830" s="17"/>
      <c r="B830" s="12"/>
      <c r="C830" s="17"/>
      <c r="D830" s="17"/>
      <c r="E830" s="12"/>
      <c r="F830" s="12"/>
      <c r="G830" s="17"/>
      <c r="H830" s="17"/>
      <c r="I830" s="12"/>
      <c r="J830" s="12"/>
      <c r="K830" s="12"/>
      <c r="L830" s="12"/>
      <c r="M830" s="12"/>
      <c r="N830" s="12"/>
    </row>
    <row r="831" ht="13.5" customHeight="1">
      <c r="A831" s="17"/>
      <c r="B831" s="12"/>
      <c r="C831" s="17"/>
      <c r="D831" s="17"/>
      <c r="E831" s="12"/>
      <c r="F831" s="12"/>
      <c r="G831" s="17"/>
      <c r="H831" s="17"/>
      <c r="I831" s="12"/>
      <c r="J831" s="12"/>
      <c r="K831" s="12"/>
      <c r="L831" s="12"/>
      <c r="M831" s="12"/>
      <c r="N831" s="12"/>
    </row>
    <row r="832" ht="13.5" customHeight="1">
      <c r="A832" s="17"/>
      <c r="B832" s="12"/>
      <c r="C832" s="17"/>
      <c r="D832" s="17"/>
      <c r="E832" s="12"/>
      <c r="F832" s="12"/>
      <c r="G832" s="17"/>
      <c r="H832" s="17"/>
      <c r="I832" s="12"/>
      <c r="J832" s="12"/>
      <c r="K832" s="12"/>
      <c r="L832" s="12"/>
      <c r="M832" s="12"/>
      <c r="N832" s="12"/>
    </row>
    <row r="833" ht="13.5" customHeight="1">
      <c r="A833" s="17"/>
      <c r="B833" s="12"/>
      <c r="C833" s="17"/>
      <c r="D833" s="17"/>
      <c r="E833" s="12"/>
      <c r="F833" s="12"/>
      <c r="G833" s="17"/>
      <c r="H833" s="17"/>
      <c r="I833" s="12"/>
      <c r="J833" s="12"/>
      <c r="K833" s="12"/>
      <c r="L833" s="12"/>
      <c r="M833" s="12"/>
      <c r="N833" s="12"/>
    </row>
    <row r="834" ht="13.5" customHeight="1">
      <c r="A834" s="17"/>
      <c r="B834" s="12"/>
      <c r="C834" s="17"/>
      <c r="D834" s="17"/>
      <c r="E834" s="12"/>
      <c r="F834" s="12"/>
      <c r="G834" s="17"/>
      <c r="H834" s="17"/>
      <c r="I834" s="12"/>
      <c r="J834" s="12"/>
      <c r="K834" s="12"/>
      <c r="L834" s="12"/>
      <c r="M834" s="12"/>
      <c r="N834" s="12"/>
    </row>
    <row r="835" ht="13.5" customHeight="1">
      <c r="A835" s="17"/>
      <c r="B835" s="12"/>
      <c r="C835" s="17"/>
      <c r="D835" s="17"/>
      <c r="E835" s="12"/>
      <c r="F835" s="12"/>
      <c r="G835" s="17"/>
      <c r="H835" s="17"/>
      <c r="I835" s="12"/>
      <c r="J835" s="12"/>
      <c r="K835" s="12"/>
      <c r="L835" s="12"/>
      <c r="M835" s="12"/>
      <c r="N835" s="12"/>
    </row>
    <row r="836" ht="13.5" customHeight="1">
      <c r="A836" s="17"/>
      <c r="B836" s="12"/>
      <c r="C836" s="17"/>
      <c r="D836" s="17"/>
      <c r="E836" s="12"/>
      <c r="F836" s="12"/>
      <c r="G836" s="17"/>
      <c r="H836" s="17"/>
      <c r="I836" s="12"/>
      <c r="J836" s="12"/>
      <c r="K836" s="12"/>
      <c r="L836" s="12"/>
      <c r="M836" s="12"/>
      <c r="N836" s="12"/>
    </row>
    <row r="837" ht="13.5" customHeight="1">
      <c r="A837" s="17"/>
      <c r="B837" s="12"/>
      <c r="C837" s="17"/>
      <c r="D837" s="17"/>
      <c r="E837" s="12"/>
      <c r="F837" s="12"/>
      <c r="G837" s="17"/>
      <c r="H837" s="17"/>
      <c r="I837" s="12"/>
      <c r="J837" s="12"/>
      <c r="K837" s="12"/>
      <c r="L837" s="12"/>
      <c r="M837" s="12"/>
      <c r="N837" s="12"/>
    </row>
    <row r="838" ht="13.5" customHeight="1">
      <c r="A838" s="17"/>
      <c r="B838" s="12"/>
      <c r="C838" s="17"/>
      <c r="D838" s="17"/>
      <c r="E838" s="12"/>
      <c r="F838" s="12"/>
      <c r="G838" s="17"/>
      <c r="H838" s="17"/>
      <c r="I838" s="12"/>
      <c r="J838" s="12"/>
      <c r="K838" s="12"/>
      <c r="L838" s="12"/>
      <c r="M838" s="12"/>
      <c r="N838" s="12"/>
    </row>
    <row r="839" ht="13.5" customHeight="1">
      <c r="A839" s="17"/>
      <c r="B839" s="12"/>
      <c r="C839" s="17"/>
      <c r="D839" s="17"/>
      <c r="E839" s="12"/>
      <c r="F839" s="12"/>
      <c r="G839" s="17"/>
      <c r="H839" s="17"/>
      <c r="I839" s="12"/>
      <c r="J839" s="12"/>
      <c r="K839" s="12"/>
      <c r="L839" s="12"/>
      <c r="M839" s="12"/>
      <c r="N839" s="12"/>
    </row>
    <row r="840" ht="13.5" customHeight="1">
      <c r="A840" s="17"/>
      <c r="B840" s="12"/>
      <c r="C840" s="17"/>
      <c r="D840" s="17"/>
      <c r="E840" s="12"/>
      <c r="F840" s="12"/>
      <c r="G840" s="17"/>
      <c r="H840" s="17"/>
      <c r="I840" s="12"/>
      <c r="J840" s="12"/>
      <c r="K840" s="12"/>
      <c r="L840" s="12"/>
      <c r="M840" s="12"/>
      <c r="N840" s="12"/>
    </row>
    <row r="841" ht="13.5" customHeight="1">
      <c r="A841" s="17"/>
      <c r="B841" s="12"/>
      <c r="C841" s="17"/>
      <c r="D841" s="17"/>
      <c r="E841" s="12"/>
      <c r="F841" s="12"/>
      <c r="G841" s="17"/>
      <c r="H841" s="17"/>
      <c r="I841" s="12"/>
      <c r="J841" s="12"/>
      <c r="K841" s="12"/>
      <c r="L841" s="12"/>
      <c r="M841" s="12"/>
      <c r="N841" s="12"/>
    </row>
    <row r="842" ht="13.5" customHeight="1">
      <c r="A842" s="17"/>
      <c r="B842" s="12"/>
      <c r="C842" s="17"/>
      <c r="D842" s="17"/>
      <c r="E842" s="12"/>
      <c r="F842" s="12"/>
      <c r="G842" s="17"/>
      <c r="H842" s="17"/>
      <c r="I842" s="12"/>
      <c r="J842" s="12"/>
      <c r="K842" s="12"/>
      <c r="L842" s="12"/>
      <c r="M842" s="12"/>
      <c r="N842" s="12"/>
    </row>
    <row r="843" ht="13.5" customHeight="1">
      <c r="A843" s="17"/>
      <c r="B843" s="12"/>
      <c r="C843" s="17"/>
      <c r="D843" s="17"/>
      <c r="E843" s="12"/>
      <c r="F843" s="12"/>
      <c r="G843" s="17"/>
      <c r="H843" s="17"/>
      <c r="I843" s="12"/>
      <c r="J843" s="12"/>
      <c r="K843" s="12"/>
      <c r="L843" s="12"/>
      <c r="M843" s="12"/>
      <c r="N843" s="12"/>
    </row>
    <row r="844" ht="13.5" customHeight="1">
      <c r="A844" s="17"/>
      <c r="B844" s="12"/>
      <c r="C844" s="17"/>
      <c r="D844" s="17"/>
      <c r="E844" s="12"/>
      <c r="F844" s="12"/>
      <c r="G844" s="17"/>
      <c r="H844" s="17"/>
      <c r="I844" s="12"/>
      <c r="J844" s="12"/>
      <c r="K844" s="12"/>
      <c r="L844" s="12"/>
      <c r="M844" s="12"/>
      <c r="N844" s="12"/>
    </row>
    <row r="845" ht="13.5" customHeight="1">
      <c r="A845" s="17"/>
      <c r="B845" s="12"/>
      <c r="C845" s="17"/>
      <c r="D845" s="17"/>
      <c r="E845" s="12"/>
      <c r="F845" s="12"/>
      <c r="G845" s="17"/>
      <c r="H845" s="17"/>
      <c r="I845" s="12"/>
      <c r="J845" s="12"/>
      <c r="K845" s="12"/>
      <c r="L845" s="12"/>
      <c r="M845" s="12"/>
      <c r="N845" s="12"/>
    </row>
    <row r="846" ht="13.5" customHeight="1">
      <c r="A846" s="17"/>
      <c r="B846" s="12"/>
      <c r="C846" s="17"/>
      <c r="D846" s="17"/>
      <c r="E846" s="12"/>
      <c r="F846" s="12"/>
      <c r="G846" s="17"/>
      <c r="H846" s="17"/>
      <c r="I846" s="12"/>
      <c r="J846" s="12"/>
      <c r="K846" s="12"/>
      <c r="L846" s="12"/>
      <c r="M846" s="12"/>
      <c r="N846" s="12"/>
    </row>
    <row r="847" ht="13.5" customHeight="1">
      <c r="A847" s="17"/>
      <c r="B847" s="12"/>
      <c r="C847" s="17"/>
      <c r="D847" s="17"/>
      <c r="E847" s="12"/>
      <c r="F847" s="12"/>
      <c r="G847" s="17"/>
      <c r="H847" s="17"/>
      <c r="I847" s="12"/>
      <c r="J847" s="12"/>
      <c r="K847" s="12"/>
      <c r="L847" s="12"/>
      <c r="M847" s="12"/>
      <c r="N847" s="12"/>
    </row>
    <row r="848" ht="13.5" customHeight="1">
      <c r="A848" s="17"/>
      <c r="B848" s="12"/>
      <c r="C848" s="17"/>
      <c r="D848" s="17"/>
      <c r="E848" s="12"/>
      <c r="F848" s="12"/>
      <c r="G848" s="17"/>
      <c r="H848" s="17"/>
      <c r="I848" s="12"/>
      <c r="J848" s="12"/>
      <c r="K848" s="12"/>
      <c r="L848" s="12"/>
      <c r="M848" s="12"/>
      <c r="N848" s="12"/>
    </row>
    <row r="849" ht="13.5" customHeight="1">
      <c r="A849" s="17"/>
      <c r="B849" s="12"/>
      <c r="C849" s="17"/>
      <c r="D849" s="17"/>
      <c r="E849" s="12"/>
      <c r="F849" s="12"/>
      <c r="G849" s="17"/>
      <c r="H849" s="17"/>
      <c r="I849" s="12"/>
      <c r="J849" s="12"/>
      <c r="K849" s="12"/>
      <c r="L849" s="12"/>
      <c r="M849" s="12"/>
      <c r="N849" s="12"/>
    </row>
    <row r="850" ht="13.5" customHeight="1">
      <c r="A850" s="17"/>
      <c r="B850" s="12"/>
      <c r="C850" s="17"/>
      <c r="D850" s="17"/>
      <c r="E850" s="12"/>
      <c r="F850" s="12"/>
      <c r="G850" s="17"/>
      <c r="H850" s="17"/>
      <c r="I850" s="12"/>
      <c r="J850" s="12"/>
      <c r="K850" s="12"/>
      <c r="L850" s="12"/>
      <c r="M850" s="12"/>
      <c r="N850" s="12"/>
    </row>
    <row r="851" ht="13.5" customHeight="1">
      <c r="A851" s="17"/>
      <c r="B851" s="12"/>
      <c r="C851" s="17"/>
      <c r="D851" s="17"/>
      <c r="E851" s="12"/>
      <c r="F851" s="12"/>
      <c r="G851" s="17"/>
      <c r="H851" s="17"/>
      <c r="I851" s="12"/>
      <c r="J851" s="12"/>
      <c r="K851" s="12"/>
      <c r="L851" s="12"/>
      <c r="M851" s="12"/>
      <c r="N851" s="12"/>
    </row>
    <row r="852" ht="13.5" customHeight="1">
      <c r="A852" s="17"/>
      <c r="B852" s="12"/>
      <c r="C852" s="17"/>
      <c r="D852" s="17"/>
      <c r="E852" s="12"/>
      <c r="F852" s="12"/>
      <c r="G852" s="17"/>
      <c r="H852" s="17"/>
      <c r="I852" s="12"/>
      <c r="J852" s="12"/>
      <c r="K852" s="12"/>
      <c r="L852" s="12"/>
      <c r="M852" s="12"/>
      <c r="N852" s="12"/>
    </row>
    <row r="853" ht="13.5" customHeight="1">
      <c r="A853" s="17"/>
      <c r="B853" s="12"/>
      <c r="C853" s="17"/>
      <c r="D853" s="17"/>
      <c r="E853" s="12"/>
      <c r="F853" s="12"/>
      <c r="G853" s="17"/>
      <c r="H853" s="17"/>
      <c r="I853" s="12"/>
      <c r="J853" s="12"/>
      <c r="K853" s="12"/>
      <c r="L853" s="12"/>
      <c r="M853" s="12"/>
      <c r="N853" s="12"/>
    </row>
    <row r="854" ht="13.5" customHeight="1">
      <c r="A854" s="17"/>
      <c r="B854" s="12"/>
      <c r="C854" s="17"/>
      <c r="D854" s="17"/>
      <c r="E854" s="12"/>
      <c r="F854" s="12"/>
      <c r="G854" s="17"/>
      <c r="H854" s="17"/>
      <c r="I854" s="12"/>
      <c r="J854" s="12"/>
      <c r="K854" s="12"/>
      <c r="L854" s="12"/>
      <c r="M854" s="12"/>
      <c r="N854" s="12"/>
    </row>
    <row r="855" ht="13.5" customHeight="1">
      <c r="A855" s="17"/>
      <c r="B855" s="12"/>
      <c r="C855" s="17"/>
      <c r="D855" s="17"/>
      <c r="E855" s="12"/>
      <c r="F855" s="12"/>
      <c r="G855" s="17"/>
      <c r="H855" s="17"/>
      <c r="I855" s="12"/>
      <c r="J855" s="12"/>
      <c r="K855" s="12"/>
      <c r="L855" s="12"/>
      <c r="M855" s="12"/>
      <c r="N855" s="12"/>
    </row>
    <row r="856" ht="13.5" customHeight="1">
      <c r="A856" s="17"/>
      <c r="B856" s="12"/>
      <c r="C856" s="17"/>
      <c r="D856" s="17"/>
      <c r="E856" s="12"/>
      <c r="F856" s="12"/>
      <c r="G856" s="17"/>
      <c r="H856" s="17"/>
      <c r="I856" s="12"/>
      <c r="J856" s="12"/>
      <c r="K856" s="12"/>
      <c r="L856" s="12"/>
      <c r="M856" s="12"/>
      <c r="N856" s="12"/>
    </row>
    <row r="857" ht="13.5" customHeight="1">
      <c r="A857" s="17"/>
      <c r="B857" s="12"/>
      <c r="C857" s="17"/>
      <c r="D857" s="17"/>
      <c r="E857" s="12"/>
      <c r="F857" s="12"/>
      <c r="G857" s="17"/>
      <c r="H857" s="17"/>
      <c r="I857" s="12"/>
      <c r="J857" s="12"/>
      <c r="K857" s="12"/>
      <c r="L857" s="12"/>
      <c r="M857" s="12"/>
      <c r="N857" s="12"/>
    </row>
    <row r="858" ht="13.5" customHeight="1">
      <c r="A858" s="17"/>
      <c r="B858" s="12"/>
      <c r="C858" s="17"/>
      <c r="D858" s="17"/>
      <c r="E858" s="12"/>
      <c r="F858" s="12"/>
      <c r="G858" s="17"/>
      <c r="H858" s="17"/>
      <c r="I858" s="12"/>
      <c r="J858" s="12"/>
      <c r="K858" s="12"/>
      <c r="L858" s="12"/>
      <c r="M858" s="12"/>
      <c r="N858" s="12"/>
    </row>
    <row r="859" ht="13.5" customHeight="1">
      <c r="A859" s="17"/>
      <c r="B859" s="12"/>
      <c r="C859" s="17"/>
      <c r="D859" s="17"/>
      <c r="E859" s="12"/>
      <c r="F859" s="12"/>
      <c r="G859" s="17"/>
      <c r="H859" s="17"/>
      <c r="I859" s="12"/>
      <c r="J859" s="12"/>
      <c r="K859" s="12"/>
      <c r="L859" s="12"/>
      <c r="M859" s="12"/>
      <c r="N859" s="12"/>
    </row>
    <row r="860" ht="13.5" customHeight="1">
      <c r="A860" s="17"/>
      <c r="B860" s="12"/>
      <c r="C860" s="17"/>
      <c r="D860" s="17"/>
      <c r="E860" s="12"/>
      <c r="F860" s="12"/>
      <c r="G860" s="17"/>
      <c r="H860" s="17"/>
      <c r="I860" s="12"/>
      <c r="J860" s="12"/>
      <c r="K860" s="12"/>
      <c r="L860" s="12"/>
      <c r="M860" s="12"/>
      <c r="N860" s="12"/>
    </row>
    <row r="861" ht="13.5" customHeight="1">
      <c r="A861" s="17"/>
      <c r="B861" s="12"/>
      <c r="C861" s="17"/>
      <c r="D861" s="17"/>
      <c r="E861" s="12"/>
      <c r="F861" s="12"/>
      <c r="G861" s="17"/>
      <c r="H861" s="17"/>
      <c r="I861" s="12"/>
      <c r="J861" s="12"/>
      <c r="K861" s="12"/>
      <c r="L861" s="12"/>
      <c r="M861" s="12"/>
      <c r="N861" s="12"/>
    </row>
    <row r="862" ht="13.5" customHeight="1">
      <c r="A862" s="17"/>
      <c r="B862" s="12"/>
      <c r="C862" s="17"/>
      <c r="D862" s="17"/>
      <c r="E862" s="12"/>
      <c r="F862" s="12"/>
      <c r="G862" s="17"/>
      <c r="H862" s="17"/>
      <c r="I862" s="12"/>
      <c r="J862" s="12"/>
      <c r="K862" s="12"/>
      <c r="L862" s="12"/>
      <c r="M862" s="12"/>
      <c r="N862" s="12"/>
    </row>
    <row r="863" ht="13.5" customHeight="1">
      <c r="A863" s="17"/>
      <c r="B863" s="12"/>
      <c r="C863" s="17"/>
      <c r="D863" s="17"/>
      <c r="E863" s="12"/>
      <c r="F863" s="12"/>
      <c r="G863" s="17"/>
      <c r="H863" s="17"/>
      <c r="I863" s="12"/>
      <c r="J863" s="12"/>
      <c r="K863" s="12"/>
      <c r="L863" s="12"/>
      <c r="M863" s="12"/>
      <c r="N863" s="12"/>
    </row>
    <row r="864" ht="13.5" customHeight="1">
      <c r="A864" s="17"/>
      <c r="B864" s="12"/>
      <c r="C864" s="17"/>
      <c r="D864" s="17"/>
      <c r="E864" s="12"/>
      <c r="F864" s="12"/>
      <c r="G864" s="17"/>
      <c r="H864" s="17"/>
      <c r="I864" s="12"/>
      <c r="J864" s="12"/>
      <c r="K864" s="12"/>
      <c r="L864" s="12"/>
      <c r="M864" s="12"/>
      <c r="N864" s="12"/>
    </row>
    <row r="865" ht="13.5" customHeight="1">
      <c r="A865" s="17"/>
      <c r="B865" s="12"/>
      <c r="C865" s="17"/>
      <c r="D865" s="17"/>
      <c r="E865" s="12"/>
      <c r="F865" s="12"/>
      <c r="G865" s="17"/>
      <c r="H865" s="17"/>
      <c r="I865" s="12"/>
      <c r="J865" s="12"/>
      <c r="K865" s="12"/>
      <c r="L865" s="12"/>
      <c r="M865" s="12"/>
      <c r="N865" s="12"/>
    </row>
    <row r="866" ht="13.5" customHeight="1">
      <c r="A866" s="17"/>
      <c r="B866" s="12"/>
      <c r="C866" s="17"/>
      <c r="D866" s="17"/>
      <c r="E866" s="12"/>
      <c r="F866" s="12"/>
      <c r="G866" s="17"/>
      <c r="H866" s="17"/>
      <c r="I866" s="12"/>
      <c r="J866" s="12"/>
      <c r="K866" s="12"/>
      <c r="L866" s="12"/>
      <c r="M866" s="12"/>
      <c r="N866" s="12"/>
    </row>
    <row r="867" ht="13.5" customHeight="1">
      <c r="A867" s="17"/>
      <c r="B867" s="12"/>
      <c r="C867" s="17"/>
      <c r="D867" s="17"/>
      <c r="E867" s="12"/>
      <c r="F867" s="12"/>
      <c r="G867" s="17"/>
      <c r="H867" s="17"/>
      <c r="I867" s="12"/>
      <c r="J867" s="12"/>
      <c r="K867" s="12"/>
      <c r="L867" s="12"/>
      <c r="M867" s="12"/>
      <c r="N867" s="12"/>
    </row>
    <row r="868" ht="13.5" customHeight="1">
      <c r="A868" s="17"/>
      <c r="B868" s="12"/>
      <c r="C868" s="17"/>
      <c r="D868" s="17"/>
      <c r="E868" s="12"/>
      <c r="F868" s="12"/>
      <c r="G868" s="17"/>
      <c r="H868" s="17"/>
      <c r="I868" s="12"/>
      <c r="J868" s="12"/>
      <c r="K868" s="12"/>
      <c r="L868" s="12"/>
      <c r="M868" s="12"/>
      <c r="N868" s="12"/>
    </row>
    <row r="869" ht="13.5" customHeight="1">
      <c r="A869" s="17"/>
      <c r="B869" s="12"/>
      <c r="C869" s="17"/>
      <c r="D869" s="17"/>
      <c r="E869" s="12"/>
      <c r="F869" s="12"/>
      <c r="G869" s="17"/>
      <c r="H869" s="17"/>
      <c r="I869" s="12"/>
      <c r="J869" s="12"/>
      <c r="K869" s="12"/>
      <c r="L869" s="12"/>
      <c r="M869" s="12"/>
      <c r="N869" s="12"/>
    </row>
    <row r="870" ht="13.5" customHeight="1">
      <c r="A870" s="17"/>
      <c r="B870" s="12"/>
      <c r="C870" s="17"/>
      <c r="D870" s="17"/>
      <c r="E870" s="12"/>
      <c r="F870" s="12"/>
      <c r="G870" s="17"/>
      <c r="H870" s="17"/>
      <c r="I870" s="12"/>
      <c r="J870" s="12"/>
      <c r="K870" s="12"/>
      <c r="L870" s="12"/>
      <c r="M870" s="12"/>
      <c r="N870" s="12"/>
    </row>
    <row r="871" ht="13.5" customHeight="1">
      <c r="A871" s="17"/>
      <c r="B871" s="12"/>
      <c r="C871" s="17"/>
      <c r="D871" s="17"/>
      <c r="E871" s="12"/>
      <c r="F871" s="12"/>
      <c r="G871" s="17"/>
      <c r="H871" s="17"/>
      <c r="I871" s="12"/>
      <c r="J871" s="12"/>
      <c r="K871" s="12"/>
      <c r="L871" s="12"/>
      <c r="M871" s="12"/>
      <c r="N871" s="12"/>
    </row>
    <row r="872" ht="13.5" customHeight="1">
      <c r="A872" s="17"/>
      <c r="B872" s="12"/>
      <c r="C872" s="17"/>
      <c r="D872" s="17"/>
      <c r="E872" s="12"/>
      <c r="F872" s="12"/>
      <c r="G872" s="17"/>
      <c r="H872" s="17"/>
      <c r="I872" s="12"/>
      <c r="J872" s="12"/>
      <c r="K872" s="12"/>
      <c r="L872" s="12"/>
      <c r="M872" s="12"/>
      <c r="N872" s="12"/>
    </row>
    <row r="873" ht="13.5" customHeight="1">
      <c r="A873" s="17"/>
      <c r="B873" s="12"/>
      <c r="C873" s="17"/>
      <c r="D873" s="17"/>
      <c r="E873" s="12"/>
      <c r="F873" s="12"/>
      <c r="G873" s="17"/>
      <c r="H873" s="17"/>
      <c r="I873" s="12"/>
      <c r="J873" s="12"/>
      <c r="K873" s="12"/>
      <c r="L873" s="12"/>
      <c r="M873" s="12"/>
      <c r="N873" s="12"/>
    </row>
    <row r="874" ht="13.5" customHeight="1">
      <c r="A874" s="17"/>
      <c r="B874" s="12"/>
      <c r="C874" s="17"/>
      <c r="D874" s="17"/>
      <c r="E874" s="12"/>
      <c r="F874" s="12"/>
      <c r="G874" s="17"/>
      <c r="H874" s="17"/>
      <c r="I874" s="12"/>
      <c r="J874" s="12"/>
      <c r="K874" s="12"/>
      <c r="L874" s="12"/>
      <c r="M874" s="12"/>
      <c r="N874" s="12"/>
    </row>
    <row r="875" ht="13.5" customHeight="1">
      <c r="A875" s="17"/>
      <c r="B875" s="12"/>
      <c r="C875" s="17"/>
      <c r="D875" s="17"/>
      <c r="E875" s="12"/>
      <c r="F875" s="12"/>
      <c r="G875" s="17"/>
      <c r="H875" s="17"/>
      <c r="I875" s="12"/>
      <c r="J875" s="12"/>
      <c r="K875" s="12"/>
      <c r="L875" s="12"/>
      <c r="M875" s="12"/>
      <c r="N875" s="12"/>
    </row>
    <row r="876" ht="13.5" customHeight="1">
      <c r="A876" s="17"/>
      <c r="B876" s="12"/>
      <c r="C876" s="17"/>
      <c r="D876" s="17"/>
      <c r="E876" s="12"/>
      <c r="F876" s="12"/>
      <c r="G876" s="17"/>
      <c r="H876" s="17"/>
      <c r="I876" s="12"/>
      <c r="J876" s="12"/>
      <c r="K876" s="12"/>
      <c r="L876" s="12"/>
      <c r="M876" s="12"/>
      <c r="N876" s="12"/>
    </row>
    <row r="877" ht="13.5" customHeight="1">
      <c r="A877" s="17"/>
      <c r="B877" s="12"/>
      <c r="C877" s="17"/>
      <c r="D877" s="17"/>
      <c r="E877" s="12"/>
      <c r="F877" s="12"/>
      <c r="G877" s="17"/>
      <c r="H877" s="17"/>
      <c r="I877" s="12"/>
      <c r="J877" s="12"/>
      <c r="K877" s="12"/>
      <c r="L877" s="12"/>
      <c r="M877" s="12"/>
      <c r="N877" s="12"/>
    </row>
    <row r="878" ht="13.5" customHeight="1">
      <c r="A878" s="17"/>
      <c r="B878" s="12"/>
      <c r="C878" s="17"/>
      <c r="D878" s="17"/>
      <c r="E878" s="12"/>
      <c r="F878" s="12"/>
      <c r="G878" s="17"/>
      <c r="H878" s="17"/>
      <c r="I878" s="12"/>
      <c r="J878" s="12"/>
      <c r="K878" s="12"/>
      <c r="L878" s="12"/>
      <c r="M878" s="12"/>
      <c r="N878" s="12"/>
    </row>
    <row r="879" ht="13.5" customHeight="1">
      <c r="A879" s="17"/>
      <c r="B879" s="12"/>
      <c r="C879" s="17"/>
      <c r="D879" s="17"/>
      <c r="E879" s="12"/>
      <c r="F879" s="12"/>
      <c r="G879" s="17"/>
      <c r="H879" s="17"/>
      <c r="I879" s="12"/>
      <c r="J879" s="12"/>
      <c r="K879" s="12"/>
      <c r="L879" s="12"/>
      <c r="M879" s="12"/>
      <c r="N879" s="12"/>
    </row>
    <row r="880" ht="13.5" customHeight="1">
      <c r="A880" s="17"/>
      <c r="B880" s="12"/>
      <c r="C880" s="17"/>
      <c r="D880" s="17"/>
      <c r="E880" s="12"/>
      <c r="F880" s="12"/>
      <c r="G880" s="17"/>
      <c r="H880" s="17"/>
      <c r="I880" s="12"/>
      <c r="J880" s="12"/>
      <c r="K880" s="12"/>
      <c r="L880" s="12"/>
      <c r="M880" s="12"/>
      <c r="N880" s="12"/>
    </row>
    <row r="881" ht="13.5" customHeight="1">
      <c r="A881" s="17"/>
      <c r="B881" s="12"/>
      <c r="C881" s="17"/>
      <c r="D881" s="17"/>
      <c r="E881" s="12"/>
      <c r="F881" s="12"/>
      <c r="G881" s="17"/>
      <c r="H881" s="17"/>
      <c r="I881" s="12"/>
      <c r="J881" s="12"/>
      <c r="K881" s="12"/>
      <c r="L881" s="12"/>
      <c r="M881" s="12"/>
      <c r="N881" s="12"/>
    </row>
    <row r="882" ht="13.5" customHeight="1">
      <c r="A882" s="17"/>
      <c r="B882" s="12"/>
      <c r="C882" s="17"/>
      <c r="D882" s="17"/>
      <c r="E882" s="12"/>
      <c r="F882" s="12"/>
      <c r="G882" s="17"/>
      <c r="H882" s="17"/>
      <c r="I882" s="12"/>
      <c r="J882" s="12"/>
      <c r="K882" s="12"/>
      <c r="L882" s="12"/>
      <c r="M882" s="12"/>
      <c r="N882" s="12"/>
    </row>
    <row r="883" ht="13.5" customHeight="1">
      <c r="A883" s="17"/>
      <c r="B883" s="12"/>
      <c r="C883" s="17"/>
      <c r="D883" s="17"/>
      <c r="E883" s="12"/>
      <c r="F883" s="12"/>
      <c r="G883" s="17"/>
      <c r="H883" s="17"/>
      <c r="I883" s="12"/>
      <c r="J883" s="12"/>
      <c r="K883" s="12"/>
      <c r="L883" s="12"/>
      <c r="M883" s="12"/>
      <c r="N883" s="12"/>
    </row>
    <row r="884" ht="13.5" customHeight="1">
      <c r="A884" s="17"/>
      <c r="B884" s="12"/>
      <c r="C884" s="17"/>
      <c r="D884" s="17"/>
      <c r="E884" s="12"/>
      <c r="F884" s="12"/>
      <c r="G884" s="17"/>
      <c r="H884" s="17"/>
      <c r="I884" s="12"/>
      <c r="J884" s="12"/>
      <c r="K884" s="12"/>
      <c r="L884" s="12"/>
      <c r="M884" s="12"/>
      <c r="N884" s="12"/>
    </row>
    <row r="885" ht="13.5" customHeight="1">
      <c r="A885" s="17"/>
      <c r="B885" s="12"/>
      <c r="C885" s="17"/>
      <c r="D885" s="17"/>
      <c r="E885" s="12"/>
      <c r="F885" s="12"/>
      <c r="G885" s="17"/>
      <c r="H885" s="17"/>
      <c r="I885" s="12"/>
      <c r="J885" s="12"/>
      <c r="K885" s="12"/>
      <c r="L885" s="12"/>
      <c r="M885" s="12"/>
      <c r="N885" s="12"/>
    </row>
    <row r="886" ht="13.5" customHeight="1">
      <c r="A886" s="17"/>
      <c r="B886" s="12"/>
      <c r="C886" s="17"/>
      <c r="D886" s="17"/>
      <c r="E886" s="12"/>
      <c r="F886" s="12"/>
      <c r="G886" s="17"/>
      <c r="H886" s="17"/>
      <c r="I886" s="12"/>
      <c r="J886" s="12"/>
      <c r="K886" s="12"/>
      <c r="L886" s="12"/>
      <c r="M886" s="12"/>
      <c r="N886" s="12"/>
    </row>
    <row r="887" ht="13.5" customHeight="1">
      <c r="A887" s="17"/>
      <c r="B887" s="12"/>
      <c r="C887" s="17"/>
      <c r="D887" s="17"/>
      <c r="E887" s="12"/>
      <c r="F887" s="12"/>
      <c r="G887" s="17"/>
      <c r="H887" s="17"/>
      <c r="I887" s="12"/>
      <c r="J887" s="12"/>
      <c r="K887" s="12"/>
      <c r="L887" s="12"/>
      <c r="M887" s="12"/>
      <c r="N887" s="12"/>
    </row>
    <row r="888" ht="13.5" customHeight="1">
      <c r="A888" s="17"/>
      <c r="B888" s="12"/>
      <c r="C888" s="17"/>
      <c r="D888" s="17"/>
      <c r="E888" s="12"/>
      <c r="F888" s="12"/>
      <c r="G888" s="17"/>
      <c r="H888" s="17"/>
      <c r="I888" s="12"/>
      <c r="J888" s="12"/>
      <c r="K888" s="12"/>
      <c r="L888" s="12"/>
      <c r="M888" s="12"/>
      <c r="N888" s="12"/>
    </row>
    <row r="889" ht="13.5" customHeight="1">
      <c r="A889" s="17"/>
      <c r="B889" s="12"/>
      <c r="C889" s="17"/>
      <c r="D889" s="17"/>
      <c r="E889" s="12"/>
      <c r="F889" s="12"/>
      <c r="G889" s="17"/>
      <c r="H889" s="17"/>
      <c r="I889" s="12"/>
      <c r="J889" s="12"/>
      <c r="K889" s="12"/>
      <c r="L889" s="12"/>
      <c r="M889" s="12"/>
      <c r="N889" s="12"/>
    </row>
    <row r="890" ht="13.5" customHeight="1">
      <c r="A890" s="17"/>
      <c r="B890" s="12"/>
      <c r="C890" s="17"/>
      <c r="D890" s="17"/>
      <c r="E890" s="12"/>
      <c r="F890" s="12"/>
      <c r="G890" s="17"/>
      <c r="H890" s="17"/>
      <c r="I890" s="12"/>
      <c r="J890" s="12"/>
      <c r="K890" s="12"/>
      <c r="L890" s="12"/>
      <c r="M890" s="12"/>
      <c r="N890" s="12"/>
    </row>
    <row r="891" ht="13.5" customHeight="1">
      <c r="A891" s="17"/>
      <c r="B891" s="12"/>
      <c r="C891" s="17"/>
      <c r="D891" s="17"/>
      <c r="E891" s="12"/>
      <c r="F891" s="12"/>
      <c r="G891" s="17"/>
      <c r="H891" s="17"/>
      <c r="I891" s="12"/>
      <c r="J891" s="12"/>
      <c r="K891" s="12"/>
      <c r="L891" s="12"/>
      <c r="M891" s="12"/>
      <c r="N891" s="12"/>
    </row>
    <row r="892" ht="13.5" customHeight="1">
      <c r="A892" s="17"/>
      <c r="B892" s="12"/>
      <c r="C892" s="17"/>
      <c r="D892" s="17"/>
      <c r="E892" s="12"/>
      <c r="F892" s="12"/>
      <c r="G892" s="17"/>
      <c r="H892" s="17"/>
      <c r="I892" s="12"/>
      <c r="J892" s="12"/>
      <c r="K892" s="12"/>
      <c r="L892" s="12"/>
      <c r="M892" s="12"/>
      <c r="N892" s="12"/>
    </row>
    <row r="893" ht="13.5" customHeight="1">
      <c r="A893" s="17"/>
      <c r="B893" s="12"/>
      <c r="C893" s="17"/>
      <c r="D893" s="17"/>
      <c r="E893" s="12"/>
      <c r="F893" s="12"/>
      <c r="G893" s="17"/>
      <c r="H893" s="17"/>
      <c r="I893" s="12"/>
      <c r="J893" s="12"/>
      <c r="K893" s="12"/>
      <c r="L893" s="12"/>
      <c r="M893" s="12"/>
      <c r="N893" s="12"/>
    </row>
    <row r="894" ht="13.5" customHeight="1">
      <c r="A894" s="17"/>
      <c r="B894" s="12"/>
      <c r="C894" s="17"/>
      <c r="D894" s="17"/>
      <c r="E894" s="12"/>
      <c r="F894" s="12"/>
      <c r="G894" s="17"/>
      <c r="H894" s="17"/>
      <c r="I894" s="12"/>
      <c r="J894" s="12"/>
      <c r="K894" s="12"/>
      <c r="L894" s="12"/>
      <c r="M894" s="12"/>
      <c r="N894" s="12"/>
    </row>
    <row r="895" ht="13.5" customHeight="1">
      <c r="A895" s="17"/>
      <c r="B895" s="12"/>
      <c r="C895" s="17"/>
      <c r="D895" s="17"/>
      <c r="E895" s="12"/>
      <c r="F895" s="12"/>
      <c r="G895" s="17"/>
      <c r="H895" s="17"/>
      <c r="I895" s="12"/>
      <c r="J895" s="12"/>
      <c r="K895" s="12"/>
      <c r="L895" s="12"/>
      <c r="M895" s="12"/>
      <c r="N895" s="12"/>
    </row>
    <row r="896" ht="13.5" customHeight="1">
      <c r="A896" s="17"/>
      <c r="B896" s="12"/>
      <c r="C896" s="17"/>
      <c r="D896" s="17"/>
      <c r="E896" s="12"/>
      <c r="F896" s="12"/>
      <c r="G896" s="17"/>
      <c r="H896" s="17"/>
      <c r="I896" s="12"/>
      <c r="J896" s="12"/>
      <c r="K896" s="12"/>
      <c r="L896" s="12"/>
      <c r="M896" s="12"/>
      <c r="N896" s="12"/>
    </row>
    <row r="897" ht="13.5" customHeight="1">
      <c r="A897" s="17"/>
      <c r="B897" s="12"/>
      <c r="C897" s="17"/>
      <c r="D897" s="17"/>
      <c r="E897" s="12"/>
      <c r="F897" s="12"/>
      <c r="G897" s="17"/>
      <c r="H897" s="17"/>
      <c r="I897" s="12"/>
      <c r="J897" s="12"/>
      <c r="K897" s="12"/>
      <c r="L897" s="12"/>
      <c r="M897" s="12"/>
      <c r="N897" s="12"/>
    </row>
    <row r="898" ht="13.5" customHeight="1">
      <c r="A898" s="17"/>
      <c r="B898" s="12"/>
      <c r="C898" s="17"/>
      <c r="D898" s="17"/>
      <c r="E898" s="12"/>
      <c r="F898" s="12"/>
      <c r="G898" s="17"/>
      <c r="H898" s="17"/>
      <c r="I898" s="12"/>
      <c r="J898" s="12"/>
      <c r="K898" s="12"/>
      <c r="L898" s="12"/>
      <c r="M898" s="12"/>
      <c r="N898" s="12"/>
    </row>
    <row r="899" ht="13.5" customHeight="1">
      <c r="A899" s="17"/>
      <c r="B899" s="12"/>
      <c r="C899" s="17"/>
      <c r="D899" s="17"/>
      <c r="E899" s="12"/>
      <c r="F899" s="12"/>
      <c r="G899" s="17"/>
      <c r="H899" s="17"/>
      <c r="I899" s="12"/>
      <c r="J899" s="12"/>
      <c r="K899" s="12"/>
      <c r="L899" s="12"/>
      <c r="M899" s="12"/>
      <c r="N899" s="12"/>
    </row>
    <row r="900" ht="13.5" customHeight="1">
      <c r="A900" s="17"/>
      <c r="B900" s="12"/>
      <c r="C900" s="17"/>
      <c r="D900" s="17"/>
      <c r="E900" s="12"/>
      <c r="F900" s="12"/>
      <c r="G900" s="17"/>
      <c r="H900" s="17"/>
      <c r="I900" s="12"/>
      <c r="J900" s="12"/>
      <c r="K900" s="12"/>
      <c r="L900" s="12"/>
      <c r="M900" s="12"/>
      <c r="N900" s="12"/>
    </row>
    <row r="901" ht="13.5" customHeight="1">
      <c r="A901" s="17"/>
      <c r="B901" s="12"/>
      <c r="C901" s="17"/>
      <c r="D901" s="17"/>
      <c r="E901" s="12"/>
      <c r="F901" s="12"/>
      <c r="G901" s="17"/>
      <c r="H901" s="17"/>
      <c r="I901" s="12"/>
      <c r="J901" s="12"/>
      <c r="K901" s="12"/>
      <c r="L901" s="12"/>
      <c r="M901" s="12"/>
      <c r="N901" s="12"/>
    </row>
    <row r="902" ht="13.5" customHeight="1">
      <c r="A902" s="17"/>
      <c r="B902" s="12"/>
      <c r="C902" s="17"/>
      <c r="D902" s="17"/>
      <c r="E902" s="12"/>
      <c r="F902" s="12"/>
      <c r="G902" s="17"/>
      <c r="H902" s="17"/>
      <c r="I902" s="12"/>
      <c r="J902" s="12"/>
      <c r="K902" s="12"/>
      <c r="L902" s="12"/>
      <c r="M902" s="12"/>
      <c r="N902" s="12"/>
    </row>
    <row r="903" ht="13.5" customHeight="1">
      <c r="A903" s="17"/>
      <c r="B903" s="12"/>
      <c r="C903" s="17"/>
      <c r="D903" s="17"/>
      <c r="E903" s="12"/>
      <c r="F903" s="12"/>
      <c r="G903" s="17"/>
      <c r="H903" s="17"/>
      <c r="I903" s="12"/>
      <c r="J903" s="12"/>
      <c r="K903" s="12"/>
      <c r="L903" s="12"/>
      <c r="M903" s="12"/>
      <c r="N903" s="12"/>
    </row>
    <row r="904" ht="13.5" customHeight="1">
      <c r="A904" s="17"/>
      <c r="B904" s="12"/>
      <c r="C904" s="17"/>
      <c r="D904" s="17"/>
      <c r="E904" s="12"/>
      <c r="F904" s="12"/>
      <c r="G904" s="17"/>
      <c r="H904" s="17"/>
      <c r="I904" s="12"/>
      <c r="J904" s="12"/>
      <c r="K904" s="12"/>
      <c r="L904" s="12"/>
      <c r="M904" s="12"/>
      <c r="N904" s="12"/>
    </row>
    <row r="905" ht="13.5" customHeight="1">
      <c r="A905" s="17"/>
      <c r="B905" s="12"/>
      <c r="C905" s="17"/>
      <c r="D905" s="17"/>
      <c r="E905" s="12"/>
      <c r="F905" s="12"/>
      <c r="G905" s="17"/>
      <c r="H905" s="17"/>
      <c r="I905" s="12"/>
      <c r="J905" s="12"/>
      <c r="K905" s="12"/>
      <c r="L905" s="12"/>
      <c r="M905" s="12"/>
      <c r="N905" s="12"/>
    </row>
    <row r="906" ht="13.5" customHeight="1">
      <c r="A906" s="17"/>
      <c r="B906" s="12"/>
      <c r="C906" s="17"/>
      <c r="D906" s="17"/>
      <c r="E906" s="12"/>
      <c r="F906" s="12"/>
      <c r="G906" s="17"/>
      <c r="H906" s="17"/>
      <c r="I906" s="12"/>
      <c r="J906" s="12"/>
      <c r="K906" s="12"/>
      <c r="L906" s="12"/>
      <c r="M906" s="12"/>
      <c r="N906" s="12"/>
    </row>
    <row r="907" ht="13.5" customHeight="1">
      <c r="A907" s="17"/>
      <c r="B907" s="12"/>
      <c r="C907" s="17"/>
      <c r="D907" s="17"/>
      <c r="E907" s="12"/>
      <c r="F907" s="12"/>
      <c r="G907" s="17"/>
      <c r="H907" s="17"/>
      <c r="I907" s="12"/>
      <c r="J907" s="12"/>
      <c r="K907" s="12"/>
      <c r="L907" s="12"/>
      <c r="M907" s="12"/>
      <c r="N907" s="12"/>
    </row>
    <row r="908" ht="13.5" customHeight="1">
      <c r="A908" s="17"/>
      <c r="B908" s="12"/>
      <c r="C908" s="17"/>
      <c r="D908" s="17"/>
      <c r="E908" s="12"/>
      <c r="F908" s="12"/>
      <c r="G908" s="17"/>
      <c r="H908" s="17"/>
      <c r="I908" s="12"/>
      <c r="J908" s="12"/>
      <c r="K908" s="12"/>
      <c r="L908" s="12"/>
      <c r="M908" s="12"/>
      <c r="N908" s="12"/>
    </row>
    <row r="909" ht="13.5" customHeight="1">
      <c r="A909" s="17"/>
      <c r="B909" s="12"/>
      <c r="C909" s="17"/>
      <c r="D909" s="17"/>
      <c r="E909" s="12"/>
      <c r="F909" s="12"/>
      <c r="G909" s="17"/>
      <c r="H909" s="17"/>
      <c r="I909" s="12"/>
      <c r="J909" s="12"/>
      <c r="K909" s="12"/>
      <c r="L909" s="12"/>
      <c r="M909" s="12"/>
      <c r="N909" s="12"/>
    </row>
    <row r="910" ht="13.5" customHeight="1">
      <c r="A910" s="17"/>
      <c r="B910" s="12"/>
      <c r="C910" s="17"/>
      <c r="D910" s="17"/>
      <c r="E910" s="12"/>
      <c r="F910" s="12"/>
      <c r="G910" s="17"/>
      <c r="H910" s="17"/>
      <c r="I910" s="12"/>
      <c r="J910" s="12"/>
      <c r="K910" s="12"/>
      <c r="L910" s="12"/>
      <c r="M910" s="12"/>
      <c r="N910" s="12"/>
    </row>
    <row r="911" ht="13.5" customHeight="1">
      <c r="A911" s="17"/>
      <c r="B911" s="12"/>
      <c r="C911" s="17"/>
      <c r="D911" s="17"/>
      <c r="E911" s="12"/>
      <c r="F911" s="12"/>
      <c r="G911" s="17"/>
      <c r="H911" s="17"/>
      <c r="I911" s="12"/>
      <c r="J911" s="12"/>
      <c r="K911" s="12"/>
      <c r="L911" s="12"/>
      <c r="M911" s="12"/>
      <c r="N911" s="12"/>
    </row>
    <row r="912" ht="13.5" customHeight="1">
      <c r="A912" s="17"/>
      <c r="B912" s="12"/>
      <c r="C912" s="17"/>
      <c r="D912" s="17"/>
      <c r="E912" s="12"/>
      <c r="F912" s="12"/>
      <c r="G912" s="17"/>
      <c r="H912" s="17"/>
      <c r="I912" s="12"/>
      <c r="J912" s="12"/>
      <c r="K912" s="12"/>
      <c r="L912" s="12"/>
      <c r="M912" s="12"/>
      <c r="N912" s="12"/>
    </row>
    <row r="913" ht="13.5" customHeight="1">
      <c r="A913" s="17"/>
      <c r="B913" s="12"/>
      <c r="C913" s="17"/>
      <c r="D913" s="17"/>
      <c r="E913" s="12"/>
      <c r="F913" s="12"/>
      <c r="G913" s="17"/>
      <c r="H913" s="17"/>
      <c r="I913" s="12"/>
      <c r="J913" s="12"/>
      <c r="K913" s="12"/>
      <c r="L913" s="12"/>
      <c r="M913" s="12"/>
      <c r="N913" s="12"/>
    </row>
    <row r="914" ht="13.5" customHeight="1">
      <c r="A914" s="17"/>
      <c r="B914" s="12"/>
      <c r="C914" s="17"/>
      <c r="D914" s="17"/>
      <c r="E914" s="12"/>
      <c r="F914" s="12"/>
      <c r="G914" s="17"/>
      <c r="H914" s="17"/>
      <c r="I914" s="12"/>
      <c r="J914" s="12"/>
      <c r="K914" s="12"/>
      <c r="L914" s="12"/>
      <c r="M914" s="12"/>
      <c r="N914" s="12"/>
    </row>
    <row r="915" ht="13.5" customHeight="1">
      <c r="A915" s="17"/>
      <c r="B915" s="12"/>
      <c r="C915" s="17"/>
      <c r="D915" s="17"/>
      <c r="E915" s="12"/>
      <c r="F915" s="12"/>
      <c r="G915" s="17"/>
      <c r="H915" s="17"/>
      <c r="I915" s="12"/>
      <c r="J915" s="12"/>
      <c r="K915" s="12"/>
      <c r="L915" s="12"/>
      <c r="M915" s="12"/>
      <c r="N915" s="12"/>
    </row>
    <row r="916" ht="13.5" customHeight="1">
      <c r="A916" s="17"/>
      <c r="B916" s="12"/>
      <c r="C916" s="17"/>
      <c r="D916" s="17"/>
      <c r="E916" s="12"/>
      <c r="F916" s="12"/>
      <c r="G916" s="17"/>
      <c r="H916" s="17"/>
      <c r="I916" s="12"/>
      <c r="J916" s="12"/>
      <c r="K916" s="12"/>
      <c r="L916" s="12"/>
      <c r="M916" s="12"/>
      <c r="N916" s="12"/>
    </row>
    <row r="917" ht="13.5" customHeight="1">
      <c r="A917" s="17"/>
      <c r="B917" s="12"/>
      <c r="C917" s="17"/>
      <c r="D917" s="17"/>
      <c r="E917" s="12"/>
      <c r="F917" s="12"/>
      <c r="G917" s="17"/>
      <c r="H917" s="17"/>
      <c r="I917" s="12"/>
      <c r="J917" s="12"/>
      <c r="K917" s="12"/>
      <c r="L917" s="12"/>
      <c r="M917" s="12"/>
      <c r="N917" s="12"/>
    </row>
    <row r="918" ht="13.5" customHeight="1">
      <c r="A918" s="17"/>
      <c r="B918" s="12"/>
      <c r="C918" s="17"/>
      <c r="D918" s="17"/>
      <c r="E918" s="12"/>
      <c r="F918" s="12"/>
      <c r="G918" s="17"/>
      <c r="H918" s="17"/>
      <c r="I918" s="12"/>
      <c r="J918" s="12"/>
      <c r="K918" s="12"/>
      <c r="L918" s="12"/>
      <c r="M918" s="12"/>
      <c r="N918" s="12"/>
    </row>
    <row r="919" ht="13.5" customHeight="1">
      <c r="A919" s="17"/>
      <c r="B919" s="12"/>
      <c r="C919" s="17"/>
      <c r="D919" s="17"/>
      <c r="E919" s="12"/>
      <c r="F919" s="12"/>
      <c r="G919" s="17"/>
      <c r="H919" s="17"/>
      <c r="I919" s="12"/>
      <c r="J919" s="12"/>
      <c r="K919" s="12"/>
      <c r="L919" s="12"/>
      <c r="M919" s="12"/>
      <c r="N919" s="12"/>
    </row>
    <row r="920" ht="13.5" customHeight="1">
      <c r="A920" s="17"/>
      <c r="B920" s="12"/>
      <c r="C920" s="17"/>
      <c r="D920" s="17"/>
      <c r="E920" s="12"/>
      <c r="F920" s="12"/>
      <c r="G920" s="17"/>
      <c r="H920" s="17"/>
      <c r="I920" s="12"/>
      <c r="J920" s="12"/>
      <c r="K920" s="12"/>
      <c r="L920" s="12"/>
      <c r="M920" s="12"/>
      <c r="N920" s="12"/>
    </row>
    <row r="921" ht="13.5" customHeight="1">
      <c r="A921" s="17"/>
      <c r="B921" s="12"/>
      <c r="C921" s="17"/>
      <c r="D921" s="17"/>
      <c r="E921" s="12"/>
      <c r="F921" s="12"/>
      <c r="G921" s="17"/>
      <c r="H921" s="17"/>
      <c r="I921" s="12"/>
      <c r="J921" s="12"/>
      <c r="K921" s="12"/>
      <c r="L921" s="12"/>
      <c r="M921" s="12"/>
      <c r="N921" s="12"/>
    </row>
    <row r="922" ht="13.5" customHeight="1">
      <c r="A922" s="17"/>
      <c r="B922" s="12"/>
      <c r="C922" s="17"/>
      <c r="D922" s="17"/>
      <c r="E922" s="12"/>
      <c r="F922" s="12"/>
      <c r="G922" s="17"/>
      <c r="H922" s="17"/>
      <c r="I922" s="12"/>
      <c r="J922" s="12"/>
      <c r="K922" s="12"/>
      <c r="L922" s="12"/>
      <c r="M922" s="12"/>
      <c r="N922" s="12"/>
    </row>
    <row r="923" ht="13.5" customHeight="1">
      <c r="A923" s="17"/>
      <c r="B923" s="12"/>
      <c r="C923" s="17"/>
      <c r="D923" s="17"/>
      <c r="E923" s="12"/>
      <c r="F923" s="12"/>
      <c r="G923" s="17"/>
      <c r="H923" s="17"/>
      <c r="I923" s="12"/>
      <c r="J923" s="12"/>
      <c r="K923" s="12"/>
      <c r="L923" s="12"/>
      <c r="M923" s="12"/>
      <c r="N923" s="12"/>
    </row>
    <row r="924" ht="13.5" customHeight="1">
      <c r="A924" s="17"/>
      <c r="B924" s="12"/>
      <c r="C924" s="17"/>
      <c r="D924" s="17"/>
      <c r="E924" s="12"/>
      <c r="F924" s="12"/>
      <c r="G924" s="17"/>
      <c r="H924" s="17"/>
      <c r="I924" s="12"/>
      <c r="J924" s="12"/>
      <c r="K924" s="12"/>
      <c r="L924" s="12"/>
      <c r="M924" s="12"/>
      <c r="N924" s="12"/>
    </row>
    <row r="925" ht="13.5" customHeight="1">
      <c r="A925" s="17"/>
      <c r="B925" s="12"/>
      <c r="C925" s="17"/>
      <c r="D925" s="17"/>
      <c r="E925" s="12"/>
      <c r="F925" s="12"/>
      <c r="G925" s="17"/>
      <c r="H925" s="17"/>
      <c r="I925" s="12"/>
      <c r="J925" s="12"/>
      <c r="K925" s="12"/>
      <c r="L925" s="12"/>
      <c r="M925" s="12"/>
      <c r="N925" s="12"/>
    </row>
    <row r="926" ht="13.5" customHeight="1">
      <c r="A926" s="17"/>
      <c r="B926" s="12"/>
      <c r="C926" s="17"/>
      <c r="D926" s="17"/>
      <c r="E926" s="12"/>
      <c r="F926" s="12"/>
      <c r="G926" s="17"/>
      <c r="H926" s="17"/>
      <c r="I926" s="12"/>
      <c r="J926" s="12"/>
      <c r="K926" s="12"/>
      <c r="L926" s="12"/>
      <c r="M926" s="12"/>
      <c r="N926" s="12"/>
    </row>
    <row r="927" ht="13.5" customHeight="1">
      <c r="A927" s="17"/>
      <c r="B927" s="12"/>
      <c r="C927" s="17"/>
      <c r="D927" s="17"/>
      <c r="E927" s="12"/>
      <c r="F927" s="12"/>
      <c r="G927" s="17"/>
      <c r="H927" s="17"/>
      <c r="I927" s="12"/>
      <c r="J927" s="12"/>
      <c r="K927" s="12"/>
      <c r="L927" s="12"/>
      <c r="M927" s="12"/>
      <c r="N927" s="12"/>
    </row>
    <row r="928" ht="13.5" customHeight="1">
      <c r="A928" s="17"/>
      <c r="B928" s="12"/>
      <c r="C928" s="17"/>
      <c r="D928" s="17"/>
      <c r="E928" s="12"/>
      <c r="F928" s="12"/>
      <c r="G928" s="17"/>
      <c r="H928" s="17"/>
      <c r="I928" s="12"/>
      <c r="J928" s="12"/>
      <c r="K928" s="12"/>
      <c r="L928" s="12"/>
      <c r="M928" s="12"/>
      <c r="N928" s="12"/>
    </row>
    <row r="929" ht="13.5" customHeight="1">
      <c r="A929" s="17"/>
      <c r="B929" s="12"/>
      <c r="C929" s="17"/>
      <c r="D929" s="17"/>
      <c r="E929" s="12"/>
      <c r="F929" s="12"/>
      <c r="G929" s="17"/>
      <c r="H929" s="17"/>
      <c r="I929" s="12"/>
      <c r="J929" s="12"/>
      <c r="K929" s="12"/>
      <c r="L929" s="12"/>
      <c r="M929" s="12"/>
      <c r="N929" s="12"/>
    </row>
    <row r="930" ht="13.5" customHeight="1">
      <c r="A930" s="17"/>
      <c r="B930" s="12"/>
      <c r="C930" s="17"/>
      <c r="D930" s="17"/>
      <c r="E930" s="12"/>
      <c r="F930" s="12"/>
      <c r="G930" s="17"/>
      <c r="H930" s="17"/>
      <c r="I930" s="12"/>
      <c r="J930" s="12"/>
      <c r="K930" s="12"/>
      <c r="L930" s="12"/>
      <c r="M930" s="12"/>
      <c r="N930" s="12"/>
    </row>
    <row r="931" ht="13.5" customHeight="1">
      <c r="A931" s="17"/>
      <c r="B931" s="12"/>
      <c r="C931" s="17"/>
      <c r="D931" s="17"/>
      <c r="E931" s="12"/>
      <c r="F931" s="12"/>
      <c r="G931" s="17"/>
      <c r="H931" s="17"/>
      <c r="I931" s="12"/>
      <c r="J931" s="12"/>
      <c r="K931" s="12"/>
      <c r="L931" s="12"/>
      <c r="M931" s="12"/>
      <c r="N931" s="12"/>
    </row>
    <row r="932" ht="13.5" customHeight="1">
      <c r="A932" s="17"/>
      <c r="B932" s="12"/>
      <c r="C932" s="17"/>
      <c r="D932" s="17"/>
      <c r="E932" s="12"/>
      <c r="F932" s="12"/>
      <c r="G932" s="17"/>
      <c r="H932" s="17"/>
      <c r="I932" s="12"/>
      <c r="J932" s="12"/>
      <c r="K932" s="12"/>
      <c r="L932" s="12"/>
      <c r="M932" s="12"/>
      <c r="N932" s="12"/>
    </row>
    <row r="933" ht="13.5" customHeight="1">
      <c r="A933" s="17"/>
      <c r="B933" s="12"/>
      <c r="C933" s="17"/>
      <c r="D933" s="17"/>
      <c r="E933" s="12"/>
      <c r="F933" s="12"/>
      <c r="G933" s="17"/>
      <c r="H933" s="17"/>
      <c r="I933" s="12"/>
      <c r="J933" s="12"/>
      <c r="K933" s="12"/>
      <c r="L933" s="12"/>
      <c r="M933" s="12"/>
      <c r="N933" s="12"/>
    </row>
    <row r="934" ht="13.5" customHeight="1">
      <c r="A934" s="17"/>
      <c r="B934" s="12"/>
      <c r="C934" s="17"/>
      <c r="D934" s="17"/>
      <c r="E934" s="12"/>
      <c r="F934" s="12"/>
      <c r="G934" s="17"/>
      <c r="H934" s="17"/>
      <c r="I934" s="12"/>
      <c r="J934" s="12"/>
      <c r="K934" s="12"/>
      <c r="L934" s="12"/>
      <c r="M934" s="12"/>
      <c r="N934" s="12"/>
    </row>
    <row r="935" ht="13.5" customHeight="1">
      <c r="A935" s="17"/>
      <c r="B935" s="12"/>
      <c r="C935" s="17"/>
      <c r="D935" s="17"/>
      <c r="E935" s="12"/>
      <c r="F935" s="12"/>
      <c r="G935" s="17"/>
      <c r="H935" s="17"/>
      <c r="I935" s="12"/>
      <c r="J935" s="12"/>
      <c r="K935" s="12"/>
      <c r="L935" s="12"/>
      <c r="M935" s="12"/>
      <c r="N935" s="12"/>
    </row>
    <row r="936" ht="13.5" customHeight="1">
      <c r="A936" s="17"/>
      <c r="B936" s="12"/>
      <c r="C936" s="17"/>
      <c r="D936" s="17"/>
      <c r="E936" s="12"/>
      <c r="F936" s="12"/>
      <c r="G936" s="17"/>
      <c r="H936" s="17"/>
      <c r="I936" s="12"/>
      <c r="J936" s="12"/>
      <c r="K936" s="12"/>
      <c r="L936" s="12"/>
      <c r="M936" s="12"/>
      <c r="N936" s="12"/>
    </row>
    <row r="937" ht="13.5" customHeight="1">
      <c r="A937" s="17"/>
      <c r="B937" s="12"/>
      <c r="C937" s="17"/>
      <c r="D937" s="17"/>
      <c r="E937" s="12"/>
      <c r="F937" s="12"/>
      <c r="G937" s="17"/>
      <c r="H937" s="17"/>
      <c r="I937" s="12"/>
      <c r="J937" s="12"/>
      <c r="K937" s="12"/>
      <c r="L937" s="12"/>
      <c r="M937" s="12"/>
      <c r="N937" s="12"/>
    </row>
    <row r="938" ht="13.5" customHeight="1">
      <c r="A938" s="17"/>
      <c r="B938" s="12"/>
      <c r="C938" s="17"/>
      <c r="D938" s="17"/>
      <c r="E938" s="12"/>
      <c r="F938" s="12"/>
      <c r="G938" s="17"/>
      <c r="H938" s="17"/>
      <c r="I938" s="12"/>
      <c r="J938" s="12"/>
      <c r="K938" s="12"/>
      <c r="L938" s="12"/>
      <c r="M938" s="12"/>
      <c r="N938" s="12"/>
    </row>
    <row r="939" ht="13.5" customHeight="1">
      <c r="A939" s="17"/>
      <c r="B939" s="12"/>
      <c r="C939" s="17"/>
      <c r="D939" s="17"/>
      <c r="E939" s="12"/>
      <c r="F939" s="12"/>
      <c r="G939" s="17"/>
      <c r="H939" s="17"/>
      <c r="I939" s="12"/>
      <c r="J939" s="12"/>
      <c r="K939" s="12"/>
      <c r="L939" s="12"/>
      <c r="M939" s="12"/>
      <c r="N939" s="12"/>
    </row>
    <row r="940" ht="13.5" customHeight="1">
      <c r="A940" s="17"/>
      <c r="B940" s="12"/>
      <c r="C940" s="17"/>
      <c r="D940" s="17"/>
      <c r="E940" s="12"/>
      <c r="F940" s="12"/>
      <c r="G940" s="17"/>
      <c r="H940" s="17"/>
      <c r="I940" s="12"/>
      <c r="J940" s="12"/>
      <c r="K940" s="12"/>
      <c r="L940" s="12"/>
      <c r="M940" s="12"/>
      <c r="N940" s="12"/>
    </row>
    <row r="941" ht="13.5" customHeight="1">
      <c r="A941" s="17"/>
      <c r="B941" s="12"/>
      <c r="C941" s="17"/>
      <c r="D941" s="17"/>
      <c r="E941" s="12"/>
      <c r="F941" s="12"/>
      <c r="G941" s="17"/>
      <c r="H941" s="17"/>
      <c r="I941" s="12"/>
      <c r="J941" s="12"/>
      <c r="K941" s="12"/>
      <c r="L941" s="12"/>
      <c r="M941" s="12"/>
      <c r="N941" s="12"/>
    </row>
    <row r="942" ht="13.5" customHeight="1">
      <c r="A942" s="17"/>
      <c r="B942" s="12"/>
      <c r="C942" s="17"/>
      <c r="D942" s="17"/>
      <c r="E942" s="12"/>
      <c r="F942" s="12"/>
      <c r="G942" s="17"/>
      <c r="H942" s="17"/>
      <c r="I942" s="12"/>
      <c r="J942" s="12"/>
      <c r="K942" s="12"/>
      <c r="L942" s="12"/>
      <c r="M942" s="12"/>
      <c r="N942" s="12"/>
    </row>
    <row r="943" ht="13.5" customHeight="1">
      <c r="A943" s="17"/>
      <c r="B943" s="12"/>
      <c r="C943" s="17"/>
      <c r="D943" s="17"/>
      <c r="E943" s="12"/>
      <c r="F943" s="12"/>
      <c r="G943" s="17"/>
      <c r="H943" s="17"/>
      <c r="I943" s="12"/>
      <c r="J943" s="12"/>
      <c r="K943" s="12"/>
      <c r="L943" s="12"/>
      <c r="M943" s="12"/>
      <c r="N943" s="12"/>
    </row>
    <row r="944" ht="13.5" customHeight="1">
      <c r="A944" s="17"/>
      <c r="B944" s="12"/>
      <c r="C944" s="17"/>
      <c r="D944" s="17"/>
      <c r="E944" s="12"/>
      <c r="F944" s="12"/>
      <c r="G944" s="17"/>
      <c r="H944" s="17"/>
      <c r="I944" s="12"/>
      <c r="J944" s="12"/>
      <c r="K944" s="12"/>
      <c r="L944" s="12"/>
      <c r="M944" s="12"/>
      <c r="N944" s="12"/>
    </row>
    <row r="945" ht="13.5" customHeight="1">
      <c r="A945" s="17"/>
      <c r="B945" s="12"/>
      <c r="C945" s="17"/>
      <c r="D945" s="17"/>
      <c r="E945" s="12"/>
      <c r="F945" s="12"/>
      <c r="G945" s="17"/>
      <c r="H945" s="17"/>
      <c r="I945" s="12"/>
      <c r="J945" s="12"/>
      <c r="K945" s="12"/>
      <c r="L945" s="12"/>
      <c r="M945" s="12"/>
      <c r="N945" s="12"/>
    </row>
    <row r="946" ht="13.5" customHeight="1">
      <c r="A946" s="17"/>
      <c r="B946" s="12"/>
      <c r="C946" s="17"/>
      <c r="D946" s="17"/>
      <c r="E946" s="12"/>
      <c r="F946" s="12"/>
      <c r="G946" s="17"/>
      <c r="H946" s="17"/>
      <c r="I946" s="12"/>
      <c r="J946" s="12"/>
      <c r="K946" s="12"/>
      <c r="L946" s="12"/>
      <c r="M946" s="12"/>
      <c r="N946" s="12"/>
    </row>
    <row r="947" ht="13.5" customHeight="1">
      <c r="A947" s="17"/>
      <c r="B947" s="12"/>
      <c r="C947" s="17"/>
      <c r="D947" s="17"/>
      <c r="E947" s="12"/>
      <c r="F947" s="12"/>
      <c r="G947" s="17"/>
      <c r="H947" s="17"/>
      <c r="I947" s="12"/>
      <c r="J947" s="12"/>
      <c r="K947" s="12"/>
      <c r="L947" s="12"/>
      <c r="M947" s="12"/>
      <c r="N947" s="12"/>
    </row>
    <row r="948" ht="13.5" customHeight="1">
      <c r="A948" s="17"/>
      <c r="B948" s="12"/>
      <c r="C948" s="17"/>
      <c r="D948" s="17"/>
      <c r="E948" s="12"/>
      <c r="F948" s="12"/>
      <c r="G948" s="17"/>
      <c r="H948" s="17"/>
      <c r="I948" s="12"/>
      <c r="J948" s="12"/>
      <c r="K948" s="12"/>
      <c r="L948" s="12"/>
      <c r="M948" s="12"/>
      <c r="N948" s="12"/>
    </row>
    <row r="949" ht="13.5" customHeight="1">
      <c r="A949" s="17"/>
      <c r="B949" s="12"/>
      <c r="C949" s="17"/>
      <c r="D949" s="17"/>
      <c r="E949" s="12"/>
      <c r="F949" s="12"/>
      <c r="G949" s="17"/>
      <c r="H949" s="17"/>
      <c r="I949" s="12"/>
      <c r="J949" s="12"/>
      <c r="K949" s="12"/>
      <c r="L949" s="12"/>
      <c r="M949" s="12"/>
      <c r="N949" s="12"/>
    </row>
    <row r="950" ht="13.5" customHeight="1">
      <c r="A950" s="17"/>
      <c r="B950" s="12"/>
      <c r="C950" s="17"/>
      <c r="D950" s="17"/>
      <c r="E950" s="12"/>
      <c r="F950" s="12"/>
      <c r="G950" s="17"/>
      <c r="H950" s="17"/>
      <c r="I950" s="12"/>
      <c r="J950" s="12"/>
      <c r="K950" s="12"/>
      <c r="L950" s="12"/>
      <c r="M950" s="12"/>
      <c r="N950" s="12"/>
    </row>
    <row r="951" ht="13.5" customHeight="1">
      <c r="A951" s="17"/>
      <c r="B951" s="12"/>
      <c r="C951" s="17"/>
      <c r="D951" s="17"/>
      <c r="E951" s="12"/>
      <c r="F951" s="12"/>
      <c r="G951" s="17"/>
      <c r="H951" s="17"/>
      <c r="I951" s="12"/>
      <c r="J951" s="12"/>
      <c r="K951" s="12"/>
      <c r="L951" s="12"/>
      <c r="M951" s="12"/>
      <c r="N951" s="12"/>
    </row>
    <row r="952" ht="13.5" customHeight="1">
      <c r="A952" s="17"/>
      <c r="B952" s="12"/>
      <c r="C952" s="17"/>
      <c r="D952" s="17"/>
      <c r="E952" s="12"/>
      <c r="F952" s="12"/>
      <c r="G952" s="17"/>
      <c r="H952" s="17"/>
      <c r="I952" s="12"/>
      <c r="J952" s="12"/>
      <c r="K952" s="12"/>
      <c r="L952" s="12"/>
      <c r="M952" s="12"/>
      <c r="N952" s="12"/>
    </row>
    <row r="953" ht="13.5" customHeight="1">
      <c r="A953" s="17"/>
      <c r="B953" s="12"/>
      <c r="C953" s="17"/>
      <c r="D953" s="17"/>
      <c r="E953" s="12"/>
      <c r="F953" s="12"/>
      <c r="G953" s="17"/>
      <c r="H953" s="17"/>
      <c r="I953" s="12"/>
      <c r="J953" s="12"/>
      <c r="K953" s="12"/>
      <c r="L953" s="12"/>
      <c r="M953" s="12"/>
      <c r="N953" s="12"/>
    </row>
    <row r="954" ht="13.5" customHeight="1">
      <c r="A954" s="17"/>
      <c r="B954" s="12"/>
      <c r="C954" s="17"/>
      <c r="D954" s="17"/>
      <c r="E954" s="12"/>
      <c r="F954" s="12"/>
      <c r="G954" s="17"/>
      <c r="H954" s="17"/>
      <c r="I954" s="12"/>
      <c r="J954" s="12"/>
      <c r="K954" s="12"/>
      <c r="L954" s="12"/>
      <c r="M954" s="12"/>
      <c r="N954" s="12"/>
    </row>
    <row r="955" ht="13.5" customHeight="1">
      <c r="A955" s="17"/>
      <c r="B955" s="12"/>
      <c r="C955" s="17"/>
      <c r="D955" s="17"/>
      <c r="E955" s="12"/>
      <c r="F955" s="12"/>
      <c r="G955" s="17"/>
      <c r="H955" s="17"/>
      <c r="I955" s="12"/>
      <c r="J955" s="12"/>
      <c r="K955" s="12"/>
      <c r="L955" s="12"/>
      <c r="M955" s="12"/>
      <c r="N955" s="12"/>
    </row>
    <row r="956" ht="13.5" customHeight="1">
      <c r="A956" s="17"/>
      <c r="B956" s="12"/>
      <c r="C956" s="17"/>
      <c r="D956" s="17"/>
      <c r="E956" s="12"/>
      <c r="F956" s="12"/>
      <c r="G956" s="17"/>
      <c r="H956" s="17"/>
      <c r="I956" s="12"/>
      <c r="J956" s="12"/>
      <c r="K956" s="12"/>
      <c r="L956" s="12"/>
      <c r="M956" s="12"/>
      <c r="N956" s="12"/>
    </row>
    <row r="957" ht="13.5" customHeight="1">
      <c r="A957" s="17"/>
      <c r="B957" s="12"/>
      <c r="C957" s="17"/>
      <c r="D957" s="17"/>
      <c r="E957" s="12"/>
      <c r="F957" s="12"/>
      <c r="G957" s="17"/>
      <c r="H957" s="17"/>
      <c r="I957" s="12"/>
      <c r="J957" s="12"/>
      <c r="K957" s="12"/>
      <c r="L957" s="12"/>
      <c r="M957" s="12"/>
      <c r="N957" s="12"/>
    </row>
    <row r="958" ht="13.5" customHeight="1">
      <c r="A958" s="17"/>
      <c r="B958" s="12"/>
      <c r="C958" s="17"/>
      <c r="D958" s="17"/>
      <c r="E958" s="12"/>
      <c r="F958" s="12"/>
      <c r="G958" s="17"/>
      <c r="H958" s="17"/>
      <c r="I958" s="12"/>
      <c r="J958" s="12"/>
      <c r="K958" s="12"/>
      <c r="L958" s="12"/>
      <c r="M958" s="12"/>
      <c r="N958" s="12"/>
    </row>
    <row r="959" ht="13.5" customHeight="1">
      <c r="A959" s="17"/>
      <c r="B959" s="12"/>
      <c r="C959" s="17"/>
      <c r="D959" s="17"/>
      <c r="E959" s="12"/>
      <c r="F959" s="12"/>
      <c r="G959" s="17"/>
      <c r="H959" s="17"/>
      <c r="I959" s="12"/>
      <c r="J959" s="12"/>
      <c r="K959" s="12"/>
      <c r="L959" s="12"/>
      <c r="M959" s="12"/>
      <c r="N959" s="12"/>
    </row>
    <row r="960" ht="13.5" customHeight="1">
      <c r="A960" s="17"/>
      <c r="B960" s="12"/>
      <c r="C960" s="17"/>
      <c r="D960" s="17"/>
      <c r="E960" s="12"/>
      <c r="F960" s="12"/>
      <c r="G960" s="17"/>
      <c r="H960" s="17"/>
      <c r="I960" s="12"/>
      <c r="J960" s="12"/>
      <c r="K960" s="12"/>
      <c r="L960" s="12"/>
      <c r="M960" s="12"/>
      <c r="N960" s="12"/>
    </row>
    <row r="961" ht="13.5" customHeight="1">
      <c r="A961" s="17"/>
      <c r="B961" s="12"/>
      <c r="C961" s="17"/>
      <c r="D961" s="17"/>
      <c r="E961" s="12"/>
      <c r="F961" s="12"/>
      <c r="G961" s="17"/>
      <c r="H961" s="17"/>
      <c r="I961" s="12"/>
      <c r="J961" s="12"/>
      <c r="K961" s="12"/>
      <c r="L961" s="12"/>
      <c r="M961" s="12"/>
      <c r="N961" s="12"/>
    </row>
    <row r="962" ht="13.5" customHeight="1">
      <c r="A962" s="17"/>
      <c r="B962" s="12"/>
      <c r="C962" s="17"/>
      <c r="D962" s="17"/>
      <c r="E962" s="12"/>
      <c r="F962" s="12"/>
      <c r="G962" s="17"/>
      <c r="H962" s="17"/>
      <c r="I962" s="12"/>
      <c r="J962" s="12"/>
      <c r="K962" s="12"/>
      <c r="L962" s="12"/>
      <c r="M962" s="12"/>
      <c r="N962" s="12"/>
    </row>
    <row r="963" ht="13.5" customHeight="1">
      <c r="A963" s="17"/>
      <c r="B963" s="12"/>
      <c r="C963" s="17"/>
      <c r="D963" s="17"/>
      <c r="E963" s="12"/>
      <c r="F963" s="12"/>
      <c r="G963" s="17"/>
      <c r="H963" s="17"/>
      <c r="I963" s="12"/>
      <c r="J963" s="12"/>
      <c r="K963" s="12"/>
      <c r="L963" s="12"/>
      <c r="M963" s="12"/>
      <c r="N963" s="12"/>
    </row>
    <row r="964" ht="13.5" customHeight="1">
      <c r="A964" s="17"/>
      <c r="B964" s="12"/>
      <c r="C964" s="17"/>
      <c r="D964" s="17"/>
      <c r="E964" s="12"/>
      <c r="F964" s="12"/>
      <c r="G964" s="17"/>
      <c r="H964" s="17"/>
      <c r="I964" s="12"/>
      <c r="J964" s="12"/>
      <c r="K964" s="12"/>
      <c r="L964" s="12"/>
      <c r="M964" s="12"/>
      <c r="N964" s="12"/>
    </row>
    <row r="965" ht="13.5" customHeight="1">
      <c r="A965" s="17"/>
      <c r="B965" s="12"/>
      <c r="C965" s="17"/>
      <c r="D965" s="17"/>
      <c r="E965" s="12"/>
      <c r="F965" s="12"/>
      <c r="G965" s="17"/>
      <c r="H965" s="17"/>
      <c r="I965" s="12"/>
      <c r="J965" s="12"/>
      <c r="K965" s="12"/>
      <c r="L965" s="12"/>
      <c r="M965" s="12"/>
      <c r="N965" s="12"/>
    </row>
    <row r="966" ht="13.5" customHeight="1">
      <c r="A966" s="17"/>
      <c r="B966" s="12"/>
      <c r="C966" s="17"/>
      <c r="D966" s="17"/>
      <c r="E966" s="12"/>
      <c r="F966" s="12"/>
      <c r="G966" s="17"/>
      <c r="H966" s="17"/>
      <c r="I966" s="12"/>
      <c r="J966" s="12"/>
      <c r="K966" s="12"/>
      <c r="L966" s="12"/>
      <c r="M966" s="12"/>
      <c r="N966" s="12"/>
    </row>
    <row r="967" ht="13.5" customHeight="1">
      <c r="A967" s="17"/>
      <c r="B967" s="12"/>
      <c r="C967" s="17"/>
      <c r="D967" s="17"/>
      <c r="E967" s="12"/>
      <c r="F967" s="12"/>
      <c r="G967" s="17"/>
      <c r="H967" s="17"/>
      <c r="I967" s="12"/>
      <c r="J967" s="12"/>
      <c r="K967" s="12"/>
      <c r="L967" s="12"/>
      <c r="M967" s="12"/>
      <c r="N967" s="12"/>
    </row>
    <row r="968" ht="13.5" customHeight="1">
      <c r="A968" s="17"/>
      <c r="B968" s="12"/>
      <c r="C968" s="17"/>
      <c r="D968" s="17"/>
      <c r="E968" s="12"/>
      <c r="F968" s="12"/>
      <c r="G968" s="17"/>
      <c r="H968" s="17"/>
      <c r="I968" s="12"/>
      <c r="J968" s="12"/>
      <c r="K968" s="12"/>
      <c r="L968" s="12"/>
      <c r="M968" s="12"/>
      <c r="N968" s="12"/>
    </row>
    <row r="969" ht="13.5" customHeight="1">
      <c r="A969" s="17"/>
      <c r="B969" s="12"/>
      <c r="C969" s="17"/>
      <c r="D969" s="17"/>
      <c r="E969" s="12"/>
      <c r="F969" s="12"/>
      <c r="G969" s="17"/>
      <c r="H969" s="17"/>
      <c r="I969" s="12"/>
      <c r="J969" s="12"/>
      <c r="K969" s="12"/>
      <c r="L969" s="12"/>
      <c r="M969" s="12"/>
      <c r="N969" s="12"/>
    </row>
    <row r="970" ht="13.5" customHeight="1">
      <c r="A970" s="17"/>
      <c r="B970" s="12"/>
      <c r="C970" s="17"/>
      <c r="D970" s="17"/>
      <c r="E970" s="12"/>
      <c r="F970" s="12"/>
      <c r="G970" s="17"/>
      <c r="H970" s="17"/>
      <c r="I970" s="12"/>
      <c r="J970" s="12"/>
      <c r="K970" s="12"/>
      <c r="L970" s="12"/>
      <c r="M970" s="12"/>
      <c r="N970" s="12"/>
    </row>
    <row r="971" ht="13.5" customHeight="1">
      <c r="A971" s="17"/>
      <c r="B971" s="12"/>
      <c r="C971" s="17"/>
      <c r="D971" s="17"/>
      <c r="E971" s="12"/>
      <c r="F971" s="12"/>
      <c r="G971" s="17"/>
      <c r="H971" s="17"/>
      <c r="I971" s="12"/>
      <c r="J971" s="12"/>
      <c r="K971" s="12"/>
      <c r="L971" s="12"/>
      <c r="M971" s="12"/>
      <c r="N971" s="12"/>
    </row>
    <row r="972" ht="13.5" customHeight="1">
      <c r="A972" s="17"/>
      <c r="B972" s="12"/>
      <c r="C972" s="17"/>
      <c r="D972" s="17"/>
      <c r="E972" s="12"/>
      <c r="F972" s="12"/>
      <c r="G972" s="17"/>
      <c r="H972" s="17"/>
      <c r="I972" s="12"/>
      <c r="J972" s="12"/>
      <c r="K972" s="12"/>
      <c r="L972" s="12"/>
      <c r="M972" s="12"/>
      <c r="N972" s="12"/>
    </row>
    <row r="973" ht="13.5" customHeight="1">
      <c r="A973" s="17"/>
      <c r="B973" s="12"/>
      <c r="C973" s="17"/>
      <c r="D973" s="17"/>
      <c r="E973" s="12"/>
      <c r="F973" s="12"/>
      <c r="G973" s="17"/>
      <c r="H973" s="17"/>
      <c r="I973" s="12"/>
      <c r="J973" s="12"/>
      <c r="K973" s="12"/>
      <c r="L973" s="12"/>
      <c r="M973" s="12"/>
      <c r="N973" s="12"/>
    </row>
    <row r="974" ht="13.5" customHeight="1">
      <c r="A974" s="17"/>
      <c r="B974" s="12"/>
      <c r="C974" s="17"/>
      <c r="D974" s="17"/>
      <c r="E974" s="12"/>
      <c r="F974" s="12"/>
      <c r="G974" s="17"/>
      <c r="H974" s="17"/>
      <c r="I974" s="12"/>
      <c r="J974" s="12"/>
      <c r="K974" s="12"/>
      <c r="L974" s="12"/>
      <c r="M974" s="12"/>
      <c r="N974" s="12"/>
    </row>
    <row r="975" ht="13.5" customHeight="1">
      <c r="A975" s="17"/>
      <c r="B975" s="12"/>
      <c r="C975" s="17"/>
      <c r="D975" s="17"/>
      <c r="E975" s="12"/>
      <c r="F975" s="12"/>
      <c r="G975" s="17"/>
      <c r="H975" s="17"/>
      <c r="I975" s="12"/>
      <c r="J975" s="12"/>
      <c r="K975" s="12"/>
      <c r="L975" s="12"/>
      <c r="M975" s="12"/>
      <c r="N975" s="12"/>
    </row>
    <row r="976" ht="13.5" customHeight="1">
      <c r="A976" s="17"/>
      <c r="B976" s="12"/>
      <c r="C976" s="17"/>
      <c r="D976" s="17"/>
      <c r="E976" s="12"/>
      <c r="F976" s="12"/>
      <c r="G976" s="17"/>
      <c r="H976" s="17"/>
      <c r="I976" s="12"/>
      <c r="J976" s="12"/>
      <c r="K976" s="12"/>
      <c r="L976" s="12"/>
      <c r="M976" s="12"/>
      <c r="N976" s="12"/>
    </row>
    <row r="977" ht="13.5" customHeight="1">
      <c r="A977" s="17"/>
      <c r="B977" s="12"/>
      <c r="C977" s="17"/>
      <c r="D977" s="17"/>
      <c r="E977" s="12"/>
      <c r="F977" s="12"/>
      <c r="G977" s="17"/>
      <c r="H977" s="17"/>
      <c r="I977" s="12"/>
      <c r="J977" s="12"/>
      <c r="K977" s="12"/>
      <c r="L977" s="12"/>
      <c r="M977" s="12"/>
      <c r="N977" s="12"/>
    </row>
    <row r="978" ht="13.5" customHeight="1">
      <c r="A978" s="17"/>
      <c r="B978" s="12"/>
      <c r="C978" s="17"/>
      <c r="D978" s="17"/>
      <c r="E978" s="12"/>
      <c r="F978" s="12"/>
      <c r="G978" s="17"/>
      <c r="H978" s="17"/>
      <c r="I978" s="12"/>
      <c r="J978" s="12"/>
      <c r="K978" s="12"/>
      <c r="L978" s="12"/>
      <c r="M978" s="12"/>
      <c r="N978" s="12"/>
    </row>
    <row r="979" ht="13.5" customHeight="1">
      <c r="A979" s="17"/>
      <c r="B979" s="12"/>
      <c r="C979" s="17"/>
      <c r="D979" s="17"/>
      <c r="E979" s="12"/>
      <c r="F979" s="12"/>
      <c r="G979" s="17"/>
      <c r="H979" s="17"/>
      <c r="I979" s="12"/>
      <c r="J979" s="12"/>
      <c r="K979" s="12"/>
      <c r="L979" s="12"/>
      <c r="M979" s="12"/>
      <c r="N979" s="12"/>
    </row>
    <row r="980" ht="13.5" customHeight="1">
      <c r="A980" s="17"/>
      <c r="B980" s="12"/>
      <c r="C980" s="17"/>
      <c r="D980" s="17"/>
      <c r="E980" s="12"/>
      <c r="F980" s="12"/>
      <c r="G980" s="17"/>
      <c r="H980" s="17"/>
      <c r="I980" s="12"/>
      <c r="J980" s="12"/>
      <c r="K980" s="12"/>
      <c r="L980" s="12"/>
      <c r="M980" s="12"/>
      <c r="N980" s="12"/>
    </row>
    <row r="981" ht="13.5" customHeight="1">
      <c r="A981" s="17"/>
      <c r="B981" s="12"/>
      <c r="C981" s="17"/>
      <c r="D981" s="17"/>
      <c r="E981" s="12"/>
      <c r="F981" s="12"/>
      <c r="G981" s="17"/>
      <c r="H981" s="17"/>
      <c r="I981" s="12"/>
      <c r="J981" s="12"/>
      <c r="K981" s="12"/>
      <c r="L981" s="12"/>
      <c r="M981" s="12"/>
      <c r="N981" s="12"/>
    </row>
    <row r="982" ht="13.5" customHeight="1">
      <c r="A982" s="17"/>
      <c r="B982" s="12"/>
      <c r="C982" s="17"/>
      <c r="D982" s="17"/>
      <c r="E982" s="12"/>
      <c r="F982" s="12"/>
      <c r="G982" s="17"/>
      <c r="H982" s="17"/>
      <c r="I982" s="12"/>
      <c r="J982" s="12"/>
      <c r="K982" s="12"/>
      <c r="L982" s="12"/>
      <c r="M982" s="12"/>
      <c r="N982" s="12"/>
    </row>
    <row r="983" ht="13.5" customHeight="1">
      <c r="A983" s="17"/>
      <c r="B983" s="12"/>
      <c r="C983" s="17"/>
      <c r="D983" s="17"/>
      <c r="E983" s="12"/>
      <c r="F983" s="12"/>
      <c r="G983" s="17"/>
      <c r="H983" s="17"/>
      <c r="I983" s="12"/>
      <c r="J983" s="12"/>
      <c r="K983" s="12"/>
      <c r="L983" s="12"/>
      <c r="M983" s="12"/>
      <c r="N983" s="12"/>
    </row>
    <row r="984" ht="13.5" customHeight="1">
      <c r="A984" s="17"/>
      <c r="B984" s="12"/>
      <c r="C984" s="17"/>
      <c r="D984" s="17"/>
      <c r="E984" s="12"/>
      <c r="F984" s="12"/>
      <c r="G984" s="17"/>
      <c r="H984" s="17"/>
      <c r="I984" s="12"/>
      <c r="J984" s="12"/>
      <c r="K984" s="12"/>
      <c r="L984" s="12"/>
      <c r="M984" s="12"/>
      <c r="N984" s="12"/>
    </row>
    <row r="985" ht="13.5" customHeight="1">
      <c r="A985" s="17"/>
      <c r="B985" s="12"/>
      <c r="C985" s="17"/>
      <c r="D985" s="17"/>
      <c r="E985" s="12"/>
      <c r="F985" s="12"/>
      <c r="G985" s="17"/>
      <c r="H985" s="17"/>
      <c r="I985" s="12"/>
      <c r="J985" s="12"/>
      <c r="K985" s="12"/>
      <c r="L985" s="12"/>
      <c r="M985" s="12"/>
      <c r="N985" s="12"/>
    </row>
    <row r="986" ht="13.5" customHeight="1">
      <c r="A986" s="17"/>
      <c r="B986" s="12"/>
      <c r="C986" s="17"/>
      <c r="D986" s="17"/>
      <c r="E986" s="12"/>
      <c r="F986" s="12"/>
      <c r="G986" s="17"/>
      <c r="H986" s="17"/>
      <c r="I986" s="12"/>
      <c r="J986" s="12"/>
      <c r="K986" s="12"/>
      <c r="L986" s="12"/>
      <c r="M986" s="12"/>
      <c r="N986" s="12"/>
    </row>
    <row r="987" ht="13.5" customHeight="1">
      <c r="A987" s="17"/>
      <c r="B987" s="12"/>
      <c r="C987" s="17"/>
      <c r="D987" s="17"/>
      <c r="E987" s="12"/>
      <c r="F987" s="12"/>
      <c r="G987" s="17"/>
      <c r="H987" s="17"/>
      <c r="I987" s="12"/>
      <c r="J987" s="12"/>
      <c r="K987" s="12"/>
      <c r="L987" s="12"/>
      <c r="M987" s="12"/>
      <c r="N987" s="12"/>
    </row>
    <row r="988" ht="13.5" customHeight="1">
      <c r="A988" s="17"/>
      <c r="B988" s="12"/>
      <c r="C988" s="17"/>
      <c r="D988" s="17"/>
      <c r="E988" s="12"/>
      <c r="F988" s="12"/>
      <c r="G988" s="17"/>
      <c r="H988" s="17"/>
      <c r="I988" s="12"/>
      <c r="J988" s="12"/>
      <c r="K988" s="12"/>
      <c r="L988" s="12"/>
      <c r="M988" s="12"/>
      <c r="N988" s="12"/>
    </row>
    <row r="989" ht="13.5" customHeight="1">
      <c r="A989" s="17"/>
      <c r="B989" s="12"/>
      <c r="C989" s="17"/>
      <c r="D989" s="17"/>
      <c r="E989" s="12"/>
      <c r="F989" s="12"/>
      <c r="G989" s="17"/>
      <c r="H989" s="17"/>
      <c r="I989" s="12"/>
      <c r="J989" s="12"/>
      <c r="K989" s="12"/>
      <c r="L989" s="12"/>
      <c r="M989" s="12"/>
      <c r="N989" s="12"/>
    </row>
    <row r="990" ht="13.5" customHeight="1">
      <c r="A990" s="17"/>
      <c r="B990" s="12"/>
      <c r="C990" s="17"/>
      <c r="D990" s="17"/>
      <c r="E990" s="12"/>
      <c r="F990" s="12"/>
      <c r="G990" s="17"/>
      <c r="H990" s="17"/>
      <c r="I990" s="12"/>
      <c r="J990" s="12"/>
      <c r="K990" s="12"/>
      <c r="L990" s="12"/>
      <c r="M990" s="12"/>
      <c r="N990" s="12"/>
    </row>
    <row r="991" ht="13.5" customHeight="1">
      <c r="A991" s="17"/>
      <c r="B991" s="12"/>
      <c r="C991" s="17"/>
      <c r="D991" s="17"/>
      <c r="E991" s="12"/>
      <c r="F991" s="12"/>
      <c r="G991" s="17"/>
      <c r="H991" s="17"/>
      <c r="I991" s="12"/>
      <c r="J991" s="12"/>
      <c r="K991" s="12"/>
      <c r="L991" s="12"/>
      <c r="M991" s="12"/>
      <c r="N991" s="12"/>
    </row>
    <row r="992" ht="13.5" customHeight="1">
      <c r="A992" s="17"/>
      <c r="B992" s="12"/>
      <c r="C992" s="17"/>
      <c r="D992" s="17"/>
      <c r="E992" s="12"/>
      <c r="F992" s="12"/>
      <c r="G992" s="17"/>
      <c r="H992" s="17"/>
      <c r="I992" s="12"/>
      <c r="J992" s="12"/>
      <c r="K992" s="12"/>
      <c r="L992" s="12"/>
      <c r="M992" s="12"/>
      <c r="N992" s="12"/>
    </row>
    <row r="993" ht="13.5" customHeight="1">
      <c r="A993" s="17"/>
      <c r="B993" s="12"/>
      <c r="C993" s="17"/>
      <c r="D993" s="17"/>
      <c r="E993" s="12"/>
      <c r="F993" s="12"/>
      <c r="G993" s="17"/>
      <c r="H993" s="17"/>
      <c r="I993" s="12"/>
      <c r="J993" s="12"/>
      <c r="K993" s="12"/>
      <c r="L993" s="12"/>
      <c r="M993" s="12"/>
      <c r="N993" s="12"/>
    </row>
    <row r="994" ht="13.5" customHeight="1">
      <c r="A994" s="17"/>
      <c r="B994" s="12"/>
      <c r="C994" s="17"/>
      <c r="D994" s="17"/>
      <c r="E994" s="12"/>
      <c r="F994" s="12"/>
      <c r="G994" s="17"/>
      <c r="H994" s="17"/>
      <c r="I994" s="12"/>
      <c r="J994" s="12"/>
      <c r="K994" s="12"/>
      <c r="L994" s="12"/>
      <c r="M994" s="12"/>
      <c r="N994" s="12"/>
    </row>
    <row r="995" ht="13.5" customHeight="1">
      <c r="A995" s="17"/>
      <c r="B995" s="12"/>
      <c r="C995" s="17"/>
      <c r="D995" s="17"/>
      <c r="E995" s="12"/>
      <c r="F995" s="12"/>
      <c r="G995" s="17"/>
      <c r="H995" s="17"/>
      <c r="I995" s="12"/>
      <c r="J995" s="12"/>
      <c r="K995" s="12"/>
      <c r="L995" s="12"/>
      <c r="M995" s="12"/>
      <c r="N995" s="12"/>
    </row>
    <row r="996" ht="13.5" customHeight="1">
      <c r="A996" s="17"/>
      <c r="B996" s="12"/>
      <c r="C996" s="17"/>
      <c r="D996" s="17"/>
      <c r="E996" s="12"/>
      <c r="F996" s="12"/>
      <c r="G996" s="17"/>
      <c r="H996" s="17"/>
      <c r="I996" s="12"/>
      <c r="J996" s="12"/>
      <c r="K996" s="12"/>
      <c r="L996" s="12"/>
      <c r="M996" s="12"/>
      <c r="N996" s="12"/>
    </row>
    <row r="997" ht="13.5" customHeight="1">
      <c r="A997" s="17"/>
      <c r="B997" s="12"/>
      <c r="C997" s="17"/>
      <c r="D997" s="17"/>
      <c r="E997" s="12"/>
      <c r="F997" s="12"/>
      <c r="G997" s="17"/>
      <c r="H997" s="17"/>
      <c r="I997" s="12"/>
      <c r="J997" s="12"/>
      <c r="K997" s="12"/>
      <c r="L997" s="12"/>
      <c r="M997" s="12"/>
      <c r="N997" s="12"/>
    </row>
    <row r="998" ht="13.5" customHeight="1">
      <c r="A998" s="17"/>
      <c r="B998" s="12"/>
      <c r="C998" s="17"/>
      <c r="D998" s="17"/>
      <c r="E998" s="12"/>
      <c r="F998" s="12"/>
      <c r="G998" s="17"/>
      <c r="H998" s="17"/>
      <c r="I998" s="12"/>
      <c r="J998" s="12"/>
      <c r="K998" s="12"/>
      <c r="L998" s="12"/>
      <c r="M998" s="12"/>
      <c r="N998" s="12"/>
    </row>
    <row r="999" ht="13.5" customHeight="1">
      <c r="A999" s="17"/>
      <c r="B999" s="12"/>
      <c r="C999" s="17"/>
      <c r="D999" s="17"/>
      <c r="E999" s="12"/>
      <c r="F999" s="12"/>
      <c r="G999" s="17"/>
      <c r="H999" s="17"/>
      <c r="I999" s="12"/>
      <c r="J999" s="12"/>
      <c r="K999" s="12"/>
      <c r="L999" s="12"/>
      <c r="M999" s="12"/>
      <c r="N999" s="12"/>
    </row>
    <row r="1000" ht="13.5" customHeight="1">
      <c r="A1000" s="17"/>
      <c r="B1000" s="12"/>
      <c r="C1000" s="17"/>
      <c r="D1000" s="17"/>
      <c r="E1000" s="12"/>
      <c r="F1000" s="12"/>
      <c r="G1000" s="17"/>
      <c r="H1000" s="17"/>
      <c r="I1000" s="12"/>
      <c r="J1000" s="12"/>
      <c r="K1000" s="12"/>
      <c r="L1000" s="12"/>
      <c r="M1000" s="12"/>
      <c r="N1000" s="12"/>
    </row>
    <row r="1001" ht="13.5" customHeight="1">
      <c r="A1001" s="17"/>
      <c r="B1001" s="12"/>
      <c r="C1001" s="17"/>
      <c r="D1001" s="17"/>
      <c r="E1001" s="12"/>
      <c r="F1001" s="12"/>
      <c r="G1001" s="17"/>
      <c r="H1001" s="17"/>
      <c r="I1001" s="12"/>
      <c r="J1001" s="12"/>
      <c r="K1001" s="12"/>
      <c r="L1001" s="12"/>
      <c r="M1001" s="12"/>
      <c r="N1001" s="12"/>
    </row>
    <row r="1002" ht="13.5" customHeight="1">
      <c r="A1002" s="17"/>
      <c r="B1002" s="12"/>
      <c r="C1002" s="17"/>
      <c r="D1002" s="17"/>
      <c r="E1002" s="12"/>
      <c r="F1002" s="12"/>
      <c r="G1002" s="17"/>
      <c r="H1002" s="17"/>
      <c r="I1002" s="12"/>
      <c r="J1002" s="12"/>
      <c r="K1002" s="12"/>
      <c r="L1002" s="12"/>
      <c r="M1002" s="12"/>
      <c r="N1002" s="12"/>
    </row>
  </sheetData>
  <customSheetViews>
    <customSheetView guid="{680DA13D-B90D-4DCE-BD48-5C0C34BB49B8}" filter="1" showAutoFilter="1">
      <autoFilter ref="$A$1:$I$22"/>
    </customSheetView>
    <customSheetView guid="{7E71B5F7-61AF-4C93-AAAA-D905E381EEB1}" filter="1" showAutoFilter="1">
      <autoFilter ref="$F$29"/>
    </customSheetView>
    <customSheetView guid="{3EDA368C-82AF-4F91-99D0-447C6D0C3AC0}" filter="1" showAutoFilter="1">
      <autoFilter ref="$A$1:$I$1002"/>
    </customSheetView>
    <customSheetView guid="{029C2313-9411-4E27-907A-EFD996D6C4E5}" filter="1" showAutoFilter="1">
      <autoFilter ref="$F$1:$I$1002">
        <filterColumn colId="0">
          <filters blank="1"/>
        </filterColumn>
      </autoFilter>
    </customSheetView>
  </customSheetViews>
  <conditionalFormatting sqref="F2:F33">
    <cfRule type="containsText" dxfId="1" priority="1" operator="containsText" text="Open">
      <formula>NOT(ISERROR(SEARCH(("Open"),(F2))))</formula>
    </cfRule>
  </conditionalFormatting>
  <conditionalFormatting sqref="F2:F33">
    <cfRule type="containsText" dxfId="0" priority="2" operator="containsText" text="Closed">
      <formula>NOT(ISERROR(SEARCH(("Closed"),(F2))))</formula>
    </cfRule>
  </conditionalFormatting>
  <conditionalFormatting sqref="F2:F33">
    <cfRule type="containsText" dxfId="3" priority="3" operator="containsText" text="Monitor">
      <formula>NOT(ISERROR(SEARCH(("Monitor"),(F2))))</formula>
    </cfRule>
  </conditionalFormatting>
  <dataValidations>
    <dataValidation type="list" allowBlank="1" sqref="C2:D26">
      <formula1>Option!$D$5:$D$10</formula1>
    </dataValidation>
    <dataValidation type="list" allowBlank="1" sqref="F2:F26">
      <formula1>Option!$F$2:$F$4</formula1>
    </dataValidation>
    <dataValidation type="list" allowBlank="1" sqref="B2:B26">
      <formula1>Option!$C$4:$C$13</formula1>
    </dataValidation>
    <dataValidation type="list" allowBlank="1" sqref="E2:E22">
      <formula1>Option!$G$2:$G$5</formula1>
    </dataValidation>
  </dataValidations>
  <drawing r:id="rId4"/>
  <legacyDrawing r:id="rId5"/>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5.13" defaultRowHeight="15.0"/>
  <cols>
    <col customWidth="1" min="1" max="1" width="14.63"/>
    <col customWidth="1" min="2" max="2" width="16.0"/>
    <col customWidth="1" min="3" max="3" width="9.38"/>
    <col customWidth="1" min="4" max="4" width="18.25"/>
    <col customWidth="1" min="5" max="5" width="15.5"/>
    <col customWidth="1" min="6" max="6" width="8.88"/>
    <col customWidth="1" min="7" max="7" width="11.38"/>
    <col customWidth="1" min="8" max="8" width="17.5"/>
    <col customWidth="1" min="9" max="9" width="32.0"/>
    <col customWidth="1" min="10" max="10" width="25.63"/>
    <col customWidth="1" min="11" max="11" width="9.0"/>
    <col customWidth="1" min="12" max="12" width="13.13"/>
    <col customWidth="1" min="13" max="13" width="7.63"/>
    <col customWidth="1" min="14" max="14" width="19.5"/>
    <col customWidth="1" min="15" max="15" width="23.88"/>
    <col customWidth="1" min="16" max="29" width="7.63"/>
  </cols>
  <sheetData>
    <row r="1" ht="24.0" customHeight="1">
      <c r="A1" s="301" t="s">
        <v>1218</v>
      </c>
      <c r="B1" s="301" t="s">
        <v>1218</v>
      </c>
      <c r="C1" s="301" t="s">
        <v>1</v>
      </c>
      <c r="D1" s="301" t="s">
        <v>3</v>
      </c>
      <c r="E1" s="301" t="str">
        <f>IFERROR(__xludf.DUMMYFUNCTION("importrange(""https://docs.google.com/spreadsheets/d/1NMC0o9jQ4kaJVdWT5_zFDFOyobufNJimINAoczRlXSk/edit#gid=2038464719"",""Definition!C1:C14"")"),"Block")</f>
        <v>Block</v>
      </c>
      <c r="F1" s="301" t="s">
        <v>5</v>
      </c>
      <c r="G1" s="301" t="s">
        <v>4</v>
      </c>
      <c r="H1" s="301"/>
      <c r="I1" s="301" t="s">
        <v>6</v>
      </c>
      <c r="J1" s="301" t="s">
        <v>53</v>
      </c>
      <c r="K1" s="301" t="s">
        <v>8</v>
      </c>
      <c r="L1" s="301" t="s">
        <v>714</v>
      </c>
      <c r="M1" s="302"/>
      <c r="N1" s="301" t="s">
        <v>830</v>
      </c>
      <c r="O1" s="301" t="s">
        <v>831</v>
      </c>
      <c r="P1" s="302"/>
      <c r="Q1" s="302"/>
      <c r="R1" s="302"/>
      <c r="S1" s="302"/>
      <c r="T1" s="302"/>
      <c r="U1" s="302"/>
      <c r="V1" s="302"/>
      <c r="W1" s="302"/>
      <c r="X1" s="302"/>
      <c r="Y1" s="302"/>
      <c r="Z1" s="302"/>
      <c r="AA1" s="302"/>
      <c r="AB1" s="302"/>
      <c r="AC1" s="303"/>
    </row>
    <row r="2" ht="18.75" customHeight="1">
      <c r="A2" s="7" t="str">
        <f>IFERROR(__xludf.DUMMYFUNCTION("importrange(""https://docs.google.com/spreadsheets/d/1Vw-xlIGOsoi0BN9Sqe9r1UU4EIHduVyohiVqQ2R3TnE/edit#gid=0"",""definition!A2:A30"")"),"Andy NA")</f>
        <v>Andy NA</v>
      </c>
      <c r="B2" s="7" t="str">
        <f>IFERROR(__xludf.DUMMYFUNCTION("importrange(""https://docs.google.com/spreadsheets/d/1Vw-xlIGOsoi0BN9Sqe9r1UU4EIHduVyohiVqQ2R3TnE/edit#gid=0"",""definition!B2:B30"")"),"0.Andy NA")</f>
        <v>0.Andy NA</v>
      </c>
      <c r="C2" s="7" t="s">
        <v>385</v>
      </c>
      <c r="D2" s="7" t="s">
        <v>1001</v>
      </c>
      <c r="E2" s="7" t="str">
        <f>IFERROR(__xludf.DUMMYFUNCTION("""COMPUTED_VALUE"""),"1.Platform")</f>
        <v>1.Platform</v>
      </c>
      <c r="F2" s="7" t="s">
        <v>59</v>
      </c>
      <c r="G2" s="7" t="s">
        <v>22</v>
      </c>
      <c r="H2" s="7"/>
      <c r="I2" s="301" t="s">
        <v>1219</v>
      </c>
      <c r="J2" s="7" t="s">
        <v>748</v>
      </c>
      <c r="K2" s="7" t="str">
        <f>IFERROR(__xludf.DUMMYFUNCTION("importrange(""https://docs.google.com/spreadsheets/d/1ERCGjTE3QAJeH7i6lPQYzHO8p0gY2CrZazuetHvhJj0/edit#gid=2038957076"",""Team!E2:E17"")"),"小范")</f>
        <v>小范</v>
      </c>
      <c r="L2" s="304" t="str">
        <f>IFERROR(__xludf.DUMMYFUNCTION("importrange(""https://docs.google.com/spreadsheets/d/1NMC0o9jQ4kaJVdWT5_zFDFOyobufNJimINAoczRlXSk/edit#gid=2140804531"",""Function!A2:A20"")"),"1.BB")</f>
        <v>1.BB</v>
      </c>
      <c r="M2" s="305"/>
      <c r="N2" s="306" t="s">
        <v>1220</v>
      </c>
      <c r="O2" s="306" t="s">
        <v>1221</v>
      </c>
      <c r="P2" s="305"/>
      <c r="Q2" s="305"/>
      <c r="R2" s="305"/>
      <c r="S2" s="305"/>
      <c r="T2" s="305"/>
      <c r="U2" s="305"/>
      <c r="V2" s="305"/>
      <c r="W2" s="305"/>
      <c r="X2" s="305"/>
      <c r="Y2" s="305"/>
      <c r="Z2" s="305"/>
      <c r="AA2" s="305"/>
      <c r="AB2" s="305"/>
      <c r="AC2" s="307"/>
    </row>
    <row r="3" ht="18.75" customHeight="1">
      <c r="A3" s="7" t="str">
        <f>IFERROR(__xludf.DUMMYFUNCTION("""COMPUTED_VALUE"""),"Ashley")</f>
        <v>Ashley</v>
      </c>
      <c r="B3" s="7" t="str">
        <f>IFERROR(__xludf.DUMMYFUNCTION("""COMPUTED_VALUE"""),"0.Ashley")</f>
        <v>0.Ashley</v>
      </c>
      <c r="C3" s="7" t="s">
        <v>327</v>
      </c>
      <c r="D3" s="7" t="s">
        <v>386</v>
      </c>
      <c r="E3" s="7" t="str">
        <f>IFERROR(__xludf.DUMMYFUNCTION("""COMPUTED_VALUE"""),"2.Power")</f>
        <v>2.Power</v>
      </c>
      <c r="F3" s="7" t="s">
        <v>86</v>
      </c>
      <c r="G3" s="7" t="s">
        <v>15</v>
      </c>
      <c r="H3" s="7"/>
      <c r="I3" s="7"/>
      <c r="J3" s="7"/>
      <c r="K3" s="7" t="str">
        <f>IFERROR(__xludf.DUMMYFUNCTION("""COMPUTED_VALUE"""),"文亭")</f>
        <v>文亭</v>
      </c>
      <c r="L3" s="304" t="str">
        <f>IFERROR(__xludf.DUMMYFUNCTION("""COMPUTED_VALUE"""),"2.RF")</f>
        <v>2.RF</v>
      </c>
      <c r="M3" s="7" t="s">
        <v>1222</v>
      </c>
      <c r="N3" s="306" t="s">
        <v>1223</v>
      </c>
      <c r="O3" s="306" t="s">
        <v>1224</v>
      </c>
      <c r="P3" s="302"/>
      <c r="Q3" s="302"/>
      <c r="R3" s="302"/>
      <c r="S3" s="302"/>
      <c r="T3" s="302"/>
      <c r="U3" s="302"/>
      <c r="V3" s="302"/>
      <c r="W3" s="302"/>
      <c r="X3" s="302"/>
      <c r="Y3" s="302"/>
      <c r="Z3" s="302"/>
      <c r="AA3" s="302"/>
      <c r="AB3" s="302"/>
      <c r="AC3" s="303"/>
    </row>
    <row r="4" ht="18.75" customHeight="1">
      <c r="A4" s="7" t="str">
        <f>IFERROR(__xludf.DUMMYFUNCTION("""COMPUTED_VALUE"""),"George NA")</f>
        <v>George NA</v>
      </c>
      <c r="B4" s="7" t="str">
        <f>IFERROR(__xludf.DUMMYFUNCTION("""COMPUTED_VALUE"""),"0.George NA")</f>
        <v>0.George NA</v>
      </c>
      <c r="C4" s="7" t="s">
        <v>75</v>
      </c>
      <c r="D4" s="7" t="s">
        <v>265</v>
      </c>
      <c r="E4" s="7" t="str">
        <f>IFERROR(__xludf.DUMMYFUNCTION("""COMPUTED_VALUE"""),"3.Charging")</f>
        <v>3.Charging</v>
      </c>
      <c r="F4" s="7" t="s">
        <v>16</v>
      </c>
      <c r="G4" s="7" t="s">
        <v>46</v>
      </c>
      <c r="H4" s="300"/>
      <c r="J4" s="7"/>
      <c r="K4" s="7" t="str">
        <f>IFERROR(__xludf.DUMMYFUNCTION("""COMPUTED_VALUE"""),"李果")</f>
        <v>李果</v>
      </c>
      <c r="L4" s="304" t="str">
        <f>IFERROR(__xludf.DUMMYFUNCTION("""COMPUTED_VALUE"""),"3.Antenna")</f>
        <v>3.Antenna</v>
      </c>
      <c r="M4" s="308" t="s">
        <v>1225</v>
      </c>
      <c r="N4" s="306" t="s">
        <v>1226</v>
      </c>
      <c r="O4" s="306" t="s">
        <v>1227</v>
      </c>
      <c r="P4" s="305"/>
      <c r="Q4" s="305"/>
      <c r="R4" s="305"/>
      <c r="S4" s="305"/>
      <c r="T4" s="305"/>
      <c r="U4" s="305"/>
      <c r="V4" s="305"/>
      <c r="W4" s="305"/>
      <c r="X4" s="305"/>
      <c r="Y4" s="305"/>
      <c r="Z4" s="305"/>
      <c r="AA4" s="305"/>
      <c r="AB4" s="305"/>
      <c r="AC4" s="307"/>
    </row>
    <row r="5" ht="18.75" customHeight="1">
      <c r="A5" s="7" t="str">
        <f>IFERROR(__xludf.DUMMYFUNCTION("""COMPUTED_VALUE"""),"Copperfield")</f>
        <v>Copperfield</v>
      </c>
      <c r="B5" s="7" t="str">
        <f>IFERROR(__xludf.DUMMYFUNCTION("""COMPUTED_VALUE"""),"0.Copperfield")</f>
        <v>0.Copperfield</v>
      </c>
      <c r="C5" s="7" t="s">
        <v>56</v>
      </c>
      <c r="D5" s="7" t="s">
        <v>81</v>
      </c>
      <c r="E5" s="7" t="str">
        <f>IFERROR(__xludf.DUMMYFUNCTION("""COMPUTED_VALUE"""),"4.Audio")</f>
        <v>4.Audio</v>
      </c>
      <c r="F5" s="7" t="s">
        <v>64</v>
      </c>
      <c r="G5" s="7" t="s">
        <v>64</v>
      </c>
      <c r="H5" s="7"/>
      <c r="I5" s="7"/>
      <c r="J5" s="7"/>
      <c r="K5" s="7" t="str">
        <f>IFERROR(__xludf.DUMMYFUNCTION("""COMPUTED_VALUE"""),"林峰")</f>
        <v>林峰</v>
      </c>
      <c r="L5" s="304" t="str">
        <f>IFERROR(__xludf.DUMMYFUNCTION("""COMPUTED_VALUE"""),"4.ME")</f>
        <v>4.ME</v>
      </c>
      <c r="M5" s="308" t="s">
        <v>1228</v>
      </c>
      <c r="N5" s="309" t="s">
        <v>1229</v>
      </c>
      <c r="O5" s="306" t="s">
        <v>1230</v>
      </c>
      <c r="P5" s="302"/>
      <c r="Q5" s="302"/>
      <c r="R5" s="302"/>
      <c r="S5" s="302"/>
      <c r="T5" s="302"/>
      <c r="U5" s="302"/>
      <c r="V5" s="302"/>
      <c r="W5" s="302"/>
      <c r="X5" s="302"/>
      <c r="Y5" s="302"/>
      <c r="Z5" s="302"/>
      <c r="AA5" s="302"/>
      <c r="AB5" s="302"/>
      <c r="AC5" s="303"/>
    </row>
    <row r="6" ht="18.75" customHeight="1">
      <c r="A6" s="7" t="str">
        <f>IFERROR(__xludf.DUMMYFUNCTION("""COMPUTED_VALUE"""),"Shelby")</f>
        <v>Shelby</v>
      </c>
      <c r="B6" s="7" t="str">
        <f>IFERROR(__xludf.DUMMYFUNCTION("""COMPUTED_VALUE"""),"1.Shelby")</f>
        <v>1.Shelby</v>
      </c>
      <c r="C6" s="7" t="s">
        <v>43</v>
      </c>
      <c r="D6" s="7" t="s">
        <v>27</v>
      </c>
      <c r="E6" s="7" t="str">
        <f>IFERROR(__xludf.DUMMYFUNCTION("""COMPUTED_VALUE"""),"5.Camera")</f>
        <v>5.Camera</v>
      </c>
      <c r="F6" s="7"/>
      <c r="G6" s="7"/>
      <c r="H6" s="7"/>
      <c r="I6" s="7"/>
      <c r="J6" s="7"/>
      <c r="K6" s="7" t="str">
        <f>IFERROR(__xludf.DUMMYFUNCTION("""COMPUTED_VALUE"""),"嘉琨")</f>
        <v>嘉琨</v>
      </c>
      <c r="L6" s="304" t="str">
        <f>IFERROR(__xludf.DUMMYFUNCTION("""COMPUTED_VALUE"""),"5.SW")</f>
        <v>5.SW</v>
      </c>
      <c r="M6" s="308" t="s">
        <v>1231</v>
      </c>
      <c r="N6" s="306" t="s">
        <v>1232</v>
      </c>
      <c r="O6" s="306" t="s">
        <v>1233</v>
      </c>
      <c r="P6" s="305"/>
      <c r="Q6" s="305"/>
      <c r="R6" s="305"/>
      <c r="S6" s="305"/>
      <c r="T6" s="305"/>
      <c r="U6" s="305"/>
      <c r="V6" s="305"/>
      <c r="W6" s="305"/>
      <c r="X6" s="305"/>
      <c r="Y6" s="305"/>
      <c r="Z6" s="305"/>
      <c r="AA6" s="305"/>
      <c r="AB6" s="305"/>
      <c r="AC6" s="307"/>
    </row>
    <row r="7" ht="18.75" customHeight="1">
      <c r="A7" s="7" t="str">
        <f>IFERROR(__xludf.DUMMYFUNCTION("""COMPUTED_VALUE"""),"Stingray")</f>
        <v>Stingray</v>
      </c>
      <c r="B7" s="7" t="str">
        <f>IFERROR(__xludf.DUMMYFUNCTION("""COMPUTED_VALUE"""),"2.Stingray")</f>
        <v>2.Stingray</v>
      </c>
      <c r="C7" s="7" t="s">
        <v>19</v>
      </c>
      <c r="D7" s="7" t="s">
        <v>77</v>
      </c>
      <c r="E7" s="7" t="str">
        <f>IFERROR(__xludf.DUMMYFUNCTION("""COMPUTED_VALUE"""),"6.Display/Touch")</f>
        <v>6.Display/Touch</v>
      </c>
      <c r="F7" s="7"/>
      <c r="G7" s="7"/>
      <c r="H7" s="7"/>
      <c r="I7" s="7"/>
      <c r="J7" s="7"/>
      <c r="K7" s="7" t="str">
        <f>IFERROR(__xludf.DUMMYFUNCTION("""COMPUTED_VALUE"""),"敏敏")</f>
        <v>敏敏</v>
      </c>
      <c r="L7" s="304" t="str">
        <f>IFERROR(__xludf.DUMMYFUNCTION("""COMPUTED_VALUE"""),"6.Display")</f>
        <v>6.Display</v>
      </c>
      <c r="M7" s="7" t="s">
        <v>1234</v>
      </c>
      <c r="N7" s="306" t="s">
        <v>1235</v>
      </c>
      <c r="O7" s="306" t="s">
        <v>1236</v>
      </c>
      <c r="P7" s="302"/>
      <c r="Q7" s="302"/>
      <c r="R7" s="302"/>
      <c r="S7" s="302"/>
      <c r="T7" s="302"/>
      <c r="U7" s="302"/>
      <c r="V7" s="302"/>
      <c r="W7" s="302"/>
      <c r="X7" s="302"/>
      <c r="Y7" s="302"/>
      <c r="Z7" s="302"/>
      <c r="AA7" s="302"/>
      <c r="AB7" s="302"/>
      <c r="AC7" s="303"/>
    </row>
    <row r="8" ht="18.75" customHeight="1">
      <c r="A8" s="7" t="str">
        <f>IFERROR(__xludf.DUMMYFUNCTION("""COMPUTED_VALUE"""),"Quattro")</f>
        <v>Quattro</v>
      </c>
      <c r="B8" s="7" t="str">
        <f>IFERROR(__xludf.DUMMYFUNCTION("""COMPUTED_VALUE"""),"3.Quattro")</f>
        <v>3.Quattro</v>
      </c>
      <c r="C8" s="7" t="s">
        <v>121</v>
      </c>
      <c r="D8" s="7" t="s">
        <v>44</v>
      </c>
      <c r="E8" s="7" t="str">
        <f>IFERROR(__xludf.DUMMYFUNCTION("""COMPUTED_VALUE"""),"7.Sensor")</f>
        <v>7.Sensor</v>
      </c>
      <c r="F8" s="7"/>
      <c r="G8" s="7"/>
      <c r="H8" s="7"/>
      <c r="I8" s="7"/>
      <c r="J8" s="7"/>
      <c r="K8" s="7" t="str">
        <f>IFERROR(__xludf.DUMMYFUNCTION("""COMPUTED_VALUE"""),"小熊")</f>
        <v>小熊</v>
      </c>
      <c r="L8" s="304" t="str">
        <f>IFERROR(__xludf.DUMMYFUNCTION("""COMPUTED_VALUE"""),"7.Audio")</f>
        <v>7.Audio</v>
      </c>
      <c r="M8" s="308" t="s">
        <v>1237</v>
      </c>
      <c r="N8" s="306" t="s">
        <v>64</v>
      </c>
      <c r="O8" s="306" t="s">
        <v>1238</v>
      </c>
      <c r="P8" s="305"/>
      <c r="Q8" s="305"/>
      <c r="R8" s="305"/>
      <c r="S8" s="305"/>
      <c r="T8" s="305"/>
      <c r="U8" s="305"/>
      <c r="V8" s="305"/>
      <c r="W8" s="305"/>
      <c r="X8" s="305"/>
      <c r="Y8" s="305"/>
      <c r="Z8" s="305"/>
      <c r="AA8" s="305"/>
      <c r="AB8" s="305"/>
      <c r="AC8" s="307"/>
    </row>
    <row r="9" ht="18.75" customHeight="1">
      <c r="A9" s="7" t="str">
        <f>IFERROR(__xludf.DUMMYFUNCTION("""COMPUTED_VALUE"""),"Sofia NA")</f>
        <v>Sofia NA</v>
      </c>
      <c r="B9" s="7" t="str">
        <f>IFERROR(__xludf.DUMMYFUNCTION("""COMPUTED_VALUE"""),"4.1.Sofia NA")</f>
        <v>4.1.Sofia NA</v>
      </c>
      <c r="C9" s="7"/>
      <c r="D9" s="7" t="s">
        <v>21</v>
      </c>
      <c r="E9" s="7" t="str">
        <f>IFERROR(__xludf.DUMMYFUNCTION("""COMPUTED_VALUE"""),"8.PCB")</f>
        <v>8.PCB</v>
      </c>
      <c r="F9" s="7"/>
      <c r="G9" s="7"/>
      <c r="H9" s="7"/>
      <c r="I9" s="7"/>
      <c r="J9" s="7"/>
      <c r="K9" s="7" t="str">
        <f>IFERROR(__xludf.DUMMYFUNCTION("""COMPUTED_VALUE"""),"院长")</f>
        <v>院长</v>
      </c>
      <c r="L9" s="304" t="str">
        <f>IFERROR(__xludf.DUMMYFUNCTION("""COMPUTED_VALUE"""),"8.Charging")</f>
        <v>8.Charging</v>
      </c>
      <c r="M9" s="7" t="s">
        <v>1239</v>
      </c>
      <c r="N9" s="306"/>
      <c r="O9" s="306" t="s">
        <v>1240</v>
      </c>
      <c r="P9" s="302"/>
      <c r="Q9" s="302"/>
      <c r="R9" s="302"/>
      <c r="S9" s="302"/>
      <c r="T9" s="302"/>
      <c r="U9" s="302"/>
      <c r="V9" s="302"/>
      <c r="W9" s="302"/>
      <c r="X9" s="302"/>
      <c r="Y9" s="302"/>
      <c r="Z9" s="302"/>
      <c r="AA9" s="302"/>
      <c r="AB9" s="302"/>
      <c r="AC9" s="303"/>
    </row>
    <row r="10" ht="18.75" customHeight="1">
      <c r="A10" s="7" t="str">
        <f>IFERROR(__xludf.DUMMYFUNCTION("""COMPUTED_VALUE"""),"Sofia Plus NA")</f>
        <v>Sofia Plus NA</v>
      </c>
      <c r="B10" s="7" t="str">
        <f>IFERROR(__xludf.DUMMYFUNCTION("""COMPUTED_VALUE"""),"4.2.Sofia Plus NA")</f>
        <v>4.2.Sofia Plus NA</v>
      </c>
      <c r="C10" s="7"/>
      <c r="D10" s="7" t="s">
        <v>58</v>
      </c>
      <c r="E10" s="7" t="str">
        <f>IFERROR(__xludf.DUMMYFUNCTION("""COMPUTED_VALUE"""),"9.Memory")</f>
        <v>9.Memory</v>
      </c>
      <c r="F10" s="7"/>
      <c r="G10" s="7"/>
      <c r="H10" s="7"/>
      <c r="I10" s="7"/>
      <c r="J10" s="7"/>
      <c r="K10" s="7" t="str">
        <f>IFERROR(__xludf.DUMMYFUNCTION("""COMPUTED_VALUE"""),"芳梅")</f>
        <v>芳梅</v>
      </c>
      <c r="L10" s="304" t="str">
        <f>IFERROR(__xludf.DUMMYFUNCTION("""COMPUTED_VALUE"""),"9.Sensor")</f>
        <v>9.Sensor</v>
      </c>
      <c r="M10" s="7" t="s">
        <v>1241</v>
      </c>
      <c r="N10" s="306"/>
      <c r="O10" s="306" t="s">
        <v>1242</v>
      </c>
      <c r="P10" s="305"/>
      <c r="Q10" s="305"/>
      <c r="R10" s="305"/>
      <c r="S10" s="305"/>
      <c r="T10" s="305"/>
      <c r="U10" s="305"/>
      <c r="V10" s="305"/>
      <c r="W10" s="305"/>
      <c r="X10" s="305"/>
      <c r="Y10" s="305"/>
      <c r="Z10" s="305"/>
      <c r="AA10" s="305"/>
      <c r="AB10" s="305"/>
      <c r="AC10" s="307"/>
    </row>
    <row r="11" ht="18.75" customHeight="1">
      <c r="A11" s="7" t="str">
        <f>IFERROR(__xludf.DUMMYFUNCTION("""COMPUTED_VALUE"""),"Nairobi")</f>
        <v>Nairobi</v>
      </c>
      <c r="B11" s="7" t="str">
        <f>IFERROR(__xludf.DUMMYFUNCTION("""COMPUTED_VALUE"""),"5.Nairobi")</f>
        <v>5.Nairobi</v>
      </c>
      <c r="C11" s="7"/>
      <c r="D11" s="7" t="s">
        <v>89</v>
      </c>
      <c r="E11" s="7" t="str">
        <f>IFERROR(__xludf.DUMMYFUNCTION("""COMPUTED_VALUE"""),"10.USB-C")</f>
        <v>10.USB-C</v>
      </c>
      <c r="F11" s="7"/>
      <c r="G11" s="7"/>
      <c r="H11" s="7"/>
      <c r="I11" s="7"/>
      <c r="J11" s="7"/>
      <c r="K11" s="7" t="str">
        <f>IFERROR(__xludf.DUMMYFUNCTION("""COMPUTED_VALUE"""),"德太加")</f>
        <v>德太加</v>
      </c>
      <c r="L11" s="304" t="str">
        <f>IFERROR(__xludf.DUMMYFUNCTION("""COMPUTED_VALUE"""),"10.Camera")</f>
        <v>10.Camera</v>
      </c>
      <c r="M11" s="302"/>
      <c r="N11" s="306"/>
      <c r="O11" s="306" t="s">
        <v>1243</v>
      </c>
      <c r="P11" s="302"/>
      <c r="Q11" s="302"/>
      <c r="R11" s="302"/>
      <c r="S11" s="302"/>
      <c r="T11" s="302"/>
      <c r="U11" s="302"/>
      <c r="V11" s="302"/>
      <c r="W11" s="302"/>
      <c r="X11" s="302"/>
      <c r="Y11" s="302"/>
      <c r="Z11" s="302"/>
      <c r="AA11" s="302"/>
      <c r="AB11" s="302"/>
      <c r="AC11" s="303"/>
    </row>
    <row r="12" ht="18.75" customHeight="1">
      <c r="A12" s="7" t="str">
        <f>IFERROR(__xludf.DUMMYFUNCTION("""COMPUTED_VALUE"""),"Denver")</f>
        <v>Denver</v>
      </c>
      <c r="B12" s="7" t="str">
        <f>IFERROR(__xludf.DUMMYFUNCTION("""COMPUTED_VALUE"""),"7.Denver")</f>
        <v>7.Denver</v>
      </c>
      <c r="C12" s="7" t="s">
        <v>25</v>
      </c>
      <c r="D12" s="7" t="s">
        <v>14</v>
      </c>
      <c r="E12" s="7" t="str">
        <f>IFERROR(__xludf.DUMMYFUNCTION("""COMPUTED_VALUE"""),"11.Thermal")</f>
        <v>11.Thermal</v>
      </c>
      <c r="F12" s="7"/>
      <c r="G12" s="7"/>
      <c r="H12" s="7"/>
      <c r="I12" s="7"/>
      <c r="J12" s="7"/>
      <c r="K12" s="7" t="str">
        <f>IFERROR(__xludf.DUMMYFUNCTION("""COMPUTED_VALUE"""),"廖哲霖")</f>
        <v>廖哲霖</v>
      </c>
      <c r="L12" s="304" t="str">
        <f>IFERROR(__xludf.DUMMYFUNCTION("""COMPUTED_VALUE"""),"11.FPS")</f>
        <v>11.FPS</v>
      </c>
      <c r="M12" s="305"/>
      <c r="N12" s="306"/>
      <c r="O12" s="310"/>
      <c r="P12" s="305"/>
      <c r="Q12" s="305"/>
      <c r="R12" s="305"/>
      <c r="S12" s="305"/>
      <c r="T12" s="305"/>
      <c r="U12" s="305"/>
      <c r="V12" s="305"/>
      <c r="W12" s="305"/>
      <c r="X12" s="305"/>
      <c r="Y12" s="305"/>
      <c r="Z12" s="305"/>
      <c r="AA12" s="305"/>
      <c r="AB12" s="305"/>
      <c r="AC12" s="307"/>
    </row>
    <row r="13" ht="18.75" customHeight="1">
      <c r="A13" s="7" t="str">
        <f>IFERROR(__xludf.DUMMYFUNCTION("""COMPUTED_VALUE"""),"Tahoe")</f>
        <v>Tahoe</v>
      </c>
      <c r="B13" s="7" t="str">
        <f>IFERROR(__xludf.DUMMYFUNCTION("""COMPUTED_VALUE"""),"6.Tahoe")</f>
        <v>6.Tahoe</v>
      </c>
      <c r="C13" s="7" t="s">
        <v>12</v>
      </c>
      <c r="D13" s="7" t="s">
        <v>95</v>
      </c>
      <c r="E13" s="7" t="str">
        <f>IFERROR(__xludf.DUMMYFUNCTION("""COMPUTED_VALUE"""),"12.EMC")</f>
        <v>12.EMC</v>
      </c>
      <c r="F13" s="7"/>
      <c r="G13" s="7"/>
      <c r="H13" s="7"/>
      <c r="I13" s="7"/>
      <c r="J13" s="7"/>
      <c r="K13" s="7" t="str">
        <f>IFERROR(__xludf.DUMMYFUNCTION("""COMPUTED_VALUE"""),"范南")</f>
        <v>范南</v>
      </c>
      <c r="L13" s="304" t="str">
        <f>IFERROR(__xludf.DUMMYFUNCTION("""COMPUTED_VALUE"""),"12.Connector")</f>
        <v>12.Connector</v>
      </c>
      <c r="M13" s="302"/>
      <c r="N13" s="306"/>
      <c r="O13" s="310"/>
      <c r="P13" s="302"/>
      <c r="Q13" s="302"/>
      <c r="R13" s="302"/>
      <c r="S13" s="302"/>
      <c r="T13" s="302"/>
      <c r="U13" s="302"/>
      <c r="V13" s="302"/>
      <c r="W13" s="302"/>
      <c r="X13" s="302"/>
      <c r="Y13" s="302"/>
      <c r="Z13" s="302"/>
      <c r="AA13" s="302"/>
      <c r="AB13" s="302"/>
      <c r="AC13" s="303"/>
    </row>
    <row r="14" ht="18.75" customHeight="1">
      <c r="A14" s="15" t="str">
        <f>IFERROR(__xludf.DUMMYFUNCTION("""COMPUTED_VALUE"""),"Sierra")</f>
        <v>Sierra</v>
      </c>
      <c r="B14" s="15" t="str">
        <f>IFERROR(__xludf.DUMMYFUNCTION("""COMPUTED_VALUE"""),"8.Sierra")</f>
        <v>8.Sierra</v>
      </c>
      <c r="C14" s="7" t="s">
        <v>172</v>
      </c>
      <c r="D14" s="9"/>
      <c r="E14" s="7" t="str">
        <f>IFERROR(__xludf.DUMMYFUNCTION("""COMPUTED_VALUE"""),"13.Discrete")</f>
        <v>13.Discrete</v>
      </c>
      <c r="F14" s="13"/>
      <c r="G14" s="308"/>
      <c r="H14" s="308"/>
      <c r="I14" s="7"/>
      <c r="J14" s="9"/>
      <c r="K14" s="7" t="str">
        <f>IFERROR(__xludf.DUMMYFUNCTION("""COMPUTED_VALUE"""),"川叔")</f>
        <v>川叔</v>
      </c>
      <c r="L14" s="304" t="str">
        <f>IFERROR(__xludf.DUMMYFUNCTION("""COMPUTED_VALUE"""),"13.Battery")</f>
        <v>13.Battery</v>
      </c>
      <c r="M14" s="305"/>
      <c r="N14" s="306"/>
      <c r="O14" s="306" t="s">
        <v>1244</v>
      </c>
      <c r="P14" s="305"/>
      <c r="Q14" s="305"/>
      <c r="R14" s="305"/>
      <c r="S14" s="305"/>
      <c r="T14" s="305"/>
      <c r="U14" s="305"/>
      <c r="V14" s="305"/>
      <c r="W14" s="305"/>
      <c r="X14" s="305"/>
      <c r="Y14" s="305"/>
      <c r="Z14" s="305"/>
      <c r="AA14" s="305"/>
      <c r="AB14" s="305"/>
      <c r="AC14" s="307"/>
    </row>
    <row r="15" ht="18.75" customHeight="1">
      <c r="A15" s="301" t="str">
        <f>IFERROR(__xludf.DUMMYFUNCTION("""COMPUTED_VALUE"""),"Yukon")</f>
        <v>Yukon</v>
      </c>
      <c r="B15" s="301" t="str">
        <f>IFERROR(__xludf.DUMMYFUNCTION("""COMPUTED_VALUE"""),"9.Yukon")</f>
        <v>9.Yukon</v>
      </c>
      <c r="C15" s="7"/>
      <c r="D15" s="301"/>
      <c r="E15" s="298" t="s">
        <v>1245</v>
      </c>
      <c r="F15" s="301"/>
      <c r="G15" s="301"/>
      <c r="H15" s="301"/>
      <c r="I15" s="301"/>
      <c r="J15" s="301"/>
      <c r="K15" s="7" t="str">
        <f>IFERROR(__xludf.DUMMYFUNCTION("""COMPUTED_VALUE"""),"艳红")</f>
        <v>艳红</v>
      </c>
      <c r="L15" s="304" t="str">
        <f>IFERROR(__xludf.DUMMYFUNCTION("""COMPUTED_VALUE"""),"14.Build SMT")</f>
        <v>14.Build SMT</v>
      </c>
      <c r="M15" s="302"/>
      <c r="N15" s="306"/>
      <c r="O15" s="306" t="s">
        <v>1246</v>
      </c>
      <c r="P15" s="302"/>
      <c r="Q15" s="302"/>
      <c r="R15" s="302"/>
      <c r="S15" s="302"/>
      <c r="T15" s="302"/>
      <c r="U15" s="302"/>
      <c r="V15" s="302"/>
      <c r="W15" s="302"/>
      <c r="X15" s="302"/>
      <c r="Y15" s="302"/>
      <c r="Z15" s="302"/>
      <c r="AA15" s="302"/>
      <c r="AB15" s="302"/>
      <c r="AC15" s="303"/>
    </row>
    <row r="16" ht="18.75" customHeight="1">
      <c r="A16" s="15" t="str">
        <f>IFERROR(__xludf.DUMMYFUNCTION("""COMPUTED_VALUE"""),"Milan 5G")</f>
        <v>Milan 5G</v>
      </c>
      <c r="B16" s="15" t="str">
        <f>IFERROR(__xludf.DUMMYFUNCTION("""COMPUTED_VALUE"""),"A.Milan 5G")</f>
        <v>A.Milan 5G</v>
      </c>
      <c r="C16" s="7"/>
      <c r="D16" s="9"/>
      <c r="E16" s="13"/>
      <c r="F16" s="13"/>
      <c r="G16" s="308"/>
      <c r="H16" s="308"/>
      <c r="I16" s="7"/>
      <c r="J16" s="9"/>
      <c r="K16" s="7" t="str">
        <f>IFERROR(__xludf.DUMMYFUNCTION("""COMPUTED_VALUE"""),"韩凯")</f>
        <v>韩凯</v>
      </c>
      <c r="L16" s="304" t="str">
        <f>IFERROR(__xludf.DUMMYFUNCTION("""COMPUTED_VALUE"""),"15.Build Test")</f>
        <v>15.Build Test</v>
      </c>
      <c r="M16" s="305"/>
      <c r="N16" s="306"/>
      <c r="O16" s="310"/>
      <c r="P16" s="305"/>
      <c r="Q16" s="305"/>
      <c r="R16" s="305"/>
      <c r="S16" s="305"/>
      <c r="T16" s="305"/>
      <c r="U16" s="305"/>
      <c r="V16" s="305"/>
      <c r="W16" s="305"/>
      <c r="X16" s="305"/>
      <c r="Y16" s="305"/>
      <c r="Z16" s="305"/>
      <c r="AA16" s="305"/>
      <c r="AB16" s="305"/>
      <c r="AC16" s="307"/>
    </row>
    <row r="17" ht="18.75" customHeight="1">
      <c r="A17" s="301" t="str">
        <f>IFERROR(__xludf.DUMMYFUNCTION("""COMPUTED_VALUE"""),"Dubai+ NA")</f>
        <v>Dubai+ NA</v>
      </c>
      <c r="B17" s="301" t="str">
        <f>IFERROR(__xludf.DUMMYFUNCTION("""COMPUTED_VALUE"""),"B.Dubai+ NA")</f>
        <v>B.Dubai+ NA</v>
      </c>
      <c r="D17" s="301"/>
      <c r="E17" s="301"/>
      <c r="F17" s="301"/>
      <c r="G17" s="301"/>
      <c r="H17" s="301"/>
      <c r="I17" s="301"/>
      <c r="J17" s="301"/>
      <c r="K17" s="301"/>
      <c r="L17" s="304" t="str">
        <f>IFERROR(__xludf.DUMMYFUNCTION("""COMPUTED_VALUE"""),"16.Build Assembly")</f>
        <v>16.Build Assembly</v>
      </c>
      <c r="M17" s="302"/>
      <c r="N17" s="306"/>
      <c r="O17" s="310"/>
      <c r="P17" s="302"/>
      <c r="Q17" s="302"/>
      <c r="R17" s="302"/>
      <c r="S17" s="302"/>
      <c r="T17" s="302"/>
      <c r="U17" s="302"/>
      <c r="V17" s="302"/>
      <c r="W17" s="302"/>
      <c r="X17" s="302"/>
      <c r="Y17" s="302"/>
      <c r="Z17" s="302"/>
      <c r="AA17" s="302"/>
      <c r="AB17" s="302"/>
      <c r="AC17" s="303"/>
    </row>
    <row r="18" ht="18.75" customHeight="1">
      <c r="A18" s="15" t="str">
        <f>IFERROR(__xludf.DUMMYFUNCTION("""COMPUTED_VALUE"""),"Miami")</f>
        <v>Miami</v>
      </c>
      <c r="B18" s="15" t="str">
        <f>IFERROR(__xludf.DUMMYFUNCTION("""COMPUTED_VALUE"""),"C.Miami")</f>
        <v>C.Miami</v>
      </c>
      <c r="C18" s="7"/>
      <c r="D18" s="9"/>
      <c r="E18" s="13"/>
      <c r="F18" s="13"/>
      <c r="G18" s="308"/>
      <c r="H18" s="308"/>
      <c r="I18" s="7"/>
      <c r="J18" s="9"/>
      <c r="K18" s="7"/>
      <c r="L18" s="305"/>
      <c r="M18" s="305"/>
      <c r="N18" s="306"/>
      <c r="O18" s="310"/>
      <c r="P18" s="305"/>
      <c r="Q18" s="305"/>
      <c r="R18" s="305"/>
      <c r="S18" s="305"/>
      <c r="T18" s="305"/>
      <c r="U18" s="305"/>
      <c r="V18" s="305"/>
      <c r="W18" s="305"/>
      <c r="X18" s="305"/>
      <c r="Y18" s="305"/>
      <c r="Z18" s="305"/>
      <c r="AA18" s="305"/>
      <c r="AB18" s="305"/>
      <c r="AC18" s="307"/>
    </row>
    <row r="19" ht="18.75" customHeight="1">
      <c r="A19" s="301" t="str">
        <f>IFERROR(__xludf.DUMMYFUNCTION("""COMPUTED_VALUE"""),"Geneva NA")</f>
        <v>Geneva NA</v>
      </c>
      <c r="B19" s="301" t="str">
        <f>IFERROR(__xludf.DUMMYFUNCTION("""COMPUTED_VALUE"""),"D.Geneva NA")</f>
        <v>D.Geneva NA</v>
      </c>
      <c r="C19" s="301"/>
      <c r="D19" s="301"/>
      <c r="E19" s="301"/>
      <c r="F19" s="301"/>
      <c r="G19" s="301"/>
      <c r="H19" s="301"/>
      <c r="I19" s="301"/>
      <c r="J19" s="301"/>
      <c r="K19" s="301"/>
      <c r="L19" s="302"/>
      <c r="M19" s="302"/>
      <c r="N19" s="306"/>
      <c r="O19" s="310"/>
      <c r="P19" s="302"/>
      <c r="Q19" s="302"/>
      <c r="R19" s="302"/>
      <c r="S19" s="302"/>
      <c r="T19" s="302"/>
      <c r="U19" s="302"/>
      <c r="V19" s="302"/>
      <c r="W19" s="302"/>
      <c r="X19" s="302"/>
      <c r="Y19" s="302"/>
      <c r="Z19" s="302"/>
      <c r="AA19" s="302"/>
      <c r="AB19" s="302"/>
      <c r="AC19" s="303"/>
    </row>
    <row r="20" ht="18.75" customHeight="1">
      <c r="A20" s="15" t="str">
        <f>IFERROR(__xludf.DUMMYFUNCTION("""COMPUTED_VALUE"""),"London NA")</f>
        <v>London NA</v>
      </c>
      <c r="B20" s="15" t="str">
        <f>IFERROR(__xludf.DUMMYFUNCTION("""COMPUTED_VALUE"""),"E.London NA")</f>
        <v>E.London NA</v>
      </c>
      <c r="C20" s="7"/>
      <c r="D20" s="9"/>
      <c r="E20" s="13"/>
      <c r="F20" s="13"/>
      <c r="G20" s="308"/>
      <c r="H20" s="308"/>
      <c r="I20" s="7"/>
      <c r="J20" s="9"/>
      <c r="K20" s="7"/>
      <c r="L20" s="305"/>
      <c r="M20" s="305"/>
      <c r="N20" s="309"/>
      <c r="O20" s="306" t="s">
        <v>1247</v>
      </c>
      <c r="P20" s="305"/>
      <c r="Q20" s="305"/>
      <c r="R20" s="305"/>
      <c r="S20" s="305"/>
      <c r="T20" s="305"/>
      <c r="U20" s="305"/>
      <c r="V20" s="305"/>
      <c r="W20" s="305"/>
      <c r="X20" s="305"/>
      <c r="Y20" s="305"/>
      <c r="Z20" s="305"/>
      <c r="AA20" s="305"/>
      <c r="AB20" s="305"/>
      <c r="AC20" s="307"/>
    </row>
    <row r="21" ht="18.75" customHeight="1">
      <c r="A21" s="15" t="str">
        <f>IFERROR(__xludf.DUMMYFUNCTION("""COMPUTED_VALUE"""),"Manaus Row")</f>
        <v>Manaus Row</v>
      </c>
      <c r="B21" s="15" t="str">
        <f>IFERROR(__xludf.DUMMYFUNCTION("""COMPUTED_VALUE"""),"F.Manaus Row")</f>
        <v>F.Manaus Row</v>
      </c>
      <c r="C21" s="7"/>
      <c r="D21" s="9"/>
      <c r="E21" s="13"/>
      <c r="F21" s="13"/>
      <c r="G21" s="308"/>
      <c r="H21" s="308"/>
      <c r="I21" s="7"/>
      <c r="J21" s="9"/>
      <c r="K21" s="7"/>
      <c r="L21" s="305"/>
      <c r="M21" s="305"/>
      <c r="N21" s="306"/>
      <c r="O21" s="306" t="s">
        <v>1248</v>
      </c>
      <c r="P21" s="305"/>
      <c r="Q21" s="305"/>
      <c r="R21" s="305"/>
      <c r="S21" s="305"/>
      <c r="T21" s="305"/>
      <c r="U21" s="305"/>
      <c r="V21" s="305"/>
      <c r="W21" s="305"/>
      <c r="X21" s="305"/>
      <c r="Y21" s="305"/>
      <c r="Z21" s="305"/>
      <c r="AA21" s="305"/>
      <c r="AB21" s="305"/>
      <c r="AC21" s="307"/>
    </row>
    <row r="22" ht="18.75" customHeight="1">
      <c r="A22" s="301" t="str">
        <f>IFERROR(__xludf.DUMMYFUNCTION("""COMPUTED_VALUE"""),"Manaus NA")</f>
        <v>Manaus NA</v>
      </c>
      <c r="B22" s="301" t="str">
        <f>IFERROR(__xludf.DUMMYFUNCTION("""COMPUTED_VALUE"""),"G.Manaus NA")</f>
        <v>G.Manaus NA</v>
      </c>
      <c r="C22" s="301"/>
      <c r="D22" s="301"/>
      <c r="E22" s="301"/>
      <c r="F22" s="301"/>
      <c r="G22" s="301"/>
      <c r="H22" s="301"/>
      <c r="I22" s="301"/>
      <c r="J22" s="301"/>
      <c r="K22" s="301"/>
      <c r="L22" s="302"/>
      <c r="M22" s="302"/>
      <c r="N22" s="306"/>
      <c r="O22" s="306" t="s">
        <v>1249</v>
      </c>
      <c r="P22" s="302"/>
      <c r="Q22" s="302"/>
      <c r="R22" s="302"/>
      <c r="S22" s="302"/>
      <c r="T22" s="302"/>
      <c r="U22" s="302"/>
      <c r="V22" s="302"/>
      <c r="W22" s="302"/>
      <c r="X22" s="302"/>
      <c r="Y22" s="302"/>
      <c r="Z22" s="302"/>
      <c r="AA22" s="302"/>
      <c r="AB22" s="302"/>
      <c r="AC22" s="303"/>
    </row>
    <row r="23" ht="18.75" customHeight="1">
      <c r="A23" s="15" t="str">
        <f>IFERROR(__xludf.DUMMYFUNCTION("""COMPUTED_VALUE"""),"Boston")</f>
        <v>Boston</v>
      </c>
      <c r="B23" s="15" t="str">
        <f>IFERROR(__xludf.DUMMYFUNCTION("""COMPUTED_VALUE"""),"H.Boston")</f>
        <v>H.Boston</v>
      </c>
      <c r="C23" s="7"/>
      <c r="D23" s="9"/>
      <c r="E23" s="13"/>
      <c r="F23" s="13"/>
      <c r="G23" s="308"/>
      <c r="H23" s="308"/>
      <c r="I23" s="7"/>
      <c r="J23" s="9"/>
      <c r="K23" s="7"/>
      <c r="L23" s="305"/>
      <c r="M23" s="305"/>
      <c r="N23" s="306"/>
      <c r="O23" s="306" t="s">
        <v>64</v>
      </c>
      <c r="P23" s="305"/>
      <c r="Q23" s="305"/>
      <c r="R23" s="305"/>
      <c r="S23" s="305"/>
      <c r="T23" s="305"/>
      <c r="U23" s="305"/>
      <c r="V23" s="305"/>
      <c r="W23" s="305"/>
      <c r="X23" s="305"/>
      <c r="Y23" s="305"/>
      <c r="Z23" s="305"/>
      <c r="AA23" s="305"/>
      <c r="AB23" s="305"/>
      <c r="AC23" s="307"/>
    </row>
    <row r="24" ht="18.75" customHeight="1">
      <c r="A24" s="301" t="str">
        <f>IFERROR(__xludf.DUMMYFUNCTION("""COMPUTED_VALUE"""),"Wrangler")</f>
        <v>Wrangler</v>
      </c>
      <c r="B24" s="301" t="str">
        <f>IFERROR(__xludf.DUMMYFUNCTION("""COMPUTED_VALUE"""),"J.Wrangler")</f>
        <v>J.Wrangler</v>
      </c>
      <c r="C24" s="301"/>
      <c r="D24" s="301"/>
      <c r="E24" s="301"/>
      <c r="F24" s="301"/>
      <c r="G24" s="301"/>
      <c r="H24" s="301"/>
      <c r="I24" s="301"/>
      <c r="J24" s="301"/>
      <c r="K24" s="301"/>
      <c r="L24" s="302"/>
      <c r="M24" s="302"/>
      <c r="N24" s="311"/>
      <c r="O24" s="311"/>
      <c r="P24" s="302"/>
      <c r="Q24" s="302"/>
      <c r="R24" s="302"/>
      <c r="S24" s="302"/>
      <c r="T24" s="302"/>
      <c r="U24" s="302"/>
      <c r="V24" s="302"/>
      <c r="W24" s="302"/>
      <c r="X24" s="302"/>
      <c r="Y24" s="302"/>
      <c r="Z24" s="302"/>
      <c r="AA24" s="302"/>
      <c r="AB24" s="302"/>
      <c r="AC24" s="303"/>
    </row>
    <row r="25" ht="18.75" customHeight="1">
      <c r="A25" s="312" t="str">
        <f>IFERROR(__xludf.DUMMYFUNCTION("""COMPUTED_VALUE"""),"Houston")</f>
        <v>Houston</v>
      </c>
      <c r="B25" s="312" t="str">
        <f>IFERROR(__xludf.DUMMYFUNCTION("""COMPUTED_VALUE"""),"K.Houston")</f>
        <v>K.Houston</v>
      </c>
      <c r="C25" s="301"/>
      <c r="D25" s="301"/>
      <c r="E25" s="301"/>
      <c r="F25" s="301"/>
      <c r="G25" s="301"/>
      <c r="H25" s="301"/>
      <c r="I25" s="301"/>
      <c r="J25" s="301"/>
      <c r="K25" s="301"/>
      <c r="L25" s="302"/>
      <c r="M25" s="302"/>
      <c r="N25" s="311"/>
      <c r="O25" s="311"/>
      <c r="P25" s="302"/>
      <c r="Q25" s="302"/>
      <c r="R25" s="302"/>
      <c r="S25" s="302"/>
      <c r="T25" s="302"/>
      <c r="U25" s="302"/>
      <c r="V25" s="302"/>
      <c r="W25" s="302"/>
      <c r="X25" s="302"/>
      <c r="Y25" s="302"/>
      <c r="Z25" s="302"/>
      <c r="AA25" s="302"/>
      <c r="AB25" s="302"/>
      <c r="AC25" s="303"/>
    </row>
    <row r="26" ht="18.75" customHeight="1">
      <c r="A26" s="312" t="str">
        <f>IFERROR(__xludf.DUMMYFUNCTION("""COMPUTED_VALUE"""),"Prado")</f>
        <v>Prado</v>
      </c>
      <c r="B26" s="312" t="str">
        <f>IFERROR(__xludf.DUMMYFUNCTION("""COMPUTED_VALUE"""),"L.Prado")</f>
        <v>L.Prado</v>
      </c>
      <c r="G26" s="313" t="s">
        <v>1250</v>
      </c>
      <c r="H26" s="314" t="s">
        <v>1251</v>
      </c>
      <c r="I26" s="315" t="s">
        <v>1252</v>
      </c>
      <c r="J26" s="315" t="s">
        <v>1253</v>
      </c>
      <c r="K26" s="315" t="s">
        <v>4</v>
      </c>
      <c r="L26" s="305"/>
      <c r="M26" s="305"/>
      <c r="N26" s="306"/>
      <c r="O26" s="306"/>
      <c r="P26" s="305"/>
      <c r="Q26" s="305"/>
      <c r="R26" s="305"/>
      <c r="S26" s="305"/>
      <c r="T26" s="305"/>
      <c r="U26" s="305"/>
      <c r="V26" s="305"/>
      <c r="W26" s="305"/>
      <c r="X26" s="305"/>
      <c r="Y26" s="305"/>
      <c r="Z26" s="305"/>
      <c r="AA26" s="305"/>
      <c r="AB26" s="305"/>
      <c r="AC26" s="307"/>
    </row>
    <row r="27" ht="18.75" customHeight="1">
      <c r="A27" s="312"/>
      <c r="B27" s="312"/>
      <c r="G27" s="316" t="s">
        <v>1254</v>
      </c>
      <c r="H27" s="315" t="s">
        <v>1254</v>
      </c>
      <c r="I27" s="315" t="s">
        <v>1254</v>
      </c>
      <c r="J27" s="315" t="s">
        <v>1254</v>
      </c>
      <c r="K27" s="315" t="s">
        <v>46</v>
      </c>
      <c r="L27" s="302"/>
      <c r="M27" s="302"/>
      <c r="N27" s="306"/>
      <c r="O27" s="306"/>
      <c r="P27" s="302"/>
      <c r="Q27" s="302"/>
      <c r="R27" s="302"/>
      <c r="S27" s="302"/>
      <c r="T27" s="302"/>
      <c r="U27" s="302"/>
      <c r="V27" s="302"/>
      <c r="W27" s="302"/>
      <c r="X27" s="302"/>
      <c r="Y27" s="302"/>
      <c r="Z27" s="302"/>
      <c r="AA27" s="302"/>
      <c r="AB27" s="302"/>
      <c r="AC27" s="303"/>
    </row>
    <row r="28" ht="25.5" customHeight="1">
      <c r="A28" s="312"/>
      <c r="B28" s="312"/>
      <c r="G28" s="317" t="s">
        <v>1254</v>
      </c>
      <c r="H28" s="315" t="s">
        <v>1255</v>
      </c>
      <c r="I28" s="315" t="s">
        <v>1254</v>
      </c>
      <c r="J28" s="315" t="s">
        <v>1254</v>
      </c>
      <c r="K28" s="315" t="s">
        <v>15</v>
      </c>
      <c r="L28" s="305"/>
      <c r="M28" s="305"/>
      <c r="N28" s="305"/>
      <c r="O28" s="305"/>
      <c r="P28" s="305"/>
      <c r="Q28" s="305"/>
      <c r="R28" s="305"/>
      <c r="S28" s="305"/>
      <c r="T28" s="305"/>
      <c r="U28" s="305"/>
      <c r="V28" s="305"/>
      <c r="W28" s="305"/>
      <c r="X28" s="305"/>
      <c r="Y28" s="305"/>
      <c r="Z28" s="305"/>
      <c r="AA28" s="305"/>
      <c r="AB28" s="305"/>
      <c r="AC28" s="307"/>
    </row>
    <row r="29" ht="25.5" customHeight="1">
      <c r="A29" s="312"/>
      <c r="B29" s="312"/>
      <c r="G29" s="316" t="s">
        <v>1255</v>
      </c>
      <c r="H29" s="315" t="s">
        <v>1255</v>
      </c>
      <c r="I29" s="315" t="s">
        <v>1255</v>
      </c>
      <c r="J29" s="315" t="s">
        <v>1255</v>
      </c>
      <c r="K29" s="315" t="s">
        <v>22</v>
      </c>
      <c r="L29" s="302"/>
      <c r="M29" s="302"/>
      <c r="N29" s="302"/>
      <c r="O29" s="302"/>
      <c r="P29" s="302"/>
      <c r="Q29" s="302"/>
      <c r="R29" s="302"/>
      <c r="S29" s="302"/>
      <c r="T29" s="302"/>
      <c r="U29" s="302"/>
      <c r="V29" s="302"/>
      <c r="W29" s="302"/>
      <c r="X29" s="302"/>
      <c r="Y29" s="302"/>
      <c r="Z29" s="302"/>
      <c r="AA29" s="302"/>
      <c r="AB29" s="302"/>
      <c r="AC29" s="303"/>
    </row>
    <row r="30" ht="25.5" customHeight="1">
      <c r="A30" s="312"/>
      <c r="B30" s="312"/>
      <c r="C30" s="7"/>
      <c r="D30" s="9"/>
      <c r="E30" s="13"/>
      <c r="F30" s="13"/>
      <c r="G30" s="308"/>
      <c r="H30" s="308"/>
      <c r="I30" s="7"/>
      <c r="J30" s="9"/>
      <c r="K30" s="7"/>
      <c r="L30" s="305"/>
      <c r="M30" s="305"/>
      <c r="N30" s="305"/>
      <c r="O30" s="305"/>
      <c r="P30" s="305"/>
      <c r="Q30" s="305"/>
      <c r="R30" s="305"/>
      <c r="S30" s="305"/>
      <c r="T30" s="305"/>
      <c r="U30" s="305"/>
      <c r="V30" s="305"/>
      <c r="W30" s="305"/>
      <c r="X30" s="305"/>
      <c r="Y30" s="305"/>
      <c r="Z30" s="305"/>
      <c r="AA30" s="305"/>
      <c r="AB30" s="305"/>
      <c r="AC30" s="307"/>
    </row>
    <row r="31" ht="25.5" customHeight="1">
      <c r="A31" s="312"/>
      <c r="B31" s="312"/>
      <c r="E31" s="301"/>
      <c r="F31" s="301"/>
      <c r="G31" s="318" t="s">
        <v>1256</v>
      </c>
      <c r="H31" s="315" t="s">
        <v>1257</v>
      </c>
      <c r="I31" s="315" t="s">
        <v>4</v>
      </c>
      <c r="J31" s="301"/>
      <c r="K31" s="301"/>
      <c r="L31" s="302"/>
      <c r="M31" s="302"/>
      <c r="N31" s="302"/>
      <c r="O31" s="302"/>
      <c r="P31" s="302"/>
      <c r="Q31" s="302"/>
      <c r="R31" s="302"/>
      <c r="S31" s="302"/>
      <c r="T31" s="302"/>
      <c r="U31" s="302"/>
      <c r="V31" s="302"/>
      <c r="W31" s="302"/>
      <c r="X31" s="302"/>
      <c r="Y31" s="302"/>
      <c r="Z31" s="302"/>
      <c r="AA31" s="302"/>
      <c r="AB31" s="302"/>
      <c r="AC31" s="303"/>
    </row>
    <row r="32" ht="25.5" customHeight="1">
      <c r="A32" s="312"/>
      <c r="B32" s="312"/>
      <c r="E32" s="13"/>
      <c r="F32" s="13"/>
      <c r="G32" s="317" t="s">
        <v>1254</v>
      </c>
      <c r="H32" s="315" t="s">
        <v>1255</v>
      </c>
      <c r="I32" s="315" t="s">
        <v>46</v>
      </c>
      <c r="J32" s="9"/>
      <c r="K32" s="7"/>
      <c r="L32" s="305"/>
      <c r="M32" s="305"/>
      <c r="N32" s="305"/>
      <c r="O32" s="305"/>
      <c r="P32" s="305"/>
      <c r="Q32" s="305"/>
      <c r="R32" s="305"/>
      <c r="S32" s="305"/>
      <c r="T32" s="305"/>
      <c r="U32" s="305"/>
      <c r="V32" s="305"/>
      <c r="W32" s="305"/>
      <c r="X32" s="305"/>
      <c r="Y32" s="305"/>
      <c r="Z32" s="305"/>
      <c r="AA32" s="305"/>
      <c r="AB32" s="305"/>
      <c r="AC32" s="307"/>
    </row>
    <row r="33" ht="25.5" customHeight="1">
      <c r="A33" s="312"/>
      <c r="B33" s="312"/>
      <c r="E33" s="301"/>
      <c r="F33" s="301"/>
      <c r="G33" s="316" t="s">
        <v>1255</v>
      </c>
      <c r="H33" s="315" t="s">
        <v>1255</v>
      </c>
      <c r="I33" s="315" t="s">
        <v>15</v>
      </c>
      <c r="J33" s="301"/>
      <c r="K33" s="301"/>
      <c r="L33" s="302"/>
      <c r="M33" s="302"/>
      <c r="N33" s="302"/>
      <c r="O33" s="302"/>
      <c r="P33" s="302"/>
      <c r="Q33" s="302"/>
      <c r="R33" s="302"/>
      <c r="S33" s="302"/>
      <c r="T33" s="302"/>
      <c r="U33" s="302"/>
      <c r="V33" s="302"/>
      <c r="W33" s="302"/>
      <c r="X33" s="302"/>
      <c r="Y33" s="302"/>
      <c r="Z33" s="302"/>
      <c r="AA33" s="302"/>
      <c r="AB33" s="302"/>
      <c r="AC33" s="303"/>
    </row>
    <row r="34" ht="25.5" customHeight="1">
      <c r="A34" s="312"/>
      <c r="B34" s="312"/>
      <c r="E34" s="13"/>
      <c r="F34" s="13"/>
      <c r="G34" s="317" t="s">
        <v>1255</v>
      </c>
      <c r="H34" s="315" t="s">
        <v>1254</v>
      </c>
      <c r="I34" s="315" t="s">
        <v>22</v>
      </c>
      <c r="J34" s="9"/>
      <c r="K34" s="7"/>
      <c r="L34" s="305"/>
      <c r="M34" s="305"/>
      <c r="N34" s="305"/>
      <c r="O34" s="305"/>
      <c r="P34" s="305"/>
      <c r="Q34" s="305"/>
      <c r="R34" s="305"/>
      <c r="S34" s="305"/>
      <c r="T34" s="305"/>
      <c r="U34" s="305"/>
      <c r="V34" s="305"/>
      <c r="W34" s="305"/>
      <c r="X34" s="305"/>
      <c r="Y34" s="305"/>
      <c r="Z34" s="305"/>
      <c r="AA34" s="305"/>
      <c r="AB34" s="305"/>
      <c r="AC34" s="307"/>
    </row>
    <row r="35" ht="25.5" customHeight="1">
      <c r="A35" s="312"/>
      <c r="B35" s="312"/>
      <c r="C35" s="301"/>
      <c r="D35" s="301"/>
      <c r="E35" s="301"/>
      <c r="F35" s="301"/>
      <c r="G35" s="301"/>
      <c r="H35" s="301"/>
      <c r="I35" s="301"/>
      <c r="J35" s="301"/>
      <c r="K35" s="301"/>
      <c r="L35" s="302"/>
      <c r="M35" s="302"/>
      <c r="N35" s="302"/>
      <c r="O35" s="302"/>
      <c r="P35" s="302"/>
      <c r="Q35" s="302"/>
      <c r="R35" s="302"/>
      <c r="S35" s="302"/>
      <c r="T35" s="302"/>
      <c r="U35" s="302"/>
      <c r="V35" s="302"/>
      <c r="W35" s="302"/>
      <c r="X35" s="302"/>
      <c r="Y35" s="302"/>
      <c r="Z35" s="302"/>
      <c r="AA35" s="302"/>
      <c r="AB35" s="302"/>
      <c r="AC35" s="303"/>
    </row>
    <row r="36" ht="25.5" customHeight="1">
      <c r="A36" s="312"/>
      <c r="B36" s="312"/>
      <c r="C36" s="319"/>
      <c r="D36" s="320"/>
      <c r="E36" s="321"/>
      <c r="F36" s="321"/>
      <c r="G36" s="322" t="s">
        <v>1258</v>
      </c>
      <c r="H36" s="323"/>
      <c r="I36" s="319"/>
      <c r="J36" s="320"/>
      <c r="K36" s="319"/>
      <c r="L36" s="324"/>
      <c r="M36" s="324"/>
      <c r="N36" s="324"/>
      <c r="O36" s="324"/>
      <c r="P36" s="324"/>
      <c r="Q36" s="324"/>
      <c r="R36" s="324"/>
      <c r="S36" s="324"/>
      <c r="T36" s="324"/>
      <c r="U36" s="324"/>
      <c r="V36" s="324"/>
      <c r="W36" s="324"/>
      <c r="X36" s="324"/>
      <c r="Y36" s="324"/>
      <c r="Z36" s="324"/>
      <c r="AA36" s="324"/>
      <c r="AB36" s="324"/>
      <c r="AC36" s="325"/>
    </row>
    <row r="37" ht="25.5" customHeight="1">
      <c r="A37" s="312"/>
      <c r="B37" s="312"/>
      <c r="C37" s="301"/>
      <c r="D37" s="301"/>
      <c r="E37" s="301"/>
      <c r="F37" s="301"/>
      <c r="G37" s="301"/>
      <c r="H37" s="301"/>
      <c r="I37" s="301"/>
      <c r="J37" s="301"/>
      <c r="K37" s="301"/>
      <c r="L37" s="302"/>
      <c r="M37" s="302"/>
      <c r="N37" s="302"/>
      <c r="O37" s="302"/>
      <c r="P37" s="302"/>
      <c r="Q37" s="302"/>
      <c r="R37" s="302"/>
      <c r="S37" s="302"/>
      <c r="T37" s="302"/>
      <c r="U37" s="302"/>
      <c r="V37" s="302"/>
      <c r="W37" s="302"/>
      <c r="X37" s="302"/>
      <c r="Y37" s="302"/>
      <c r="Z37" s="302"/>
      <c r="AA37" s="302"/>
      <c r="AB37" s="302"/>
      <c r="AC37" s="303"/>
    </row>
    <row r="38" ht="25.5" customHeight="1">
      <c r="A38" s="312"/>
      <c r="B38" s="312"/>
      <c r="C38" s="7"/>
      <c r="D38" s="9"/>
      <c r="E38" s="13"/>
      <c r="F38" s="13"/>
      <c r="G38" s="313" t="s">
        <v>1259</v>
      </c>
      <c r="H38" s="308"/>
      <c r="I38" s="7"/>
      <c r="J38" s="9"/>
      <c r="K38" s="7"/>
      <c r="L38" s="305"/>
      <c r="M38" s="305"/>
      <c r="N38" s="305"/>
      <c r="O38" s="305"/>
      <c r="P38" s="305"/>
      <c r="Q38" s="305"/>
      <c r="R38" s="305"/>
      <c r="S38" s="305"/>
      <c r="T38" s="305"/>
      <c r="U38" s="305"/>
      <c r="V38" s="305"/>
      <c r="W38" s="305"/>
      <c r="X38" s="305"/>
      <c r="Y38" s="305"/>
      <c r="Z38" s="305"/>
      <c r="AA38" s="305"/>
      <c r="AB38" s="305"/>
      <c r="AC38" s="307"/>
    </row>
    <row r="39" ht="25.5" customHeight="1">
      <c r="A39" s="312"/>
      <c r="B39" s="312"/>
      <c r="C39" s="301"/>
      <c r="D39" s="301"/>
      <c r="E39" s="301"/>
      <c r="F39" s="301"/>
      <c r="G39" s="316" t="s">
        <v>6</v>
      </c>
      <c r="H39" s="301"/>
      <c r="I39" s="301"/>
      <c r="J39" s="301"/>
      <c r="K39" s="301"/>
      <c r="L39" s="302"/>
      <c r="M39" s="302"/>
      <c r="N39" s="302"/>
      <c r="O39" s="302"/>
      <c r="P39" s="302"/>
      <c r="Q39" s="302"/>
      <c r="R39" s="302"/>
      <c r="S39" s="302"/>
      <c r="T39" s="302"/>
      <c r="U39" s="302"/>
      <c r="V39" s="302"/>
      <c r="W39" s="302"/>
      <c r="X39" s="302"/>
      <c r="Y39" s="302"/>
      <c r="Z39" s="302"/>
      <c r="AA39" s="302"/>
      <c r="AB39" s="302"/>
      <c r="AC39" s="303"/>
    </row>
    <row r="40" ht="25.5" customHeight="1">
      <c r="A40" s="312"/>
      <c r="B40" s="312"/>
      <c r="C40" s="7"/>
      <c r="D40" s="9"/>
      <c r="E40" s="13"/>
      <c r="F40" s="13"/>
      <c r="G40" s="317" t="s">
        <v>1260</v>
      </c>
      <c r="H40" s="308"/>
      <c r="I40" s="7"/>
      <c r="J40" s="9"/>
      <c r="K40" s="7"/>
      <c r="L40" s="305"/>
      <c r="M40" s="305"/>
      <c r="N40" s="305"/>
      <c r="O40" s="305"/>
      <c r="P40" s="305"/>
      <c r="Q40" s="305"/>
      <c r="R40" s="305"/>
      <c r="S40" s="305"/>
      <c r="T40" s="305"/>
      <c r="U40" s="305"/>
      <c r="V40" s="305"/>
      <c r="W40" s="305"/>
      <c r="X40" s="305"/>
      <c r="Y40" s="305"/>
      <c r="Z40" s="305"/>
      <c r="AA40" s="305"/>
      <c r="AB40" s="305"/>
      <c r="AC40" s="307"/>
    </row>
    <row r="41" ht="25.5" customHeight="1">
      <c r="A41" s="312"/>
      <c r="B41" s="312"/>
      <c r="C41" s="301"/>
      <c r="D41" s="301"/>
      <c r="E41" s="301"/>
      <c r="F41" s="301"/>
      <c r="G41" s="316" t="s">
        <v>1261</v>
      </c>
      <c r="H41" s="301"/>
      <c r="I41" s="301"/>
      <c r="J41" s="301"/>
      <c r="K41" s="301"/>
      <c r="L41" s="302"/>
      <c r="M41" s="302"/>
      <c r="N41" s="302"/>
      <c r="O41" s="302"/>
      <c r="P41" s="302"/>
      <c r="Q41" s="302"/>
      <c r="R41" s="302"/>
      <c r="S41" s="302"/>
      <c r="T41" s="302"/>
      <c r="U41" s="302"/>
      <c r="V41" s="302"/>
      <c r="W41" s="302"/>
      <c r="X41" s="302"/>
      <c r="Y41" s="302"/>
      <c r="Z41" s="302"/>
      <c r="AA41" s="302"/>
      <c r="AB41" s="302"/>
      <c r="AC41" s="303"/>
    </row>
    <row r="42" ht="25.5" customHeight="1">
      <c r="C42" s="7"/>
      <c r="D42" s="9"/>
      <c r="E42" s="13"/>
      <c r="F42" s="13"/>
      <c r="G42" s="317" t="s">
        <v>1262</v>
      </c>
      <c r="H42" s="308"/>
      <c r="I42" s="7"/>
      <c r="J42" s="9"/>
      <c r="K42" s="7"/>
      <c r="L42" s="305"/>
      <c r="M42" s="305"/>
      <c r="N42" s="305"/>
      <c r="O42" s="305"/>
      <c r="P42" s="305"/>
      <c r="Q42" s="305"/>
      <c r="R42" s="305"/>
      <c r="S42" s="305"/>
      <c r="T42" s="305"/>
      <c r="U42" s="305"/>
      <c r="V42" s="305"/>
      <c r="W42" s="305"/>
      <c r="X42" s="305"/>
      <c r="Y42" s="305"/>
      <c r="Z42" s="305"/>
      <c r="AA42" s="305"/>
      <c r="AB42" s="305"/>
      <c r="AC42" s="307"/>
    </row>
    <row r="43" ht="25.5" customHeight="1">
      <c r="C43" s="301"/>
      <c r="D43" s="301"/>
      <c r="E43" s="301"/>
      <c r="F43" s="301"/>
      <c r="G43" s="316" t="s">
        <v>1263</v>
      </c>
      <c r="H43" s="301"/>
      <c r="I43" s="301"/>
      <c r="J43" s="301"/>
      <c r="K43" s="301"/>
      <c r="L43" s="302"/>
      <c r="M43" s="302"/>
      <c r="N43" s="302"/>
      <c r="O43" s="302"/>
      <c r="P43" s="302"/>
      <c r="Q43" s="302"/>
      <c r="R43" s="302"/>
      <c r="S43" s="302"/>
      <c r="T43" s="302"/>
      <c r="U43" s="302"/>
      <c r="V43" s="302"/>
      <c r="W43" s="302"/>
      <c r="X43" s="302"/>
      <c r="Y43" s="302"/>
      <c r="Z43" s="302"/>
      <c r="AA43" s="302"/>
      <c r="AB43" s="302"/>
      <c r="AC43" s="303"/>
    </row>
    <row r="44" ht="25.5" customHeight="1">
      <c r="C44" s="7"/>
      <c r="D44" s="9"/>
      <c r="E44" s="13"/>
      <c r="F44" s="13"/>
      <c r="G44" s="317" t="s">
        <v>1264</v>
      </c>
      <c r="H44" s="308"/>
      <c r="I44" s="7"/>
      <c r="J44" s="9"/>
      <c r="K44" s="7"/>
      <c r="L44" s="305"/>
      <c r="M44" s="305"/>
      <c r="N44" s="305"/>
      <c r="O44" s="305"/>
      <c r="P44" s="305"/>
      <c r="Q44" s="305"/>
      <c r="R44" s="305"/>
      <c r="S44" s="305"/>
      <c r="T44" s="305"/>
      <c r="U44" s="305"/>
      <c r="V44" s="305"/>
      <c r="W44" s="305"/>
      <c r="X44" s="305"/>
      <c r="Y44" s="305"/>
      <c r="Z44" s="305"/>
      <c r="AA44" s="305"/>
      <c r="AB44" s="305"/>
      <c r="AC44" s="307"/>
    </row>
    <row r="45" ht="25.5" customHeight="1">
      <c r="C45" s="301"/>
      <c r="D45" s="301"/>
      <c r="E45" s="301"/>
      <c r="F45" s="301"/>
      <c r="G45" s="316" t="s">
        <v>1265</v>
      </c>
      <c r="H45" s="301"/>
      <c r="I45" s="301"/>
      <c r="J45" s="301"/>
      <c r="K45" s="301"/>
      <c r="L45" s="302"/>
      <c r="M45" s="302"/>
      <c r="N45" s="302"/>
      <c r="O45" s="302"/>
      <c r="P45" s="302"/>
      <c r="Q45" s="302"/>
      <c r="R45" s="302"/>
      <c r="S45" s="302"/>
      <c r="T45" s="302"/>
      <c r="U45" s="302"/>
      <c r="V45" s="302"/>
      <c r="W45" s="302"/>
      <c r="X45" s="302"/>
      <c r="Y45" s="302"/>
      <c r="Z45" s="302"/>
      <c r="AA45" s="302"/>
      <c r="AB45" s="302"/>
      <c r="AC45" s="303"/>
    </row>
    <row r="46" ht="25.5" customHeight="1">
      <c r="C46" s="7"/>
      <c r="D46" s="9"/>
      <c r="E46" s="13"/>
      <c r="F46" s="13"/>
      <c r="G46" s="317" t="s">
        <v>1266</v>
      </c>
      <c r="H46" s="308"/>
      <c r="I46" s="7"/>
      <c r="J46" s="9"/>
      <c r="K46" s="7"/>
      <c r="L46" s="305"/>
      <c r="M46" s="305"/>
      <c r="N46" s="305"/>
      <c r="O46" s="305"/>
      <c r="P46" s="305"/>
      <c r="Q46" s="305"/>
      <c r="R46" s="305"/>
      <c r="S46" s="305"/>
      <c r="T46" s="305"/>
      <c r="U46" s="305"/>
      <c r="V46" s="305"/>
      <c r="W46" s="305"/>
      <c r="X46" s="305"/>
      <c r="Y46" s="305"/>
      <c r="Z46" s="305"/>
      <c r="AA46" s="305"/>
      <c r="AB46" s="305"/>
      <c r="AC46" s="307"/>
    </row>
    <row r="47" ht="25.5" customHeight="1">
      <c r="C47" s="301"/>
      <c r="D47" s="301"/>
      <c r="E47" s="301"/>
      <c r="F47" s="301"/>
      <c r="G47" s="316" t="s">
        <v>1267</v>
      </c>
      <c r="H47" s="301"/>
      <c r="I47" s="301"/>
      <c r="J47" s="301"/>
      <c r="K47" s="301"/>
      <c r="L47" s="302"/>
      <c r="M47" s="302"/>
      <c r="N47" s="302"/>
      <c r="O47" s="302"/>
      <c r="P47" s="302"/>
      <c r="Q47" s="302"/>
      <c r="R47" s="302"/>
      <c r="S47" s="302"/>
      <c r="T47" s="302"/>
      <c r="U47" s="302"/>
      <c r="V47" s="302"/>
      <c r="W47" s="302"/>
      <c r="X47" s="302"/>
      <c r="Y47" s="302"/>
      <c r="Z47" s="302"/>
      <c r="AA47" s="302"/>
      <c r="AB47" s="302"/>
      <c r="AC47" s="303"/>
    </row>
    <row r="48" ht="25.5" customHeight="1">
      <c r="C48" s="7"/>
      <c r="D48" s="9"/>
      <c r="E48" s="13"/>
      <c r="F48" s="13"/>
      <c r="G48" s="317" t="s">
        <v>1268</v>
      </c>
      <c r="H48" s="308"/>
      <c r="I48" s="7"/>
      <c r="J48" s="9"/>
      <c r="K48" s="7"/>
      <c r="L48" s="305"/>
      <c r="M48" s="305"/>
      <c r="N48" s="305"/>
      <c r="O48" s="305"/>
      <c r="P48" s="305"/>
      <c r="Q48" s="305"/>
      <c r="R48" s="305"/>
      <c r="S48" s="305"/>
      <c r="T48" s="305"/>
      <c r="U48" s="305"/>
      <c r="V48" s="305"/>
      <c r="W48" s="305"/>
      <c r="X48" s="305"/>
      <c r="Y48" s="305"/>
      <c r="Z48" s="305"/>
      <c r="AA48" s="305"/>
      <c r="AB48" s="305"/>
      <c r="AC48" s="307"/>
    </row>
    <row r="49" ht="25.5" customHeight="1">
      <c r="C49" s="301"/>
      <c r="D49" s="301"/>
      <c r="E49" s="301"/>
      <c r="F49" s="301"/>
      <c r="G49" s="301"/>
      <c r="H49" s="301"/>
      <c r="I49" s="301"/>
      <c r="J49" s="301"/>
      <c r="K49" s="301"/>
      <c r="L49" s="302"/>
      <c r="M49" s="302"/>
      <c r="N49" s="302"/>
      <c r="O49" s="302"/>
      <c r="P49" s="302"/>
      <c r="Q49" s="302"/>
      <c r="R49" s="302"/>
      <c r="S49" s="302"/>
      <c r="T49" s="302"/>
      <c r="U49" s="302"/>
      <c r="V49" s="302"/>
      <c r="W49" s="302"/>
      <c r="X49" s="302"/>
      <c r="Y49" s="302"/>
      <c r="Z49" s="302"/>
      <c r="AA49" s="302"/>
      <c r="AB49" s="302"/>
      <c r="AC49" s="303"/>
    </row>
    <row r="50" ht="25.5" customHeight="1">
      <c r="C50" s="7"/>
      <c r="D50" s="9"/>
      <c r="E50" s="13"/>
      <c r="F50" s="13"/>
      <c r="G50" s="313" t="s">
        <v>1269</v>
      </c>
      <c r="H50" s="308"/>
      <c r="I50" s="7"/>
      <c r="J50" s="9"/>
      <c r="K50" s="7"/>
      <c r="L50" s="305"/>
      <c r="M50" s="305"/>
      <c r="N50" s="305"/>
      <c r="O50" s="305"/>
      <c r="P50" s="305"/>
      <c r="Q50" s="305"/>
      <c r="R50" s="305"/>
      <c r="S50" s="305"/>
      <c r="T50" s="305"/>
      <c r="U50" s="305"/>
      <c r="V50" s="305"/>
      <c r="W50" s="305"/>
      <c r="X50" s="305"/>
      <c r="Y50" s="305"/>
      <c r="Z50" s="305"/>
      <c r="AA50" s="305"/>
      <c r="AB50" s="305"/>
      <c r="AC50" s="307"/>
    </row>
    <row r="51" ht="25.5" customHeight="1">
      <c r="C51" s="301"/>
      <c r="D51" s="301"/>
      <c r="E51" s="301"/>
      <c r="F51" s="301"/>
      <c r="G51" s="318" t="s">
        <v>1270</v>
      </c>
      <c r="H51" s="301"/>
      <c r="I51" s="301"/>
      <c r="J51" s="301"/>
      <c r="K51" s="301"/>
      <c r="L51" s="302"/>
      <c r="M51" s="302"/>
      <c r="N51" s="302"/>
      <c r="O51" s="302"/>
      <c r="P51" s="302"/>
      <c r="Q51" s="302"/>
      <c r="R51" s="302"/>
      <c r="S51" s="302"/>
      <c r="T51" s="302"/>
      <c r="U51" s="302"/>
      <c r="V51" s="302"/>
      <c r="W51" s="302"/>
      <c r="X51" s="302"/>
      <c r="Y51" s="302"/>
      <c r="Z51" s="302"/>
      <c r="AA51" s="302"/>
      <c r="AB51" s="302"/>
      <c r="AC51" s="303"/>
    </row>
    <row r="52" ht="25.5" customHeight="1">
      <c r="C52" s="7"/>
      <c r="D52" s="9"/>
      <c r="E52" s="13"/>
      <c r="F52" s="13"/>
      <c r="G52" s="313" t="s">
        <v>1271</v>
      </c>
      <c r="H52" s="308"/>
      <c r="I52" s="7"/>
      <c r="J52" s="9"/>
      <c r="K52" s="7"/>
      <c r="L52" s="305"/>
      <c r="M52" s="305"/>
      <c r="N52" s="305"/>
      <c r="O52" s="305"/>
      <c r="P52" s="305"/>
      <c r="Q52" s="305"/>
      <c r="R52" s="305"/>
      <c r="S52" s="305"/>
      <c r="T52" s="305"/>
      <c r="U52" s="305"/>
      <c r="V52" s="305"/>
      <c r="W52" s="305"/>
      <c r="X52" s="305"/>
      <c r="Y52" s="305"/>
      <c r="Z52" s="305"/>
      <c r="AA52" s="305"/>
      <c r="AB52" s="305"/>
      <c r="AC52" s="307"/>
    </row>
    <row r="53" ht="25.5" customHeight="1">
      <c r="C53" s="301"/>
      <c r="D53" s="301"/>
      <c r="E53" s="301"/>
      <c r="F53" s="301"/>
      <c r="G53" s="318" t="s">
        <v>1272</v>
      </c>
      <c r="H53" s="301"/>
      <c r="I53" s="301"/>
      <c r="J53" s="301"/>
      <c r="K53" s="301"/>
      <c r="L53" s="302"/>
      <c r="M53" s="302"/>
      <c r="N53" s="302"/>
      <c r="O53" s="302"/>
      <c r="P53" s="302"/>
      <c r="Q53" s="302"/>
      <c r="R53" s="302"/>
      <c r="S53" s="302"/>
      <c r="T53" s="302"/>
      <c r="U53" s="302"/>
      <c r="V53" s="302"/>
      <c r="W53" s="302"/>
      <c r="X53" s="302"/>
      <c r="Y53" s="302"/>
      <c r="Z53" s="302"/>
      <c r="AA53" s="302"/>
      <c r="AB53" s="302"/>
      <c r="AC53" s="303"/>
    </row>
    <row r="54" ht="25.5" customHeight="1">
      <c r="C54" s="7"/>
      <c r="D54" s="9"/>
      <c r="E54" s="13"/>
      <c r="F54" s="13"/>
      <c r="G54" s="313" t="s">
        <v>1273</v>
      </c>
      <c r="H54" s="308"/>
      <c r="I54" s="7"/>
      <c r="J54" s="9"/>
      <c r="K54" s="7"/>
      <c r="L54" s="305"/>
      <c r="M54" s="305"/>
      <c r="N54" s="305"/>
      <c r="O54" s="305"/>
      <c r="P54" s="305"/>
      <c r="Q54" s="305"/>
      <c r="R54" s="305"/>
      <c r="S54" s="305"/>
      <c r="T54" s="305"/>
      <c r="U54" s="305"/>
      <c r="V54" s="305"/>
      <c r="W54" s="305"/>
      <c r="X54" s="305"/>
      <c r="Y54" s="305"/>
      <c r="Z54" s="305"/>
      <c r="AA54" s="305"/>
      <c r="AB54" s="305"/>
      <c r="AC54" s="307"/>
    </row>
    <row r="55" ht="25.5" customHeight="1">
      <c r="C55" s="301"/>
      <c r="D55" s="301"/>
      <c r="E55" s="301"/>
      <c r="F55" s="301"/>
      <c r="G55" s="318" t="s">
        <v>1274</v>
      </c>
      <c r="H55" s="301"/>
      <c r="I55" s="301"/>
      <c r="J55" s="301"/>
      <c r="K55" s="301"/>
      <c r="L55" s="302"/>
      <c r="M55" s="302"/>
      <c r="N55" s="302"/>
      <c r="O55" s="302"/>
      <c r="P55" s="302"/>
      <c r="Q55" s="302"/>
      <c r="R55" s="302"/>
      <c r="S55" s="302"/>
      <c r="T55" s="302"/>
      <c r="U55" s="302"/>
      <c r="V55" s="302"/>
      <c r="W55" s="302"/>
      <c r="X55" s="302"/>
      <c r="Y55" s="302"/>
      <c r="Z55" s="302"/>
      <c r="AA55" s="302"/>
      <c r="AB55" s="302"/>
      <c r="AC55" s="303"/>
    </row>
    <row r="56" ht="25.5" customHeight="1">
      <c r="C56" s="7"/>
      <c r="D56" s="9"/>
      <c r="E56" s="13"/>
      <c r="F56" s="13"/>
      <c r="G56" s="313" t="s">
        <v>1275</v>
      </c>
      <c r="H56" s="308"/>
      <c r="I56" s="7"/>
      <c r="J56" s="9"/>
      <c r="K56" s="7"/>
      <c r="L56" s="305"/>
      <c r="M56" s="305"/>
      <c r="N56" s="305"/>
      <c r="O56" s="305"/>
      <c r="P56" s="305"/>
      <c r="Q56" s="305"/>
      <c r="R56" s="305"/>
      <c r="S56" s="305"/>
      <c r="T56" s="305"/>
      <c r="U56" s="305"/>
      <c r="V56" s="305"/>
      <c r="W56" s="305"/>
      <c r="X56" s="305"/>
      <c r="Y56" s="305"/>
      <c r="Z56" s="305"/>
      <c r="AA56" s="305"/>
      <c r="AB56" s="305"/>
      <c r="AC56" s="307"/>
    </row>
    <row r="57" ht="25.5" customHeight="1">
      <c r="C57" s="301"/>
      <c r="D57" s="301"/>
      <c r="E57" s="301"/>
      <c r="F57" s="301"/>
      <c r="G57" s="318" t="s">
        <v>1276</v>
      </c>
      <c r="H57" s="301"/>
      <c r="I57" s="301"/>
      <c r="J57" s="301"/>
      <c r="K57" s="301"/>
      <c r="L57" s="302"/>
      <c r="M57" s="302"/>
      <c r="N57" s="302"/>
      <c r="O57" s="302"/>
      <c r="P57" s="302"/>
      <c r="Q57" s="302"/>
      <c r="R57" s="302"/>
      <c r="S57" s="302"/>
      <c r="T57" s="302"/>
      <c r="U57" s="302"/>
      <c r="V57" s="302"/>
      <c r="W57" s="302"/>
      <c r="X57" s="302"/>
      <c r="Y57" s="302"/>
      <c r="Z57" s="302"/>
      <c r="AA57" s="302"/>
      <c r="AB57" s="302"/>
      <c r="AC57" s="303"/>
    </row>
    <row r="58" ht="25.5" customHeight="1">
      <c r="C58" s="7"/>
      <c r="D58" s="9"/>
      <c r="E58" s="13"/>
      <c r="F58" s="13"/>
      <c r="G58" s="15"/>
      <c r="H58" s="308"/>
      <c r="I58" s="7"/>
      <c r="J58" s="9"/>
      <c r="K58" s="7"/>
      <c r="L58" s="305"/>
      <c r="M58" s="305"/>
      <c r="N58" s="305"/>
      <c r="O58" s="305"/>
      <c r="P58" s="305"/>
      <c r="Q58" s="305"/>
      <c r="R58" s="305"/>
      <c r="S58" s="305"/>
      <c r="T58" s="305"/>
      <c r="U58" s="305"/>
      <c r="V58" s="305"/>
      <c r="W58" s="305"/>
      <c r="X58" s="305"/>
      <c r="Y58" s="305"/>
      <c r="Z58" s="305"/>
      <c r="AA58" s="305"/>
      <c r="AB58" s="305"/>
      <c r="AC58" s="307"/>
    </row>
    <row r="59" ht="25.5" customHeight="1">
      <c r="C59" s="301"/>
      <c r="D59" s="301"/>
      <c r="E59" s="301"/>
      <c r="F59" s="301"/>
      <c r="G59" s="301"/>
      <c r="H59" s="301"/>
      <c r="I59" s="301"/>
      <c r="J59" s="301"/>
      <c r="K59" s="301"/>
      <c r="L59" s="302"/>
      <c r="M59" s="302"/>
      <c r="N59" s="302"/>
      <c r="O59" s="302"/>
      <c r="P59" s="302"/>
      <c r="Q59" s="302"/>
      <c r="R59" s="302"/>
      <c r="S59" s="302"/>
      <c r="T59" s="302"/>
      <c r="U59" s="302"/>
      <c r="V59" s="302"/>
      <c r="W59" s="302"/>
      <c r="X59" s="302"/>
      <c r="Y59" s="302"/>
      <c r="Z59" s="302"/>
      <c r="AA59" s="302"/>
      <c r="AB59" s="302"/>
      <c r="AC59" s="303"/>
    </row>
    <row r="60" ht="25.5" customHeight="1">
      <c r="C60" s="315"/>
      <c r="D60" s="9"/>
      <c r="E60" s="13"/>
      <c r="F60" s="13"/>
      <c r="G60" s="313" t="s">
        <v>1277</v>
      </c>
      <c r="H60" s="308"/>
      <c r="I60" s="7"/>
      <c r="J60" s="9"/>
      <c r="K60" s="7"/>
      <c r="L60" s="305"/>
      <c r="M60" s="305"/>
      <c r="N60" s="305"/>
      <c r="O60" s="305"/>
      <c r="P60" s="305"/>
      <c r="Q60" s="305"/>
      <c r="R60" s="305"/>
      <c r="S60" s="305"/>
      <c r="T60" s="305"/>
      <c r="U60" s="305"/>
      <c r="V60" s="305"/>
      <c r="W60" s="305"/>
      <c r="X60" s="305"/>
      <c r="Y60" s="305"/>
      <c r="Z60" s="305"/>
      <c r="AA60" s="305"/>
      <c r="AB60" s="305"/>
      <c r="AC60" s="307"/>
    </row>
    <row r="61" ht="25.5" customHeight="1">
      <c r="C61" s="315"/>
      <c r="D61" s="301"/>
      <c r="E61" s="301"/>
      <c r="F61" s="301"/>
      <c r="G61" s="316" t="s">
        <v>1278</v>
      </c>
      <c r="H61" s="301"/>
      <c r="I61" s="301"/>
      <c r="J61" s="301"/>
      <c r="K61" s="301"/>
      <c r="L61" s="302"/>
      <c r="M61" s="302"/>
      <c r="N61" s="302"/>
      <c r="O61" s="302"/>
      <c r="P61" s="302"/>
      <c r="Q61" s="302"/>
      <c r="R61" s="302"/>
      <c r="S61" s="302"/>
      <c r="T61" s="302"/>
      <c r="U61" s="302"/>
      <c r="V61" s="302"/>
      <c r="W61" s="302"/>
      <c r="X61" s="302"/>
      <c r="Y61" s="302"/>
      <c r="Z61" s="302"/>
      <c r="AA61" s="302"/>
      <c r="AB61" s="302"/>
      <c r="AC61" s="303"/>
    </row>
    <row r="62" ht="25.5" customHeight="1">
      <c r="C62" s="315" t="s">
        <v>1279</v>
      </c>
      <c r="D62" s="9"/>
      <c r="E62" s="13"/>
      <c r="F62" s="13"/>
      <c r="G62" s="317" t="s">
        <v>1280</v>
      </c>
      <c r="H62" s="308"/>
      <c r="I62" s="7"/>
      <c r="J62" s="9"/>
      <c r="K62" s="7"/>
      <c r="L62" s="305"/>
      <c r="M62" s="305"/>
      <c r="N62" s="305"/>
      <c r="O62" s="305"/>
      <c r="P62" s="305"/>
      <c r="Q62" s="305"/>
      <c r="R62" s="305"/>
      <c r="S62" s="305"/>
      <c r="T62" s="305"/>
      <c r="U62" s="305"/>
      <c r="V62" s="305"/>
      <c r="W62" s="305"/>
      <c r="X62" s="305"/>
      <c r="Y62" s="305"/>
      <c r="Z62" s="305"/>
      <c r="AA62" s="305"/>
      <c r="AB62" s="305"/>
      <c r="AC62" s="307"/>
    </row>
    <row r="63" ht="25.5" customHeight="1">
      <c r="A63" s="312"/>
      <c r="B63" s="301"/>
      <c r="C63" s="301"/>
      <c r="D63" s="301"/>
      <c r="E63" s="301"/>
      <c r="F63" s="301"/>
      <c r="G63" s="301"/>
      <c r="H63" s="301"/>
      <c r="I63" s="301"/>
      <c r="J63" s="301"/>
      <c r="K63" s="301"/>
      <c r="L63" s="302"/>
      <c r="M63" s="302"/>
      <c r="N63" s="302"/>
      <c r="O63" s="302"/>
      <c r="P63" s="302"/>
      <c r="Q63" s="302"/>
      <c r="R63" s="302"/>
      <c r="S63" s="302"/>
      <c r="T63" s="302"/>
      <c r="U63" s="302"/>
      <c r="V63" s="302"/>
      <c r="W63" s="302"/>
      <c r="X63" s="302"/>
      <c r="Y63" s="302"/>
      <c r="Z63" s="302"/>
      <c r="AA63" s="302"/>
      <c r="AB63" s="302"/>
      <c r="AC63" s="303"/>
    </row>
    <row r="64" ht="13.5" customHeight="1">
      <c r="A64" s="326"/>
      <c r="B64" s="15"/>
      <c r="C64" s="7"/>
      <c r="D64" s="9"/>
      <c r="E64" s="13"/>
      <c r="F64" s="13"/>
      <c r="G64" s="308"/>
      <c r="H64" s="308"/>
      <c r="I64" s="7"/>
      <c r="J64" s="9"/>
      <c r="K64" s="7"/>
      <c r="L64" s="305"/>
      <c r="M64" s="305"/>
      <c r="N64" s="305"/>
      <c r="O64" s="305"/>
      <c r="P64" s="305"/>
      <c r="Q64" s="305"/>
      <c r="R64" s="305"/>
      <c r="S64" s="305"/>
      <c r="T64" s="305"/>
      <c r="U64" s="305"/>
      <c r="V64" s="305"/>
      <c r="W64" s="305"/>
      <c r="X64" s="305"/>
      <c r="Y64" s="305"/>
      <c r="Z64" s="305"/>
      <c r="AA64" s="305"/>
      <c r="AB64" s="305"/>
      <c r="AC64" s="307"/>
    </row>
    <row r="65" ht="13.5" customHeight="1">
      <c r="A65" s="312"/>
      <c r="B65" s="301"/>
      <c r="C65" s="301"/>
      <c r="D65" s="301"/>
      <c r="E65" s="301"/>
      <c r="F65" s="301"/>
      <c r="G65" s="301"/>
      <c r="H65" s="301"/>
      <c r="I65" s="301"/>
      <c r="J65" s="301"/>
      <c r="K65" s="301"/>
      <c r="L65" s="302"/>
      <c r="M65" s="302"/>
      <c r="N65" s="302"/>
      <c r="O65" s="302"/>
      <c r="P65" s="302"/>
      <c r="Q65" s="302"/>
      <c r="R65" s="302"/>
      <c r="S65" s="302"/>
      <c r="T65" s="302"/>
      <c r="U65" s="302"/>
      <c r="V65" s="302"/>
      <c r="W65" s="302"/>
      <c r="X65" s="302"/>
      <c r="Y65" s="302"/>
      <c r="Z65" s="302"/>
      <c r="AA65" s="302"/>
      <c r="AB65" s="302"/>
      <c r="AC65" s="303"/>
    </row>
    <row r="66" ht="13.5" customHeight="1">
      <c r="A66" s="326"/>
      <c r="B66" s="15"/>
      <c r="C66" s="7"/>
      <c r="D66" s="9"/>
      <c r="E66" s="13"/>
      <c r="F66" s="13"/>
      <c r="G66" s="308"/>
      <c r="H66" s="308"/>
      <c r="I66" s="7"/>
      <c r="J66" s="9"/>
      <c r="K66" s="7"/>
      <c r="L66" s="305"/>
      <c r="M66" s="305"/>
      <c r="N66" s="305"/>
      <c r="O66" s="305"/>
      <c r="P66" s="305"/>
      <c r="Q66" s="305"/>
      <c r="R66" s="305"/>
      <c r="S66" s="305"/>
      <c r="T66" s="305"/>
      <c r="U66" s="305"/>
      <c r="V66" s="305"/>
      <c r="W66" s="305"/>
      <c r="X66" s="305"/>
      <c r="Y66" s="305"/>
      <c r="Z66" s="305"/>
      <c r="AA66" s="305"/>
      <c r="AB66" s="305"/>
      <c r="AC66" s="307"/>
    </row>
    <row r="67" ht="13.5" customHeight="1">
      <c r="A67" s="312"/>
      <c r="B67" s="301"/>
      <c r="C67" s="301"/>
      <c r="D67" s="301"/>
      <c r="E67" s="301"/>
      <c r="F67" s="301"/>
      <c r="G67" s="301"/>
      <c r="H67" s="301"/>
      <c r="I67" s="301"/>
      <c r="J67" s="301"/>
      <c r="K67" s="301"/>
      <c r="L67" s="302"/>
      <c r="M67" s="302"/>
      <c r="N67" s="302"/>
      <c r="O67" s="302"/>
      <c r="P67" s="302"/>
      <c r="Q67" s="302"/>
      <c r="R67" s="302"/>
      <c r="S67" s="302"/>
      <c r="T67" s="302"/>
      <c r="U67" s="302"/>
      <c r="V67" s="302"/>
      <c r="W67" s="302"/>
      <c r="X67" s="302"/>
      <c r="Y67" s="302"/>
      <c r="Z67" s="302"/>
      <c r="AA67" s="302"/>
      <c r="AB67" s="302"/>
      <c r="AC67" s="303"/>
    </row>
    <row r="68" ht="13.5" customHeight="1">
      <c r="A68" s="326"/>
      <c r="B68" s="15"/>
      <c r="C68" s="7"/>
      <c r="D68" s="9"/>
      <c r="E68" s="13"/>
      <c r="F68" s="13"/>
      <c r="G68" s="308"/>
      <c r="H68" s="308"/>
      <c r="I68" s="7"/>
      <c r="J68" s="9"/>
      <c r="K68" s="7"/>
      <c r="L68" s="305"/>
      <c r="M68" s="305"/>
      <c r="N68" s="305"/>
      <c r="O68" s="305"/>
      <c r="P68" s="305"/>
      <c r="Q68" s="305"/>
      <c r="R68" s="305"/>
      <c r="S68" s="305"/>
      <c r="T68" s="305"/>
      <c r="U68" s="305"/>
      <c r="V68" s="305"/>
      <c r="W68" s="305"/>
      <c r="X68" s="305"/>
      <c r="Y68" s="305"/>
      <c r="Z68" s="305"/>
      <c r="AA68" s="305"/>
      <c r="AB68" s="305"/>
      <c r="AC68" s="307"/>
    </row>
    <row r="69" ht="13.5" customHeight="1">
      <c r="A69" s="312"/>
      <c r="B69" s="301"/>
      <c r="C69" s="301"/>
      <c r="D69" s="301"/>
      <c r="E69" s="301"/>
      <c r="F69" s="301"/>
      <c r="G69" s="301"/>
      <c r="H69" s="301"/>
      <c r="I69" s="301"/>
      <c r="J69" s="301"/>
      <c r="K69" s="301"/>
      <c r="L69" s="302"/>
      <c r="M69" s="302"/>
      <c r="N69" s="302"/>
      <c r="O69" s="302"/>
      <c r="P69" s="302"/>
      <c r="Q69" s="302"/>
      <c r="R69" s="302"/>
      <c r="S69" s="302"/>
      <c r="T69" s="302"/>
      <c r="U69" s="302"/>
      <c r="V69" s="302"/>
      <c r="W69" s="302"/>
      <c r="X69" s="302"/>
      <c r="Y69" s="302"/>
      <c r="Z69" s="302"/>
      <c r="AA69" s="302"/>
      <c r="AB69" s="302"/>
      <c r="AC69" s="303"/>
    </row>
    <row r="70" ht="13.5" customHeight="1">
      <c r="A70" s="326"/>
      <c r="B70" s="15"/>
      <c r="C70" s="7"/>
      <c r="D70" s="9"/>
      <c r="E70" s="13"/>
      <c r="F70" s="13"/>
      <c r="G70" s="308"/>
      <c r="H70" s="308"/>
      <c r="I70" s="7"/>
      <c r="J70" s="9"/>
      <c r="K70" s="7"/>
      <c r="L70" s="305"/>
      <c r="M70" s="305"/>
      <c r="N70" s="305"/>
      <c r="O70" s="305"/>
      <c r="P70" s="305"/>
      <c r="Q70" s="305"/>
      <c r="R70" s="305"/>
      <c r="S70" s="305"/>
      <c r="T70" s="305"/>
      <c r="U70" s="305"/>
      <c r="V70" s="305"/>
      <c r="W70" s="305"/>
      <c r="X70" s="305"/>
      <c r="Y70" s="305"/>
      <c r="Z70" s="305"/>
      <c r="AA70" s="305"/>
      <c r="AB70" s="305"/>
      <c r="AC70" s="307"/>
    </row>
    <row r="71" ht="13.5" customHeight="1">
      <c r="A71" s="312"/>
      <c r="B71" s="301"/>
      <c r="C71" s="301"/>
      <c r="D71" s="301"/>
      <c r="E71" s="301"/>
      <c r="F71" s="301"/>
      <c r="G71" s="301"/>
      <c r="H71" s="301"/>
      <c r="I71" s="301"/>
      <c r="J71" s="301"/>
      <c r="K71" s="301"/>
      <c r="L71" s="302"/>
      <c r="M71" s="302"/>
      <c r="N71" s="302"/>
      <c r="O71" s="302"/>
      <c r="P71" s="302"/>
      <c r="Q71" s="302"/>
      <c r="R71" s="302"/>
      <c r="S71" s="302"/>
      <c r="T71" s="302"/>
      <c r="U71" s="302"/>
      <c r="V71" s="302"/>
      <c r="W71" s="302"/>
      <c r="X71" s="302"/>
      <c r="Y71" s="302"/>
      <c r="Z71" s="302"/>
      <c r="AA71" s="302"/>
      <c r="AB71" s="302"/>
      <c r="AC71" s="303"/>
    </row>
    <row r="72" ht="13.5" customHeight="1">
      <c r="A72" s="326"/>
      <c r="B72" s="15"/>
      <c r="C72" s="7"/>
      <c r="D72" s="9"/>
      <c r="E72" s="13"/>
      <c r="F72" s="13"/>
      <c r="G72" s="308"/>
      <c r="H72" s="308"/>
      <c r="I72" s="7"/>
      <c r="J72" s="9"/>
      <c r="K72" s="7"/>
      <c r="L72" s="305"/>
      <c r="M72" s="305"/>
      <c r="N72" s="305"/>
      <c r="O72" s="305"/>
      <c r="P72" s="305"/>
      <c r="Q72" s="305"/>
      <c r="R72" s="305"/>
      <c r="S72" s="305"/>
      <c r="T72" s="305"/>
      <c r="U72" s="305"/>
      <c r="V72" s="305"/>
      <c r="W72" s="305"/>
      <c r="X72" s="305"/>
      <c r="Y72" s="305"/>
      <c r="Z72" s="305"/>
      <c r="AA72" s="305"/>
      <c r="AB72" s="305"/>
      <c r="AC72" s="307"/>
    </row>
    <row r="73" ht="13.5" customHeight="1">
      <c r="A73" s="312"/>
      <c r="B73" s="301"/>
      <c r="C73" s="301"/>
      <c r="D73" s="301"/>
      <c r="E73" s="301"/>
      <c r="F73" s="301"/>
      <c r="G73" s="301"/>
      <c r="H73" s="301"/>
      <c r="I73" s="301"/>
      <c r="J73" s="301"/>
      <c r="K73" s="301"/>
      <c r="L73" s="302"/>
      <c r="M73" s="302"/>
      <c r="N73" s="302"/>
      <c r="O73" s="302"/>
      <c r="P73" s="302"/>
      <c r="Q73" s="302"/>
      <c r="R73" s="302"/>
      <c r="S73" s="302"/>
      <c r="T73" s="302"/>
      <c r="U73" s="302"/>
      <c r="V73" s="302"/>
      <c r="W73" s="302"/>
      <c r="X73" s="302"/>
      <c r="Y73" s="302"/>
      <c r="Z73" s="302"/>
      <c r="AA73" s="302"/>
      <c r="AB73" s="302"/>
      <c r="AC73" s="303"/>
    </row>
    <row r="74" ht="13.5" customHeight="1">
      <c r="A74" s="326"/>
      <c r="B74" s="15"/>
      <c r="C74" s="7"/>
      <c r="D74" s="9"/>
      <c r="E74" s="13"/>
      <c r="F74" s="13"/>
      <c r="G74" s="308"/>
      <c r="H74" s="308"/>
      <c r="I74" s="7"/>
      <c r="J74" s="9"/>
      <c r="K74" s="7"/>
      <c r="L74" s="305"/>
      <c r="M74" s="305"/>
      <c r="N74" s="305"/>
      <c r="O74" s="305"/>
      <c r="P74" s="305"/>
      <c r="Q74" s="305"/>
      <c r="R74" s="305"/>
      <c r="S74" s="305"/>
      <c r="T74" s="305"/>
      <c r="U74" s="305"/>
      <c r="V74" s="305"/>
      <c r="W74" s="305"/>
      <c r="X74" s="305"/>
      <c r="Y74" s="305"/>
      <c r="Z74" s="305"/>
      <c r="AA74" s="305"/>
      <c r="AB74" s="305"/>
      <c r="AC74" s="307"/>
    </row>
    <row r="75" ht="13.5" customHeight="1">
      <c r="A75" s="312"/>
      <c r="B75" s="301"/>
      <c r="C75" s="301"/>
      <c r="D75" s="301"/>
      <c r="E75" s="301"/>
      <c r="F75" s="301"/>
      <c r="G75" s="301"/>
      <c r="H75" s="301"/>
      <c r="I75" s="301"/>
      <c r="J75" s="301"/>
      <c r="K75" s="301"/>
      <c r="L75" s="302"/>
      <c r="M75" s="302"/>
      <c r="N75" s="302"/>
      <c r="O75" s="302"/>
      <c r="P75" s="302"/>
      <c r="Q75" s="302"/>
      <c r="R75" s="302"/>
      <c r="S75" s="302"/>
      <c r="T75" s="302"/>
      <c r="U75" s="302"/>
      <c r="V75" s="302"/>
      <c r="W75" s="302"/>
      <c r="X75" s="302"/>
      <c r="Y75" s="302"/>
      <c r="Z75" s="302"/>
      <c r="AA75" s="302"/>
      <c r="AB75" s="302"/>
      <c r="AC75" s="303"/>
    </row>
    <row r="76" ht="13.5" customHeight="1">
      <c r="A76" s="326"/>
      <c r="B76" s="15"/>
      <c r="C76" s="7"/>
      <c r="D76" s="9"/>
      <c r="E76" s="13"/>
      <c r="F76" s="13"/>
      <c r="G76" s="308"/>
      <c r="H76" s="308"/>
      <c r="I76" s="7"/>
      <c r="J76" s="9"/>
      <c r="K76" s="7"/>
      <c r="L76" s="305"/>
      <c r="M76" s="305"/>
      <c r="N76" s="305"/>
      <c r="O76" s="305"/>
      <c r="P76" s="305"/>
      <c r="Q76" s="305"/>
      <c r="R76" s="305"/>
      <c r="S76" s="305"/>
      <c r="T76" s="305"/>
      <c r="U76" s="305"/>
      <c r="V76" s="305"/>
      <c r="W76" s="305"/>
      <c r="X76" s="305"/>
      <c r="Y76" s="305"/>
      <c r="Z76" s="305"/>
      <c r="AA76" s="305"/>
      <c r="AB76" s="305"/>
      <c r="AC76" s="307"/>
    </row>
    <row r="77" ht="13.5" customHeight="1">
      <c r="A77" s="312"/>
      <c r="B77" s="301"/>
      <c r="C77" s="301"/>
      <c r="D77" s="301"/>
      <c r="E77" s="301"/>
      <c r="F77" s="301"/>
      <c r="G77" s="301"/>
      <c r="H77" s="301"/>
      <c r="I77" s="301"/>
      <c r="J77" s="301"/>
      <c r="K77" s="301"/>
      <c r="L77" s="302"/>
      <c r="M77" s="302"/>
      <c r="N77" s="302"/>
      <c r="O77" s="302"/>
      <c r="P77" s="302"/>
      <c r="Q77" s="302"/>
      <c r="R77" s="302"/>
      <c r="S77" s="302"/>
      <c r="T77" s="302"/>
      <c r="U77" s="302"/>
      <c r="V77" s="302"/>
      <c r="W77" s="302"/>
      <c r="X77" s="302"/>
      <c r="Y77" s="302"/>
      <c r="Z77" s="302"/>
      <c r="AA77" s="302"/>
      <c r="AB77" s="302"/>
      <c r="AC77" s="303"/>
    </row>
    <row r="78" ht="13.5" customHeight="1">
      <c r="A78" s="326"/>
      <c r="B78" s="15"/>
      <c r="C78" s="7"/>
      <c r="D78" s="9"/>
      <c r="E78" s="13"/>
      <c r="F78" s="13"/>
      <c r="G78" s="308"/>
      <c r="H78" s="308"/>
      <c r="I78" s="7"/>
      <c r="J78" s="9"/>
      <c r="K78" s="7"/>
      <c r="L78" s="305"/>
      <c r="M78" s="305"/>
      <c r="N78" s="305"/>
      <c r="O78" s="305"/>
      <c r="P78" s="305"/>
      <c r="Q78" s="305"/>
      <c r="R78" s="305"/>
      <c r="S78" s="305"/>
      <c r="T78" s="305"/>
      <c r="U78" s="305"/>
      <c r="V78" s="305"/>
      <c r="W78" s="305"/>
      <c r="X78" s="305"/>
      <c r="Y78" s="305"/>
      <c r="Z78" s="305"/>
      <c r="AA78" s="305"/>
      <c r="AB78" s="305"/>
      <c r="AC78" s="307"/>
    </row>
    <row r="79" ht="13.5" customHeight="1">
      <c r="A79" s="312"/>
      <c r="B79" s="301"/>
      <c r="C79" s="301"/>
      <c r="D79" s="301"/>
      <c r="E79" s="301"/>
      <c r="F79" s="301"/>
      <c r="G79" s="301"/>
      <c r="H79" s="301"/>
      <c r="I79" s="301"/>
      <c r="J79" s="301"/>
      <c r="K79" s="301"/>
      <c r="L79" s="302"/>
      <c r="M79" s="302"/>
      <c r="N79" s="302"/>
      <c r="O79" s="302"/>
      <c r="P79" s="302"/>
      <c r="Q79" s="302"/>
      <c r="R79" s="302"/>
      <c r="S79" s="302"/>
      <c r="T79" s="302"/>
      <c r="U79" s="302"/>
      <c r="V79" s="302"/>
      <c r="W79" s="302"/>
      <c r="X79" s="302"/>
      <c r="Y79" s="302"/>
      <c r="Z79" s="302"/>
      <c r="AA79" s="302"/>
      <c r="AB79" s="302"/>
      <c r="AC79" s="303"/>
    </row>
    <row r="80" ht="13.5" customHeight="1">
      <c r="A80" s="326"/>
      <c r="B80" s="15"/>
      <c r="C80" s="7"/>
      <c r="D80" s="9"/>
      <c r="E80" s="13"/>
      <c r="F80" s="13"/>
      <c r="G80" s="308"/>
      <c r="H80" s="308"/>
      <c r="I80" s="7"/>
      <c r="J80" s="9"/>
      <c r="K80" s="7"/>
      <c r="L80" s="305"/>
      <c r="M80" s="305"/>
      <c r="N80" s="305"/>
      <c r="O80" s="305"/>
      <c r="P80" s="305"/>
      <c r="Q80" s="305"/>
      <c r="R80" s="305"/>
      <c r="S80" s="305"/>
      <c r="T80" s="305"/>
      <c r="U80" s="305"/>
      <c r="V80" s="305"/>
      <c r="W80" s="305"/>
      <c r="X80" s="305"/>
      <c r="Y80" s="305"/>
      <c r="Z80" s="305"/>
      <c r="AA80" s="305"/>
      <c r="AB80" s="305"/>
      <c r="AC80" s="307"/>
    </row>
    <row r="81" ht="13.5" customHeight="1">
      <c r="A81" s="312"/>
      <c r="B81" s="301"/>
      <c r="C81" s="301"/>
      <c r="D81" s="301"/>
      <c r="E81" s="301"/>
      <c r="F81" s="301"/>
      <c r="G81" s="301"/>
      <c r="H81" s="301"/>
      <c r="I81" s="301"/>
      <c r="J81" s="301"/>
      <c r="K81" s="301"/>
      <c r="L81" s="302"/>
      <c r="M81" s="302"/>
      <c r="N81" s="302"/>
      <c r="O81" s="302"/>
      <c r="P81" s="302"/>
      <c r="Q81" s="302"/>
      <c r="R81" s="302"/>
      <c r="S81" s="302"/>
      <c r="T81" s="302"/>
      <c r="U81" s="302"/>
      <c r="V81" s="302"/>
      <c r="W81" s="302"/>
      <c r="X81" s="302"/>
      <c r="Y81" s="302"/>
      <c r="Z81" s="302"/>
      <c r="AA81" s="302"/>
      <c r="AB81" s="302"/>
      <c r="AC81" s="303"/>
    </row>
    <row r="82" ht="13.5" customHeight="1">
      <c r="A82" s="326"/>
      <c r="B82" s="15"/>
      <c r="C82" s="7"/>
      <c r="D82" s="9"/>
      <c r="E82" s="13"/>
      <c r="F82" s="13"/>
      <c r="G82" s="308"/>
      <c r="H82" s="308"/>
      <c r="I82" s="7"/>
      <c r="J82" s="9"/>
      <c r="K82" s="7"/>
      <c r="L82" s="305"/>
      <c r="M82" s="305"/>
      <c r="N82" s="305"/>
      <c r="O82" s="305"/>
      <c r="P82" s="305"/>
      <c r="Q82" s="305"/>
      <c r="R82" s="305"/>
      <c r="S82" s="305"/>
      <c r="T82" s="305"/>
      <c r="U82" s="305"/>
      <c r="V82" s="305"/>
      <c r="W82" s="305"/>
      <c r="X82" s="305"/>
      <c r="Y82" s="305"/>
      <c r="Z82" s="305"/>
      <c r="AA82" s="305"/>
      <c r="AB82" s="305"/>
      <c r="AC82" s="307"/>
    </row>
    <row r="83" ht="13.5" customHeight="1">
      <c r="A83" s="312"/>
      <c r="B83" s="301"/>
      <c r="C83" s="301"/>
      <c r="D83" s="301"/>
      <c r="E83" s="301"/>
      <c r="F83" s="301"/>
      <c r="G83" s="301"/>
      <c r="H83" s="301"/>
      <c r="I83" s="301"/>
      <c r="J83" s="301"/>
      <c r="K83" s="301"/>
      <c r="L83" s="302"/>
      <c r="M83" s="302"/>
      <c r="N83" s="302"/>
      <c r="O83" s="302"/>
      <c r="P83" s="302"/>
      <c r="Q83" s="302"/>
      <c r="R83" s="302"/>
      <c r="S83" s="302"/>
      <c r="T83" s="302"/>
      <c r="U83" s="302"/>
      <c r="V83" s="302"/>
      <c r="W83" s="302"/>
      <c r="X83" s="302"/>
      <c r="Y83" s="302"/>
      <c r="Z83" s="302"/>
      <c r="AA83" s="302"/>
      <c r="AB83" s="302"/>
      <c r="AC83" s="303"/>
    </row>
    <row r="84" ht="13.5" customHeight="1">
      <c r="A84" s="326"/>
      <c r="B84" s="15"/>
      <c r="C84" s="7"/>
      <c r="D84" s="9"/>
      <c r="E84" s="13"/>
      <c r="F84" s="13"/>
      <c r="G84" s="308"/>
      <c r="H84" s="308"/>
      <c r="I84" s="7"/>
      <c r="J84" s="9"/>
      <c r="K84" s="7"/>
      <c r="L84" s="305"/>
      <c r="M84" s="305"/>
      <c r="N84" s="305"/>
      <c r="O84" s="305"/>
      <c r="P84" s="305"/>
      <c r="Q84" s="305"/>
      <c r="R84" s="305"/>
      <c r="S84" s="305"/>
      <c r="T84" s="305"/>
      <c r="U84" s="305"/>
      <c r="V84" s="305"/>
      <c r="W84" s="305"/>
      <c r="X84" s="305"/>
      <c r="Y84" s="305"/>
      <c r="Z84" s="305"/>
      <c r="AA84" s="305"/>
      <c r="AB84" s="305"/>
      <c r="AC84" s="307"/>
    </row>
    <row r="85" ht="13.5" customHeight="1">
      <c r="A85" s="312"/>
      <c r="B85" s="301"/>
      <c r="C85" s="301"/>
      <c r="D85" s="301"/>
      <c r="E85" s="301"/>
      <c r="F85" s="301"/>
      <c r="G85" s="301"/>
      <c r="H85" s="301"/>
      <c r="I85" s="301"/>
      <c r="J85" s="301"/>
      <c r="K85" s="301"/>
      <c r="L85" s="302"/>
      <c r="M85" s="302"/>
      <c r="N85" s="302"/>
      <c r="O85" s="302"/>
      <c r="P85" s="302"/>
      <c r="Q85" s="302"/>
      <c r="R85" s="302"/>
      <c r="S85" s="302"/>
      <c r="T85" s="302"/>
      <c r="U85" s="302"/>
      <c r="V85" s="302"/>
      <c r="W85" s="302"/>
      <c r="X85" s="302"/>
      <c r="Y85" s="302"/>
      <c r="Z85" s="302"/>
      <c r="AA85" s="302"/>
      <c r="AB85" s="302"/>
      <c r="AC85" s="303"/>
    </row>
    <row r="86" ht="13.5" customHeight="1">
      <c r="A86" s="326"/>
      <c r="B86" s="15"/>
      <c r="C86" s="7"/>
      <c r="D86" s="9"/>
      <c r="E86" s="13"/>
      <c r="F86" s="13"/>
      <c r="G86" s="308"/>
      <c r="H86" s="308"/>
      <c r="I86" s="7"/>
      <c r="J86" s="9"/>
      <c r="K86" s="7"/>
      <c r="L86" s="305"/>
      <c r="M86" s="305"/>
      <c r="N86" s="305"/>
      <c r="O86" s="305"/>
      <c r="P86" s="305"/>
      <c r="Q86" s="305"/>
      <c r="R86" s="305"/>
      <c r="S86" s="305"/>
      <c r="T86" s="305"/>
      <c r="U86" s="305"/>
      <c r="V86" s="305"/>
      <c r="W86" s="305"/>
      <c r="X86" s="305"/>
      <c r="Y86" s="305"/>
      <c r="Z86" s="305"/>
      <c r="AA86" s="305"/>
      <c r="AB86" s="305"/>
      <c r="AC86" s="307"/>
    </row>
    <row r="87" ht="13.5" customHeight="1">
      <c r="A87" s="312"/>
      <c r="B87" s="301"/>
      <c r="C87" s="301"/>
      <c r="D87" s="301"/>
      <c r="E87" s="301"/>
      <c r="F87" s="301"/>
      <c r="G87" s="301"/>
      <c r="H87" s="301"/>
      <c r="I87" s="301"/>
      <c r="J87" s="301"/>
      <c r="K87" s="301"/>
      <c r="L87" s="302"/>
      <c r="M87" s="302"/>
      <c r="N87" s="302"/>
      <c r="O87" s="302"/>
      <c r="P87" s="302"/>
      <c r="Q87" s="302"/>
      <c r="R87" s="302"/>
      <c r="S87" s="302"/>
      <c r="T87" s="302"/>
      <c r="U87" s="302"/>
      <c r="V87" s="302"/>
      <c r="W87" s="302"/>
      <c r="X87" s="302"/>
      <c r="Y87" s="302"/>
      <c r="Z87" s="302"/>
      <c r="AA87" s="302"/>
      <c r="AB87" s="302"/>
      <c r="AC87" s="303"/>
    </row>
    <row r="88" ht="13.5" customHeight="1">
      <c r="A88" s="326"/>
      <c r="B88" s="15"/>
      <c r="C88" s="7"/>
      <c r="D88" s="9"/>
      <c r="E88" s="13"/>
      <c r="F88" s="13"/>
      <c r="G88" s="308"/>
      <c r="H88" s="308"/>
      <c r="I88" s="7"/>
      <c r="J88" s="9"/>
      <c r="K88" s="7"/>
      <c r="L88" s="305"/>
      <c r="M88" s="305"/>
      <c r="N88" s="305"/>
      <c r="O88" s="305"/>
      <c r="P88" s="305"/>
      <c r="Q88" s="305"/>
      <c r="R88" s="305"/>
      <c r="S88" s="305"/>
      <c r="T88" s="305"/>
      <c r="U88" s="305"/>
      <c r="V88" s="305"/>
      <c r="W88" s="305"/>
      <c r="X88" s="305"/>
      <c r="Y88" s="305"/>
      <c r="Z88" s="305"/>
      <c r="AA88" s="305"/>
      <c r="AB88" s="305"/>
      <c r="AC88" s="307"/>
    </row>
    <row r="89" ht="13.5" customHeight="1">
      <c r="A89" s="312"/>
      <c r="B89" s="301"/>
      <c r="C89" s="301"/>
      <c r="D89" s="301"/>
      <c r="E89" s="301"/>
      <c r="F89" s="301"/>
      <c r="G89" s="301"/>
      <c r="H89" s="301"/>
      <c r="I89" s="301"/>
      <c r="J89" s="301"/>
      <c r="K89" s="301"/>
      <c r="L89" s="302"/>
      <c r="M89" s="302"/>
      <c r="N89" s="302"/>
      <c r="O89" s="302"/>
      <c r="P89" s="302"/>
      <c r="Q89" s="302"/>
      <c r="R89" s="302"/>
      <c r="S89" s="302"/>
      <c r="T89" s="302"/>
      <c r="U89" s="302"/>
      <c r="V89" s="302"/>
      <c r="W89" s="302"/>
      <c r="X89" s="302"/>
      <c r="Y89" s="302"/>
      <c r="Z89" s="302"/>
      <c r="AA89" s="302"/>
      <c r="AB89" s="302"/>
      <c r="AC89" s="303"/>
    </row>
    <row r="90" ht="13.5" customHeight="1">
      <c r="A90" s="326"/>
      <c r="B90" s="15"/>
      <c r="C90" s="7"/>
      <c r="D90" s="9"/>
      <c r="E90" s="13"/>
      <c r="F90" s="13"/>
      <c r="G90" s="308"/>
      <c r="H90" s="308"/>
      <c r="I90" s="7"/>
      <c r="J90" s="9"/>
      <c r="K90" s="7"/>
      <c r="L90" s="305"/>
      <c r="M90" s="305"/>
      <c r="N90" s="305"/>
      <c r="O90" s="305"/>
      <c r="P90" s="305"/>
      <c r="Q90" s="305"/>
      <c r="R90" s="305"/>
      <c r="S90" s="305"/>
      <c r="T90" s="305"/>
      <c r="U90" s="305"/>
      <c r="V90" s="305"/>
      <c r="W90" s="305"/>
      <c r="X90" s="305"/>
      <c r="Y90" s="305"/>
      <c r="Z90" s="305"/>
      <c r="AA90" s="305"/>
      <c r="AB90" s="305"/>
      <c r="AC90" s="307"/>
    </row>
    <row r="91" ht="13.5" customHeight="1">
      <c r="A91" s="312"/>
      <c r="B91" s="301"/>
      <c r="C91" s="301"/>
      <c r="D91" s="301"/>
      <c r="E91" s="301"/>
      <c r="F91" s="301"/>
      <c r="G91" s="301"/>
      <c r="H91" s="301"/>
      <c r="I91" s="301"/>
      <c r="J91" s="301"/>
      <c r="K91" s="301"/>
      <c r="L91" s="302"/>
      <c r="M91" s="302"/>
      <c r="N91" s="302"/>
      <c r="O91" s="302"/>
      <c r="P91" s="302"/>
      <c r="Q91" s="302"/>
      <c r="R91" s="302"/>
      <c r="S91" s="302"/>
      <c r="T91" s="302"/>
      <c r="U91" s="302"/>
      <c r="V91" s="302"/>
      <c r="W91" s="302"/>
      <c r="X91" s="302"/>
      <c r="Y91" s="302"/>
      <c r="Z91" s="302"/>
      <c r="AA91" s="302"/>
      <c r="AB91" s="302"/>
      <c r="AC91" s="303"/>
    </row>
    <row r="92" ht="13.5" customHeight="1">
      <c r="A92" s="326"/>
      <c r="B92" s="15"/>
      <c r="C92" s="7"/>
      <c r="D92" s="9"/>
      <c r="E92" s="13"/>
      <c r="F92" s="13"/>
      <c r="G92" s="308"/>
      <c r="H92" s="308"/>
      <c r="I92" s="7"/>
      <c r="J92" s="9"/>
      <c r="K92" s="7"/>
      <c r="L92" s="305"/>
      <c r="M92" s="305"/>
      <c r="N92" s="305"/>
      <c r="O92" s="305"/>
      <c r="P92" s="305"/>
      <c r="Q92" s="305"/>
      <c r="R92" s="305"/>
      <c r="S92" s="305"/>
      <c r="T92" s="305"/>
      <c r="U92" s="305"/>
      <c r="V92" s="305"/>
      <c r="W92" s="305"/>
      <c r="X92" s="305"/>
      <c r="Y92" s="305"/>
      <c r="Z92" s="305"/>
      <c r="AA92" s="305"/>
      <c r="AB92" s="305"/>
      <c r="AC92" s="307"/>
    </row>
    <row r="93" ht="13.5" customHeight="1">
      <c r="A93" s="312"/>
      <c r="B93" s="301"/>
      <c r="C93" s="301"/>
      <c r="D93" s="301"/>
      <c r="E93" s="301"/>
      <c r="F93" s="301"/>
      <c r="G93" s="301"/>
      <c r="H93" s="301"/>
      <c r="I93" s="301"/>
      <c r="J93" s="301"/>
      <c r="K93" s="301"/>
      <c r="L93" s="302"/>
      <c r="M93" s="302"/>
      <c r="N93" s="302"/>
      <c r="O93" s="302"/>
      <c r="P93" s="302"/>
      <c r="Q93" s="302"/>
      <c r="R93" s="302"/>
      <c r="S93" s="302"/>
      <c r="T93" s="302"/>
      <c r="U93" s="302"/>
      <c r="V93" s="302"/>
      <c r="W93" s="302"/>
      <c r="X93" s="302"/>
      <c r="Y93" s="302"/>
      <c r="Z93" s="302"/>
      <c r="AA93" s="302"/>
      <c r="AB93" s="302"/>
      <c r="AC93" s="303"/>
    </row>
    <row r="94" ht="13.5" customHeight="1">
      <c r="A94" s="326"/>
      <c r="B94" s="15"/>
      <c r="C94" s="7"/>
      <c r="D94" s="9"/>
      <c r="E94" s="13"/>
      <c r="F94" s="13"/>
      <c r="G94" s="308"/>
      <c r="H94" s="308"/>
      <c r="I94" s="7"/>
      <c r="J94" s="9"/>
      <c r="K94" s="7"/>
      <c r="L94" s="305"/>
      <c r="M94" s="305"/>
      <c r="N94" s="305"/>
      <c r="O94" s="305"/>
      <c r="P94" s="305"/>
      <c r="Q94" s="305"/>
      <c r="R94" s="305"/>
      <c r="S94" s="305"/>
      <c r="T94" s="305"/>
      <c r="U94" s="305"/>
      <c r="V94" s="305"/>
      <c r="W94" s="305"/>
      <c r="X94" s="305"/>
      <c r="Y94" s="305"/>
      <c r="Z94" s="305"/>
      <c r="AA94" s="305"/>
      <c r="AB94" s="305"/>
      <c r="AC94" s="307"/>
    </row>
    <row r="95" ht="13.5" customHeight="1">
      <c r="A95" s="312"/>
      <c r="B95" s="301"/>
      <c r="C95" s="301"/>
      <c r="D95" s="301"/>
      <c r="E95" s="301"/>
      <c r="F95" s="301"/>
      <c r="G95" s="301"/>
      <c r="H95" s="301"/>
      <c r="I95" s="301"/>
      <c r="J95" s="301"/>
      <c r="K95" s="301"/>
      <c r="L95" s="302"/>
      <c r="M95" s="302"/>
      <c r="N95" s="302"/>
      <c r="O95" s="302"/>
      <c r="P95" s="302"/>
      <c r="Q95" s="302"/>
      <c r="R95" s="302"/>
      <c r="S95" s="302"/>
      <c r="T95" s="302"/>
      <c r="U95" s="302"/>
      <c r="V95" s="302"/>
      <c r="W95" s="302"/>
      <c r="X95" s="302"/>
      <c r="Y95" s="302"/>
      <c r="Z95" s="302"/>
      <c r="AA95" s="302"/>
      <c r="AB95" s="302"/>
      <c r="AC95" s="303"/>
    </row>
    <row r="96" ht="13.5" customHeight="1">
      <c r="A96" s="326"/>
      <c r="B96" s="15"/>
      <c r="C96" s="7"/>
      <c r="D96" s="9"/>
      <c r="E96" s="13"/>
      <c r="F96" s="13"/>
      <c r="G96" s="308"/>
      <c r="H96" s="308"/>
      <c r="I96" s="7"/>
      <c r="J96" s="9"/>
      <c r="K96" s="7"/>
      <c r="L96" s="305"/>
      <c r="M96" s="305"/>
      <c r="N96" s="305"/>
      <c r="O96" s="305"/>
      <c r="P96" s="305"/>
      <c r="Q96" s="305"/>
      <c r="R96" s="305"/>
      <c r="S96" s="305"/>
      <c r="T96" s="305"/>
      <c r="U96" s="305"/>
      <c r="V96" s="305"/>
      <c r="W96" s="305"/>
      <c r="X96" s="305"/>
      <c r="Y96" s="305"/>
      <c r="Z96" s="305"/>
      <c r="AA96" s="305"/>
      <c r="AB96" s="305"/>
      <c r="AC96" s="307"/>
    </row>
    <row r="97" ht="13.5" customHeight="1">
      <c r="A97" s="312"/>
      <c r="B97" s="301"/>
      <c r="C97" s="301"/>
      <c r="D97" s="301"/>
      <c r="E97" s="301"/>
      <c r="F97" s="301"/>
      <c r="G97" s="301"/>
      <c r="H97" s="301"/>
      <c r="I97" s="301"/>
      <c r="J97" s="301"/>
      <c r="K97" s="301"/>
      <c r="L97" s="302"/>
      <c r="M97" s="302"/>
      <c r="N97" s="302"/>
      <c r="O97" s="302"/>
      <c r="P97" s="302"/>
      <c r="Q97" s="302"/>
      <c r="R97" s="302"/>
      <c r="S97" s="302"/>
      <c r="T97" s="302"/>
      <c r="U97" s="302"/>
      <c r="V97" s="302"/>
      <c r="W97" s="302"/>
      <c r="X97" s="302"/>
      <c r="Y97" s="302"/>
      <c r="Z97" s="302"/>
      <c r="AA97" s="302"/>
      <c r="AB97" s="302"/>
      <c r="AC97" s="303"/>
    </row>
    <row r="98" ht="13.5" customHeight="1">
      <c r="A98" s="326"/>
      <c r="B98" s="15"/>
      <c r="C98" s="7"/>
      <c r="D98" s="9"/>
      <c r="E98" s="13"/>
      <c r="F98" s="13"/>
      <c r="G98" s="308"/>
      <c r="H98" s="308"/>
      <c r="I98" s="7"/>
      <c r="J98" s="9"/>
      <c r="K98" s="7"/>
      <c r="L98" s="305"/>
      <c r="M98" s="305"/>
      <c r="N98" s="305"/>
      <c r="O98" s="305"/>
      <c r="P98" s="305"/>
      <c r="Q98" s="305"/>
      <c r="R98" s="305"/>
      <c r="S98" s="305"/>
      <c r="T98" s="305"/>
      <c r="U98" s="305"/>
      <c r="V98" s="305"/>
      <c r="W98" s="305"/>
      <c r="X98" s="305"/>
      <c r="Y98" s="305"/>
      <c r="Z98" s="305"/>
      <c r="AA98" s="305"/>
      <c r="AB98" s="305"/>
      <c r="AC98" s="307"/>
    </row>
    <row r="99" ht="13.5" customHeight="1">
      <c r="A99" s="312"/>
      <c r="B99" s="301"/>
      <c r="C99" s="301"/>
      <c r="D99" s="301"/>
      <c r="E99" s="301"/>
      <c r="F99" s="301"/>
      <c r="G99" s="301"/>
      <c r="H99" s="301"/>
      <c r="I99" s="301"/>
      <c r="J99" s="301"/>
      <c r="K99" s="301"/>
      <c r="L99" s="302"/>
      <c r="M99" s="302"/>
      <c r="N99" s="302"/>
      <c r="O99" s="302"/>
      <c r="P99" s="302"/>
      <c r="Q99" s="302"/>
      <c r="R99" s="302"/>
      <c r="S99" s="302"/>
      <c r="T99" s="302"/>
      <c r="U99" s="302"/>
      <c r="V99" s="302"/>
      <c r="W99" s="302"/>
      <c r="X99" s="302"/>
      <c r="Y99" s="302"/>
      <c r="Z99" s="302"/>
      <c r="AA99" s="302"/>
      <c r="AB99" s="302"/>
      <c r="AC99" s="303"/>
    </row>
    <row r="100" ht="13.5" customHeight="1">
      <c r="A100" s="326"/>
      <c r="B100" s="15"/>
      <c r="C100" s="7"/>
      <c r="D100" s="9"/>
      <c r="E100" s="13"/>
      <c r="F100" s="13"/>
      <c r="G100" s="308"/>
      <c r="H100" s="308"/>
      <c r="I100" s="7"/>
      <c r="J100" s="9"/>
      <c r="K100" s="7"/>
      <c r="L100" s="305"/>
      <c r="M100" s="305"/>
      <c r="N100" s="305"/>
      <c r="O100" s="305"/>
      <c r="P100" s="305"/>
      <c r="Q100" s="305"/>
      <c r="R100" s="305"/>
      <c r="S100" s="305"/>
      <c r="T100" s="305"/>
      <c r="U100" s="305"/>
      <c r="V100" s="305"/>
      <c r="W100" s="305"/>
      <c r="X100" s="305"/>
      <c r="Y100" s="305"/>
      <c r="Z100" s="305"/>
      <c r="AA100" s="305"/>
      <c r="AB100" s="305"/>
      <c r="AC100" s="307"/>
    </row>
    <row r="101" ht="13.5" customHeight="1">
      <c r="A101" s="312"/>
      <c r="B101" s="301"/>
      <c r="C101" s="301"/>
      <c r="D101" s="301"/>
      <c r="E101" s="301"/>
      <c r="F101" s="301"/>
      <c r="G101" s="301"/>
      <c r="H101" s="301"/>
      <c r="I101" s="301"/>
      <c r="J101" s="301"/>
      <c r="K101" s="301"/>
      <c r="L101" s="302"/>
      <c r="M101" s="302"/>
      <c r="N101" s="302"/>
      <c r="O101" s="302"/>
      <c r="P101" s="302"/>
      <c r="Q101" s="302"/>
      <c r="R101" s="302"/>
      <c r="S101" s="302"/>
      <c r="T101" s="302"/>
      <c r="U101" s="302"/>
      <c r="V101" s="302"/>
      <c r="W101" s="302"/>
      <c r="X101" s="302"/>
      <c r="Y101" s="302"/>
      <c r="Z101" s="302"/>
      <c r="AA101" s="302"/>
      <c r="AB101" s="302"/>
      <c r="AC101" s="303"/>
    </row>
    <row r="102" ht="13.5" customHeight="1">
      <c r="A102" s="326"/>
      <c r="B102" s="15"/>
      <c r="C102" s="7"/>
      <c r="D102" s="9"/>
      <c r="E102" s="13"/>
      <c r="F102" s="13"/>
      <c r="G102" s="308"/>
      <c r="H102" s="308"/>
      <c r="I102" s="7"/>
      <c r="J102" s="9"/>
      <c r="K102" s="7"/>
      <c r="L102" s="305"/>
      <c r="M102" s="305"/>
      <c r="N102" s="305"/>
      <c r="O102" s="305"/>
      <c r="P102" s="305"/>
      <c r="Q102" s="305"/>
      <c r="R102" s="305"/>
      <c r="S102" s="305"/>
      <c r="T102" s="305"/>
      <c r="U102" s="305"/>
      <c r="V102" s="305"/>
      <c r="W102" s="305"/>
      <c r="X102" s="305"/>
      <c r="Y102" s="305"/>
      <c r="Z102" s="305"/>
      <c r="AA102" s="305"/>
      <c r="AB102" s="305"/>
      <c r="AC102" s="307"/>
    </row>
    <row r="103" ht="13.5" customHeight="1">
      <c r="A103" s="312"/>
      <c r="B103" s="301"/>
      <c r="C103" s="301"/>
      <c r="D103" s="301"/>
      <c r="E103" s="301"/>
      <c r="F103" s="301"/>
      <c r="G103" s="301"/>
      <c r="H103" s="301"/>
      <c r="I103" s="301"/>
      <c r="J103" s="301"/>
      <c r="K103" s="301"/>
      <c r="L103" s="302"/>
      <c r="M103" s="302"/>
      <c r="N103" s="302"/>
      <c r="O103" s="302"/>
      <c r="P103" s="302"/>
      <c r="Q103" s="302"/>
      <c r="R103" s="302"/>
      <c r="S103" s="302"/>
      <c r="T103" s="302"/>
      <c r="U103" s="302"/>
      <c r="V103" s="302"/>
      <c r="W103" s="302"/>
      <c r="X103" s="302"/>
      <c r="Y103" s="302"/>
      <c r="Z103" s="302"/>
      <c r="AA103" s="302"/>
      <c r="AB103" s="302"/>
      <c r="AC103" s="303"/>
    </row>
    <row r="104" ht="13.5" customHeight="1">
      <c r="A104" s="326"/>
      <c r="B104" s="15"/>
      <c r="C104" s="7"/>
      <c r="D104" s="9"/>
      <c r="E104" s="13"/>
      <c r="F104" s="13"/>
      <c r="G104" s="308"/>
      <c r="H104" s="308"/>
      <c r="I104" s="7"/>
      <c r="J104" s="9"/>
      <c r="K104" s="7"/>
      <c r="L104" s="305"/>
      <c r="M104" s="305"/>
      <c r="N104" s="305"/>
      <c r="O104" s="305"/>
      <c r="P104" s="305"/>
      <c r="Q104" s="305"/>
      <c r="R104" s="305"/>
      <c r="S104" s="305"/>
      <c r="T104" s="305"/>
      <c r="U104" s="305"/>
      <c r="V104" s="305"/>
      <c r="W104" s="305"/>
      <c r="X104" s="305"/>
      <c r="Y104" s="305"/>
      <c r="Z104" s="305"/>
      <c r="AA104" s="305"/>
      <c r="AB104" s="305"/>
      <c r="AC104" s="307"/>
    </row>
    <row r="105" ht="13.5" customHeight="1">
      <c r="A105" s="312"/>
      <c r="B105" s="301"/>
      <c r="C105" s="301"/>
      <c r="D105" s="301"/>
      <c r="E105" s="301"/>
      <c r="F105" s="301"/>
      <c r="G105" s="301"/>
      <c r="H105" s="301"/>
      <c r="I105" s="301"/>
      <c r="J105" s="301"/>
      <c r="K105" s="301"/>
      <c r="L105" s="302"/>
      <c r="M105" s="302"/>
      <c r="N105" s="302"/>
      <c r="O105" s="302"/>
      <c r="P105" s="302"/>
      <c r="Q105" s="302"/>
      <c r="R105" s="302"/>
      <c r="S105" s="302"/>
      <c r="T105" s="302"/>
      <c r="U105" s="302"/>
      <c r="V105" s="302"/>
      <c r="W105" s="302"/>
      <c r="X105" s="302"/>
      <c r="Y105" s="302"/>
      <c r="Z105" s="302"/>
      <c r="AA105" s="302"/>
      <c r="AB105" s="302"/>
      <c r="AC105" s="303"/>
    </row>
    <row r="106" ht="13.5" customHeight="1">
      <c r="A106" s="326"/>
      <c r="B106" s="15"/>
      <c r="C106" s="7"/>
      <c r="D106" s="9"/>
      <c r="E106" s="13"/>
      <c r="F106" s="13"/>
      <c r="G106" s="308"/>
      <c r="H106" s="308"/>
      <c r="I106" s="7"/>
      <c r="J106" s="9"/>
      <c r="K106" s="7"/>
      <c r="L106" s="305"/>
      <c r="M106" s="305"/>
      <c r="N106" s="305"/>
      <c r="O106" s="305"/>
      <c r="P106" s="305"/>
      <c r="Q106" s="305"/>
      <c r="R106" s="305"/>
      <c r="S106" s="305"/>
      <c r="T106" s="305"/>
      <c r="U106" s="305"/>
      <c r="V106" s="305"/>
      <c r="W106" s="305"/>
      <c r="X106" s="305"/>
      <c r="Y106" s="305"/>
      <c r="Z106" s="305"/>
      <c r="AA106" s="305"/>
      <c r="AB106" s="305"/>
      <c r="AC106" s="307"/>
    </row>
    <row r="107" ht="13.5" customHeight="1">
      <c r="A107" s="312"/>
      <c r="B107" s="301"/>
      <c r="C107" s="301"/>
      <c r="D107" s="301"/>
      <c r="E107" s="301"/>
      <c r="F107" s="301"/>
      <c r="G107" s="301"/>
      <c r="H107" s="301"/>
      <c r="I107" s="301"/>
      <c r="J107" s="301"/>
      <c r="K107" s="301"/>
      <c r="L107" s="302"/>
      <c r="M107" s="302"/>
      <c r="N107" s="302"/>
      <c r="O107" s="302"/>
      <c r="P107" s="302"/>
      <c r="Q107" s="302"/>
      <c r="R107" s="302"/>
      <c r="S107" s="302"/>
      <c r="T107" s="302"/>
      <c r="U107" s="302"/>
      <c r="V107" s="302"/>
      <c r="W107" s="302"/>
      <c r="X107" s="302"/>
      <c r="Y107" s="302"/>
      <c r="Z107" s="302"/>
      <c r="AA107" s="302"/>
      <c r="AB107" s="302"/>
      <c r="AC107" s="303"/>
    </row>
    <row r="108" ht="13.5" customHeight="1">
      <c r="A108" s="326"/>
      <c r="B108" s="15"/>
      <c r="C108" s="7"/>
      <c r="D108" s="9"/>
      <c r="E108" s="13"/>
      <c r="F108" s="13"/>
      <c r="G108" s="308"/>
      <c r="H108" s="308"/>
      <c r="I108" s="7"/>
      <c r="J108" s="9"/>
      <c r="K108" s="7"/>
      <c r="L108" s="305"/>
      <c r="M108" s="305"/>
      <c r="N108" s="305"/>
      <c r="O108" s="305"/>
      <c r="P108" s="305"/>
      <c r="Q108" s="305"/>
      <c r="R108" s="305"/>
      <c r="S108" s="305"/>
      <c r="T108" s="305"/>
      <c r="U108" s="305"/>
      <c r="V108" s="305"/>
      <c r="W108" s="305"/>
      <c r="X108" s="305"/>
      <c r="Y108" s="305"/>
      <c r="Z108" s="305"/>
      <c r="AA108" s="305"/>
      <c r="AB108" s="305"/>
      <c r="AC108" s="307"/>
    </row>
    <row r="109" ht="13.5" customHeight="1">
      <c r="A109" s="312"/>
      <c r="B109" s="301"/>
      <c r="C109" s="301"/>
      <c r="D109" s="301"/>
      <c r="E109" s="301"/>
      <c r="F109" s="301"/>
      <c r="G109" s="301"/>
      <c r="H109" s="301"/>
      <c r="I109" s="301"/>
      <c r="J109" s="301"/>
      <c r="K109" s="301"/>
      <c r="L109" s="302"/>
      <c r="M109" s="302"/>
      <c r="N109" s="302"/>
      <c r="O109" s="302"/>
      <c r="P109" s="302"/>
      <c r="Q109" s="302"/>
      <c r="R109" s="302"/>
      <c r="S109" s="302"/>
      <c r="T109" s="302"/>
      <c r="U109" s="302"/>
      <c r="V109" s="302"/>
      <c r="W109" s="302"/>
      <c r="X109" s="302"/>
      <c r="Y109" s="302"/>
      <c r="Z109" s="302"/>
      <c r="AA109" s="302"/>
      <c r="AB109" s="302"/>
      <c r="AC109" s="303"/>
    </row>
    <row r="110" ht="13.5" customHeight="1">
      <c r="A110" s="326"/>
      <c r="B110" s="15"/>
      <c r="C110" s="7"/>
      <c r="D110" s="9"/>
      <c r="E110" s="13"/>
      <c r="F110" s="13"/>
      <c r="G110" s="308"/>
      <c r="H110" s="308"/>
      <c r="I110" s="7"/>
      <c r="J110" s="9"/>
      <c r="K110" s="7"/>
      <c r="L110" s="305"/>
      <c r="M110" s="305"/>
      <c r="N110" s="305"/>
      <c r="O110" s="305"/>
      <c r="P110" s="305"/>
      <c r="Q110" s="305"/>
      <c r="R110" s="305"/>
      <c r="S110" s="305"/>
      <c r="T110" s="305"/>
      <c r="U110" s="305"/>
      <c r="V110" s="305"/>
      <c r="W110" s="305"/>
      <c r="X110" s="305"/>
      <c r="Y110" s="305"/>
      <c r="Z110" s="305"/>
      <c r="AA110" s="305"/>
      <c r="AB110" s="305"/>
      <c r="AC110" s="307"/>
    </row>
    <row r="111" ht="13.5" customHeight="1">
      <c r="A111" s="312"/>
      <c r="B111" s="301"/>
      <c r="C111" s="301"/>
      <c r="D111" s="301"/>
      <c r="E111" s="301"/>
      <c r="F111" s="301"/>
      <c r="G111" s="301"/>
      <c r="H111" s="301"/>
      <c r="I111" s="301"/>
      <c r="J111" s="301"/>
      <c r="K111" s="301"/>
      <c r="L111" s="302"/>
      <c r="M111" s="302"/>
      <c r="N111" s="302"/>
      <c r="O111" s="302"/>
      <c r="P111" s="302"/>
      <c r="Q111" s="302"/>
      <c r="R111" s="302"/>
      <c r="S111" s="302"/>
      <c r="T111" s="302"/>
      <c r="U111" s="302"/>
      <c r="V111" s="302"/>
      <c r="W111" s="302"/>
      <c r="X111" s="302"/>
      <c r="Y111" s="302"/>
      <c r="Z111" s="302"/>
      <c r="AA111" s="302"/>
      <c r="AB111" s="302"/>
      <c r="AC111" s="303"/>
    </row>
    <row r="112" ht="13.5" customHeight="1">
      <c r="A112" s="326"/>
      <c r="B112" s="15"/>
      <c r="C112" s="7"/>
      <c r="D112" s="9"/>
      <c r="E112" s="13"/>
      <c r="F112" s="13"/>
      <c r="G112" s="308"/>
      <c r="H112" s="308"/>
      <c r="I112" s="7"/>
      <c r="J112" s="9"/>
      <c r="K112" s="7"/>
      <c r="L112" s="305"/>
      <c r="M112" s="305"/>
      <c r="N112" s="305"/>
      <c r="O112" s="305"/>
      <c r="P112" s="305"/>
      <c r="Q112" s="305"/>
      <c r="R112" s="305"/>
      <c r="S112" s="305"/>
      <c r="T112" s="305"/>
      <c r="U112" s="305"/>
      <c r="V112" s="305"/>
      <c r="W112" s="305"/>
      <c r="X112" s="305"/>
      <c r="Y112" s="305"/>
      <c r="Z112" s="305"/>
      <c r="AA112" s="305"/>
      <c r="AB112" s="305"/>
      <c r="AC112" s="307"/>
    </row>
    <row r="113" ht="13.5" customHeight="1">
      <c r="A113" s="312"/>
      <c r="B113" s="301"/>
      <c r="C113" s="301"/>
      <c r="D113" s="301"/>
      <c r="E113" s="301"/>
      <c r="F113" s="301"/>
      <c r="G113" s="301"/>
      <c r="H113" s="301"/>
      <c r="I113" s="301"/>
      <c r="J113" s="301"/>
      <c r="K113" s="301"/>
      <c r="L113" s="302"/>
      <c r="M113" s="302"/>
      <c r="N113" s="302"/>
      <c r="O113" s="302"/>
      <c r="P113" s="302"/>
      <c r="Q113" s="302"/>
      <c r="R113" s="302"/>
      <c r="S113" s="302"/>
      <c r="T113" s="302"/>
      <c r="U113" s="302"/>
      <c r="V113" s="302"/>
      <c r="W113" s="302"/>
      <c r="X113" s="302"/>
      <c r="Y113" s="302"/>
      <c r="Z113" s="302"/>
      <c r="AA113" s="302"/>
      <c r="AB113" s="302"/>
      <c r="AC113" s="303"/>
    </row>
    <row r="114" ht="13.5" customHeight="1">
      <c r="A114" s="326"/>
      <c r="B114" s="15"/>
      <c r="C114" s="7"/>
      <c r="D114" s="9"/>
      <c r="E114" s="13"/>
      <c r="F114" s="13"/>
      <c r="G114" s="308"/>
      <c r="H114" s="308"/>
      <c r="I114" s="7"/>
      <c r="J114" s="9"/>
      <c r="K114" s="7"/>
      <c r="L114" s="305"/>
      <c r="M114" s="305"/>
      <c r="N114" s="305"/>
      <c r="O114" s="305"/>
      <c r="P114" s="305"/>
      <c r="Q114" s="305"/>
      <c r="R114" s="305"/>
      <c r="S114" s="305"/>
      <c r="T114" s="305"/>
      <c r="U114" s="305"/>
      <c r="V114" s="305"/>
      <c r="W114" s="305"/>
      <c r="X114" s="305"/>
      <c r="Y114" s="305"/>
      <c r="Z114" s="305"/>
      <c r="AA114" s="305"/>
      <c r="AB114" s="305"/>
      <c r="AC114" s="307"/>
    </row>
    <row r="115" ht="13.5" customHeight="1">
      <c r="A115" s="312"/>
      <c r="B115" s="301"/>
      <c r="C115" s="301"/>
      <c r="D115" s="301"/>
      <c r="E115" s="301"/>
      <c r="F115" s="301"/>
      <c r="G115" s="301"/>
      <c r="H115" s="301"/>
      <c r="I115" s="301"/>
      <c r="J115" s="301"/>
      <c r="K115" s="301"/>
      <c r="L115" s="302"/>
      <c r="M115" s="302"/>
      <c r="N115" s="302"/>
      <c r="O115" s="302"/>
      <c r="P115" s="302"/>
      <c r="Q115" s="302"/>
      <c r="R115" s="302"/>
      <c r="S115" s="302"/>
      <c r="T115" s="302"/>
      <c r="U115" s="302"/>
      <c r="V115" s="302"/>
      <c r="W115" s="302"/>
      <c r="X115" s="302"/>
      <c r="Y115" s="302"/>
      <c r="Z115" s="302"/>
      <c r="AA115" s="302"/>
      <c r="AB115" s="302"/>
      <c r="AC115" s="303"/>
    </row>
    <row r="116" ht="13.5" customHeight="1">
      <c r="A116" s="326"/>
      <c r="B116" s="15"/>
      <c r="C116" s="7"/>
      <c r="D116" s="9"/>
      <c r="E116" s="13"/>
      <c r="F116" s="13"/>
      <c r="G116" s="308"/>
      <c r="H116" s="308"/>
      <c r="I116" s="7"/>
      <c r="J116" s="9"/>
      <c r="K116" s="7"/>
      <c r="L116" s="305"/>
      <c r="M116" s="305"/>
      <c r="N116" s="305"/>
      <c r="O116" s="305"/>
      <c r="P116" s="305"/>
      <c r="Q116" s="305"/>
      <c r="R116" s="305"/>
      <c r="S116" s="305"/>
      <c r="T116" s="305"/>
      <c r="U116" s="305"/>
      <c r="V116" s="305"/>
      <c r="W116" s="305"/>
      <c r="X116" s="305"/>
      <c r="Y116" s="305"/>
      <c r="Z116" s="305"/>
      <c r="AA116" s="305"/>
      <c r="AB116" s="305"/>
      <c r="AC116" s="307"/>
    </row>
    <row r="117" ht="13.5" customHeight="1">
      <c r="A117" s="312"/>
      <c r="B117" s="301"/>
      <c r="C117" s="301"/>
      <c r="D117" s="301"/>
      <c r="E117" s="301"/>
      <c r="F117" s="301"/>
      <c r="G117" s="301"/>
      <c r="H117" s="301"/>
      <c r="I117" s="301"/>
      <c r="J117" s="301"/>
      <c r="K117" s="301"/>
      <c r="L117" s="302"/>
      <c r="M117" s="302"/>
      <c r="N117" s="302"/>
      <c r="O117" s="302"/>
      <c r="P117" s="302"/>
      <c r="Q117" s="302"/>
      <c r="R117" s="302"/>
      <c r="S117" s="302"/>
      <c r="T117" s="302"/>
      <c r="U117" s="302"/>
      <c r="V117" s="302"/>
      <c r="W117" s="302"/>
      <c r="X117" s="302"/>
      <c r="Y117" s="302"/>
      <c r="Z117" s="302"/>
      <c r="AA117" s="302"/>
      <c r="AB117" s="302"/>
      <c r="AC117" s="303"/>
    </row>
    <row r="118" ht="13.5" customHeight="1">
      <c r="A118" s="326"/>
      <c r="B118" s="15"/>
      <c r="C118" s="7"/>
      <c r="D118" s="9"/>
      <c r="E118" s="13"/>
      <c r="F118" s="13"/>
      <c r="G118" s="308"/>
      <c r="H118" s="308"/>
      <c r="I118" s="7"/>
      <c r="J118" s="9"/>
      <c r="K118" s="7"/>
      <c r="L118" s="305"/>
      <c r="M118" s="305"/>
      <c r="N118" s="305"/>
      <c r="O118" s="305"/>
      <c r="P118" s="305"/>
      <c r="Q118" s="305"/>
      <c r="R118" s="305"/>
      <c r="S118" s="305"/>
      <c r="T118" s="305"/>
      <c r="U118" s="305"/>
      <c r="V118" s="305"/>
      <c r="W118" s="305"/>
      <c r="X118" s="305"/>
      <c r="Y118" s="305"/>
      <c r="Z118" s="305"/>
      <c r="AA118" s="305"/>
      <c r="AB118" s="305"/>
      <c r="AC118" s="307"/>
    </row>
    <row r="119" ht="13.5" customHeight="1">
      <c r="A119" s="312"/>
      <c r="B119" s="301"/>
      <c r="C119" s="301"/>
      <c r="D119" s="301"/>
      <c r="E119" s="301"/>
      <c r="F119" s="301"/>
      <c r="G119" s="301"/>
      <c r="H119" s="301"/>
      <c r="I119" s="301"/>
      <c r="J119" s="301"/>
      <c r="K119" s="301"/>
      <c r="L119" s="302"/>
      <c r="M119" s="302"/>
      <c r="N119" s="302"/>
      <c r="O119" s="302"/>
      <c r="P119" s="302"/>
      <c r="Q119" s="302"/>
      <c r="R119" s="302"/>
      <c r="S119" s="302"/>
      <c r="T119" s="302"/>
      <c r="U119" s="302"/>
      <c r="V119" s="302"/>
      <c r="W119" s="302"/>
      <c r="X119" s="302"/>
      <c r="Y119" s="302"/>
      <c r="Z119" s="302"/>
      <c r="AA119" s="302"/>
      <c r="AB119" s="302"/>
      <c r="AC119" s="303"/>
    </row>
    <row r="120" ht="13.5" customHeight="1">
      <c r="A120" s="326"/>
      <c r="B120" s="15"/>
      <c r="C120" s="7"/>
      <c r="D120" s="9"/>
      <c r="E120" s="13"/>
      <c r="F120" s="13"/>
      <c r="G120" s="308"/>
      <c r="H120" s="308"/>
      <c r="I120" s="7"/>
      <c r="J120" s="9"/>
      <c r="K120" s="7"/>
      <c r="L120" s="305"/>
      <c r="M120" s="305"/>
      <c r="N120" s="305"/>
      <c r="O120" s="305"/>
      <c r="P120" s="305"/>
      <c r="Q120" s="305"/>
      <c r="R120" s="305"/>
      <c r="S120" s="305"/>
      <c r="T120" s="305"/>
      <c r="U120" s="305"/>
      <c r="V120" s="305"/>
      <c r="W120" s="305"/>
      <c r="X120" s="305"/>
      <c r="Y120" s="305"/>
      <c r="Z120" s="305"/>
      <c r="AA120" s="305"/>
      <c r="AB120" s="305"/>
      <c r="AC120" s="307"/>
    </row>
    <row r="121" ht="13.5" customHeight="1">
      <c r="A121" s="312"/>
      <c r="B121" s="301"/>
      <c r="C121" s="301"/>
      <c r="D121" s="301"/>
      <c r="E121" s="301"/>
      <c r="F121" s="301"/>
      <c r="G121" s="301"/>
      <c r="H121" s="301"/>
      <c r="I121" s="301"/>
      <c r="J121" s="301"/>
      <c r="K121" s="301"/>
      <c r="L121" s="302"/>
      <c r="M121" s="302"/>
      <c r="N121" s="302"/>
      <c r="O121" s="302"/>
      <c r="P121" s="302"/>
      <c r="Q121" s="302"/>
      <c r="R121" s="302"/>
      <c r="S121" s="302"/>
      <c r="T121" s="302"/>
      <c r="U121" s="302"/>
      <c r="V121" s="302"/>
      <c r="W121" s="302"/>
      <c r="X121" s="302"/>
      <c r="Y121" s="302"/>
      <c r="Z121" s="302"/>
      <c r="AA121" s="302"/>
      <c r="AB121" s="302"/>
      <c r="AC121" s="303"/>
    </row>
    <row r="122" ht="13.5" customHeight="1">
      <c r="A122" s="326"/>
      <c r="B122" s="15"/>
      <c r="C122" s="7"/>
      <c r="D122" s="9"/>
      <c r="E122" s="13"/>
      <c r="F122" s="13"/>
      <c r="G122" s="308"/>
      <c r="H122" s="308"/>
      <c r="I122" s="7"/>
      <c r="J122" s="9"/>
      <c r="K122" s="7"/>
      <c r="L122" s="305"/>
      <c r="M122" s="305"/>
      <c r="N122" s="305"/>
      <c r="O122" s="305"/>
      <c r="P122" s="305"/>
      <c r="Q122" s="305"/>
      <c r="R122" s="305"/>
      <c r="S122" s="305"/>
      <c r="T122" s="305"/>
      <c r="U122" s="305"/>
      <c r="V122" s="305"/>
      <c r="W122" s="305"/>
      <c r="X122" s="305"/>
      <c r="Y122" s="305"/>
      <c r="Z122" s="305"/>
      <c r="AA122" s="305"/>
      <c r="AB122" s="305"/>
      <c r="AC122" s="307"/>
    </row>
    <row r="123" ht="13.5" customHeight="1">
      <c r="A123" s="312"/>
      <c r="B123" s="301"/>
      <c r="C123" s="301"/>
      <c r="D123" s="301"/>
      <c r="E123" s="301"/>
      <c r="F123" s="301"/>
      <c r="G123" s="301"/>
      <c r="H123" s="301"/>
      <c r="I123" s="301"/>
      <c r="J123" s="301"/>
      <c r="K123" s="301"/>
      <c r="L123" s="302"/>
      <c r="M123" s="302"/>
      <c r="N123" s="302"/>
      <c r="O123" s="302"/>
      <c r="P123" s="302"/>
      <c r="Q123" s="302"/>
      <c r="R123" s="302"/>
      <c r="S123" s="302"/>
      <c r="T123" s="302"/>
      <c r="U123" s="302"/>
      <c r="V123" s="302"/>
      <c r="W123" s="302"/>
      <c r="X123" s="302"/>
      <c r="Y123" s="302"/>
      <c r="Z123" s="302"/>
      <c r="AA123" s="302"/>
      <c r="AB123" s="302"/>
      <c r="AC123" s="303"/>
    </row>
    <row r="124" ht="13.5" customHeight="1">
      <c r="A124" s="326"/>
      <c r="B124" s="15"/>
      <c r="C124" s="7"/>
      <c r="D124" s="9"/>
      <c r="E124" s="13"/>
      <c r="F124" s="13"/>
      <c r="G124" s="308"/>
      <c r="H124" s="308"/>
      <c r="I124" s="7"/>
      <c r="J124" s="9"/>
      <c r="K124" s="7"/>
      <c r="L124" s="305"/>
      <c r="M124" s="305"/>
      <c r="N124" s="305"/>
      <c r="O124" s="305"/>
      <c r="P124" s="305"/>
      <c r="Q124" s="305"/>
      <c r="R124" s="305"/>
      <c r="S124" s="305"/>
      <c r="T124" s="305"/>
      <c r="U124" s="305"/>
      <c r="V124" s="305"/>
      <c r="W124" s="305"/>
      <c r="X124" s="305"/>
      <c r="Y124" s="305"/>
      <c r="Z124" s="305"/>
      <c r="AA124" s="305"/>
      <c r="AB124" s="305"/>
      <c r="AC124" s="307"/>
    </row>
    <row r="125" ht="13.5" customHeight="1">
      <c r="A125" s="312"/>
      <c r="B125" s="301"/>
      <c r="C125" s="301"/>
      <c r="D125" s="301"/>
      <c r="E125" s="301"/>
      <c r="F125" s="301"/>
      <c r="G125" s="301"/>
      <c r="H125" s="301"/>
      <c r="I125" s="301"/>
      <c r="J125" s="301"/>
      <c r="K125" s="301"/>
      <c r="L125" s="302"/>
      <c r="M125" s="302"/>
      <c r="N125" s="302"/>
      <c r="O125" s="302"/>
      <c r="P125" s="302"/>
      <c r="Q125" s="302"/>
      <c r="R125" s="302"/>
      <c r="S125" s="302"/>
      <c r="T125" s="302"/>
      <c r="U125" s="302"/>
      <c r="V125" s="302"/>
      <c r="W125" s="302"/>
      <c r="X125" s="302"/>
      <c r="Y125" s="302"/>
      <c r="Z125" s="302"/>
      <c r="AA125" s="302"/>
      <c r="AB125" s="302"/>
      <c r="AC125" s="303"/>
    </row>
    <row r="126" ht="13.5" customHeight="1">
      <c r="A126" s="326"/>
      <c r="B126" s="15"/>
      <c r="C126" s="7"/>
      <c r="D126" s="9"/>
      <c r="E126" s="13"/>
      <c r="F126" s="13"/>
      <c r="G126" s="308"/>
      <c r="H126" s="308"/>
      <c r="I126" s="7"/>
      <c r="J126" s="9"/>
      <c r="K126" s="7"/>
      <c r="L126" s="305"/>
      <c r="M126" s="305"/>
      <c r="N126" s="305"/>
      <c r="O126" s="305"/>
      <c r="P126" s="305"/>
      <c r="Q126" s="305"/>
      <c r="R126" s="305"/>
      <c r="S126" s="305"/>
      <c r="T126" s="305"/>
      <c r="U126" s="305"/>
      <c r="V126" s="305"/>
      <c r="W126" s="305"/>
      <c r="X126" s="305"/>
      <c r="Y126" s="305"/>
      <c r="Z126" s="305"/>
      <c r="AA126" s="305"/>
      <c r="AB126" s="305"/>
      <c r="AC126" s="307"/>
    </row>
    <row r="127" ht="13.5" customHeight="1">
      <c r="A127" s="312"/>
      <c r="B127" s="301"/>
      <c r="C127" s="301"/>
      <c r="D127" s="301"/>
      <c r="E127" s="301"/>
      <c r="F127" s="301"/>
      <c r="G127" s="301"/>
      <c r="H127" s="301"/>
      <c r="I127" s="301"/>
      <c r="J127" s="301"/>
      <c r="K127" s="301"/>
      <c r="L127" s="302"/>
      <c r="M127" s="302"/>
      <c r="N127" s="302"/>
      <c r="O127" s="302"/>
      <c r="P127" s="302"/>
      <c r="Q127" s="302"/>
      <c r="R127" s="302"/>
      <c r="S127" s="302"/>
      <c r="T127" s="302"/>
      <c r="U127" s="302"/>
      <c r="V127" s="302"/>
      <c r="W127" s="302"/>
      <c r="X127" s="302"/>
      <c r="Y127" s="302"/>
      <c r="Z127" s="302"/>
      <c r="AA127" s="302"/>
      <c r="AB127" s="302"/>
      <c r="AC127" s="303"/>
    </row>
    <row r="128" ht="13.5" customHeight="1">
      <c r="A128" s="326"/>
      <c r="B128" s="15"/>
      <c r="C128" s="7"/>
      <c r="D128" s="9"/>
      <c r="E128" s="13"/>
      <c r="F128" s="13"/>
      <c r="G128" s="308"/>
      <c r="H128" s="308"/>
      <c r="I128" s="7"/>
      <c r="J128" s="9"/>
      <c r="K128" s="7"/>
      <c r="L128" s="305"/>
      <c r="M128" s="305"/>
      <c r="N128" s="305"/>
      <c r="O128" s="305"/>
      <c r="P128" s="305"/>
      <c r="Q128" s="305"/>
      <c r="R128" s="305"/>
      <c r="S128" s="305"/>
      <c r="T128" s="305"/>
      <c r="U128" s="305"/>
      <c r="V128" s="305"/>
      <c r="W128" s="305"/>
      <c r="X128" s="305"/>
      <c r="Y128" s="305"/>
      <c r="Z128" s="305"/>
      <c r="AA128" s="305"/>
      <c r="AB128" s="305"/>
      <c r="AC128" s="307"/>
    </row>
    <row r="129" ht="13.5" customHeight="1">
      <c r="A129" s="312"/>
      <c r="B129" s="301"/>
      <c r="C129" s="301"/>
      <c r="D129" s="301"/>
      <c r="E129" s="301"/>
      <c r="F129" s="301"/>
      <c r="G129" s="301"/>
      <c r="H129" s="301"/>
      <c r="I129" s="301"/>
      <c r="J129" s="301"/>
      <c r="K129" s="301"/>
      <c r="L129" s="302"/>
      <c r="M129" s="302"/>
      <c r="N129" s="302"/>
      <c r="O129" s="302"/>
      <c r="P129" s="302"/>
      <c r="Q129" s="302"/>
      <c r="R129" s="302"/>
      <c r="S129" s="302"/>
      <c r="T129" s="302"/>
      <c r="U129" s="302"/>
      <c r="V129" s="302"/>
      <c r="W129" s="302"/>
      <c r="X129" s="302"/>
      <c r="Y129" s="302"/>
      <c r="Z129" s="302"/>
      <c r="AA129" s="302"/>
      <c r="AB129" s="302"/>
      <c r="AC129" s="303"/>
    </row>
    <row r="130" ht="13.5" customHeight="1">
      <c r="A130" s="326"/>
      <c r="B130" s="15"/>
      <c r="C130" s="7"/>
      <c r="D130" s="9"/>
      <c r="E130" s="13"/>
      <c r="F130" s="13"/>
      <c r="G130" s="308"/>
      <c r="H130" s="308"/>
      <c r="I130" s="7"/>
      <c r="J130" s="9"/>
      <c r="K130" s="7"/>
      <c r="L130" s="305"/>
      <c r="M130" s="305"/>
      <c r="N130" s="305"/>
      <c r="O130" s="305"/>
      <c r="P130" s="305"/>
      <c r="Q130" s="305"/>
      <c r="R130" s="305"/>
      <c r="S130" s="305"/>
      <c r="T130" s="305"/>
      <c r="U130" s="305"/>
      <c r="V130" s="305"/>
      <c r="W130" s="305"/>
      <c r="X130" s="305"/>
      <c r="Y130" s="305"/>
      <c r="Z130" s="305"/>
      <c r="AA130" s="305"/>
      <c r="AB130" s="305"/>
      <c r="AC130" s="307"/>
    </row>
    <row r="131" ht="13.5" customHeight="1">
      <c r="A131" s="312"/>
      <c r="B131" s="301"/>
      <c r="C131" s="301"/>
      <c r="D131" s="301"/>
      <c r="E131" s="301"/>
      <c r="F131" s="301"/>
      <c r="G131" s="301"/>
      <c r="H131" s="301"/>
      <c r="I131" s="301"/>
      <c r="J131" s="301"/>
      <c r="K131" s="301"/>
      <c r="L131" s="302"/>
      <c r="M131" s="302"/>
      <c r="N131" s="302"/>
      <c r="O131" s="302"/>
      <c r="P131" s="302"/>
      <c r="Q131" s="302"/>
      <c r="R131" s="302"/>
      <c r="S131" s="302"/>
      <c r="T131" s="302"/>
      <c r="U131" s="302"/>
      <c r="V131" s="302"/>
      <c r="W131" s="302"/>
      <c r="X131" s="302"/>
      <c r="Y131" s="302"/>
      <c r="Z131" s="302"/>
      <c r="AA131" s="302"/>
      <c r="AB131" s="302"/>
      <c r="AC131" s="303"/>
    </row>
    <row r="132" ht="13.5" customHeight="1">
      <c r="A132" s="326"/>
      <c r="B132" s="15"/>
      <c r="C132" s="7"/>
      <c r="D132" s="9"/>
      <c r="E132" s="13"/>
      <c r="F132" s="13"/>
      <c r="G132" s="308"/>
      <c r="H132" s="308"/>
      <c r="I132" s="7"/>
      <c r="J132" s="9"/>
      <c r="K132" s="7"/>
      <c r="L132" s="305"/>
      <c r="M132" s="305"/>
      <c r="N132" s="305"/>
      <c r="O132" s="305"/>
      <c r="P132" s="305"/>
      <c r="Q132" s="305"/>
      <c r="R132" s="305"/>
      <c r="S132" s="305"/>
      <c r="T132" s="305"/>
      <c r="U132" s="305"/>
      <c r="V132" s="305"/>
      <c r="W132" s="305"/>
      <c r="X132" s="305"/>
      <c r="Y132" s="305"/>
      <c r="Z132" s="305"/>
      <c r="AA132" s="305"/>
      <c r="AB132" s="305"/>
      <c r="AC132" s="307"/>
    </row>
    <row r="133" ht="13.5" customHeight="1">
      <c r="A133" s="312"/>
      <c r="B133" s="301"/>
      <c r="C133" s="301"/>
      <c r="D133" s="301"/>
      <c r="E133" s="301"/>
      <c r="F133" s="301"/>
      <c r="G133" s="301"/>
      <c r="H133" s="301"/>
      <c r="I133" s="301"/>
      <c r="J133" s="301"/>
      <c r="K133" s="301"/>
      <c r="L133" s="302"/>
      <c r="M133" s="302"/>
      <c r="N133" s="302"/>
      <c r="O133" s="302"/>
      <c r="P133" s="302"/>
      <c r="Q133" s="302"/>
      <c r="R133" s="302"/>
      <c r="S133" s="302"/>
      <c r="T133" s="302"/>
      <c r="U133" s="302"/>
      <c r="V133" s="302"/>
      <c r="W133" s="302"/>
      <c r="X133" s="302"/>
      <c r="Y133" s="302"/>
      <c r="Z133" s="302"/>
      <c r="AA133" s="302"/>
      <c r="AB133" s="302"/>
      <c r="AC133" s="303"/>
    </row>
    <row r="134" ht="13.5" customHeight="1">
      <c r="A134" s="326"/>
      <c r="B134" s="15"/>
      <c r="C134" s="7"/>
      <c r="D134" s="9"/>
      <c r="E134" s="13"/>
      <c r="F134" s="13"/>
      <c r="G134" s="308"/>
      <c r="H134" s="308"/>
      <c r="I134" s="7"/>
      <c r="J134" s="9"/>
      <c r="K134" s="7"/>
      <c r="L134" s="305"/>
      <c r="M134" s="305"/>
      <c r="N134" s="305"/>
      <c r="O134" s="305"/>
      <c r="P134" s="305"/>
      <c r="Q134" s="305"/>
      <c r="R134" s="305"/>
      <c r="S134" s="305"/>
      <c r="T134" s="305"/>
      <c r="U134" s="305"/>
      <c r="V134" s="305"/>
      <c r="W134" s="305"/>
      <c r="X134" s="305"/>
      <c r="Y134" s="305"/>
      <c r="Z134" s="305"/>
      <c r="AA134" s="305"/>
      <c r="AB134" s="305"/>
      <c r="AC134" s="307"/>
    </row>
    <row r="135" ht="13.5" customHeight="1">
      <c r="A135" s="312"/>
      <c r="B135" s="301"/>
      <c r="C135" s="301"/>
      <c r="D135" s="301"/>
      <c r="E135" s="301"/>
      <c r="F135" s="301"/>
      <c r="G135" s="301"/>
      <c r="H135" s="301"/>
      <c r="I135" s="301"/>
      <c r="J135" s="301"/>
      <c r="K135" s="301"/>
      <c r="L135" s="302"/>
      <c r="M135" s="302"/>
      <c r="N135" s="302"/>
      <c r="O135" s="302"/>
      <c r="P135" s="302"/>
      <c r="Q135" s="302"/>
      <c r="R135" s="302"/>
      <c r="S135" s="302"/>
      <c r="T135" s="302"/>
      <c r="U135" s="302"/>
      <c r="V135" s="302"/>
      <c r="W135" s="302"/>
      <c r="X135" s="302"/>
      <c r="Y135" s="302"/>
      <c r="Z135" s="302"/>
      <c r="AA135" s="302"/>
      <c r="AB135" s="302"/>
      <c r="AC135" s="303"/>
    </row>
    <row r="136" ht="13.5" customHeight="1">
      <c r="A136" s="326"/>
      <c r="B136" s="15"/>
      <c r="C136" s="7"/>
      <c r="D136" s="9"/>
      <c r="E136" s="13"/>
      <c r="F136" s="13"/>
      <c r="G136" s="308"/>
      <c r="H136" s="308"/>
      <c r="I136" s="7"/>
      <c r="J136" s="9"/>
      <c r="K136" s="7"/>
      <c r="L136" s="305"/>
      <c r="M136" s="305"/>
      <c r="N136" s="305"/>
      <c r="O136" s="305"/>
      <c r="P136" s="305"/>
      <c r="Q136" s="305"/>
      <c r="R136" s="305"/>
      <c r="S136" s="305"/>
      <c r="T136" s="305"/>
      <c r="U136" s="305"/>
      <c r="V136" s="305"/>
      <c r="W136" s="305"/>
      <c r="X136" s="305"/>
      <c r="Y136" s="305"/>
      <c r="Z136" s="305"/>
      <c r="AA136" s="305"/>
      <c r="AB136" s="305"/>
      <c r="AC136" s="307"/>
    </row>
    <row r="137" ht="13.5" customHeight="1">
      <c r="A137" s="312"/>
      <c r="B137" s="301"/>
      <c r="C137" s="301"/>
      <c r="D137" s="301"/>
      <c r="E137" s="301"/>
      <c r="F137" s="301"/>
      <c r="G137" s="301"/>
      <c r="H137" s="301"/>
      <c r="I137" s="301"/>
      <c r="J137" s="301"/>
      <c r="K137" s="301"/>
      <c r="L137" s="302"/>
      <c r="M137" s="302"/>
      <c r="N137" s="302"/>
      <c r="O137" s="302"/>
      <c r="P137" s="302"/>
      <c r="Q137" s="302"/>
      <c r="R137" s="302"/>
      <c r="S137" s="302"/>
      <c r="T137" s="302"/>
      <c r="U137" s="302"/>
      <c r="V137" s="302"/>
      <c r="W137" s="302"/>
      <c r="X137" s="302"/>
      <c r="Y137" s="302"/>
      <c r="Z137" s="302"/>
      <c r="AA137" s="302"/>
      <c r="AB137" s="302"/>
      <c r="AC137" s="303"/>
    </row>
    <row r="138" ht="13.5" customHeight="1">
      <c r="A138" s="326"/>
      <c r="B138" s="15"/>
      <c r="C138" s="7"/>
      <c r="D138" s="9"/>
      <c r="E138" s="13"/>
      <c r="F138" s="13"/>
      <c r="G138" s="308"/>
      <c r="H138" s="308"/>
      <c r="I138" s="7"/>
      <c r="J138" s="9"/>
      <c r="K138" s="7"/>
      <c r="L138" s="305"/>
      <c r="M138" s="305"/>
      <c r="N138" s="305"/>
      <c r="O138" s="305"/>
      <c r="P138" s="305"/>
      <c r="Q138" s="305"/>
      <c r="R138" s="305"/>
      <c r="S138" s="305"/>
      <c r="T138" s="305"/>
      <c r="U138" s="305"/>
      <c r="V138" s="305"/>
      <c r="W138" s="305"/>
      <c r="X138" s="305"/>
      <c r="Y138" s="305"/>
      <c r="Z138" s="305"/>
      <c r="AA138" s="305"/>
      <c r="AB138" s="305"/>
      <c r="AC138" s="307"/>
    </row>
    <row r="139" ht="13.5" customHeight="1">
      <c r="A139" s="312"/>
      <c r="B139" s="301"/>
      <c r="C139" s="301"/>
      <c r="D139" s="301"/>
      <c r="E139" s="301"/>
      <c r="F139" s="301"/>
      <c r="G139" s="301"/>
      <c r="H139" s="301"/>
      <c r="I139" s="301"/>
      <c r="J139" s="301"/>
      <c r="K139" s="301"/>
      <c r="L139" s="302"/>
      <c r="M139" s="302"/>
      <c r="N139" s="302"/>
      <c r="O139" s="302"/>
      <c r="P139" s="302"/>
      <c r="Q139" s="302"/>
      <c r="R139" s="302"/>
      <c r="S139" s="302"/>
      <c r="T139" s="302"/>
      <c r="U139" s="302"/>
      <c r="V139" s="302"/>
      <c r="W139" s="302"/>
      <c r="X139" s="302"/>
      <c r="Y139" s="302"/>
      <c r="Z139" s="302"/>
      <c r="AA139" s="302"/>
      <c r="AB139" s="302"/>
      <c r="AC139" s="303"/>
    </row>
    <row r="140" ht="13.5" customHeight="1">
      <c r="A140" s="326"/>
      <c r="B140" s="15"/>
      <c r="C140" s="7"/>
      <c r="D140" s="9"/>
      <c r="E140" s="13"/>
      <c r="F140" s="13"/>
      <c r="G140" s="308"/>
      <c r="H140" s="308"/>
      <c r="I140" s="7"/>
      <c r="J140" s="9"/>
      <c r="K140" s="7"/>
      <c r="L140" s="305"/>
      <c r="M140" s="305"/>
      <c r="N140" s="305"/>
      <c r="O140" s="305"/>
      <c r="P140" s="305"/>
      <c r="Q140" s="305"/>
      <c r="R140" s="305"/>
      <c r="S140" s="305"/>
      <c r="T140" s="305"/>
      <c r="U140" s="305"/>
      <c r="V140" s="305"/>
      <c r="W140" s="305"/>
      <c r="X140" s="305"/>
      <c r="Y140" s="305"/>
      <c r="Z140" s="305"/>
      <c r="AA140" s="305"/>
      <c r="AB140" s="305"/>
      <c r="AC140" s="307"/>
    </row>
    <row r="141" ht="13.5" customHeight="1">
      <c r="A141" s="312"/>
      <c r="B141" s="301"/>
      <c r="C141" s="301"/>
      <c r="D141" s="301"/>
      <c r="E141" s="301"/>
      <c r="F141" s="301"/>
      <c r="G141" s="301"/>
      <c r="H141" s="301"/>
      <c r="I141" s="301"/>
      <c r="J141" s="301"/>
      <c r="K141" s="301"/>
      <c r="L141" s="302"/>
      <c r="M141" s="302"/>
      <c r="N141" s="302"/>
      <c r="O141" s="302"/>
      <c r="P141" s="302"/>
      <c r="Q141" s="302"/>
      <c r="R141" s="302"/>
      <c r="S141" s="302"/>
      <c r="T141" s="302"/>
      <c r="U141" s="302"/>
      <c r="V141" s="302"/>
      <c r="W141" s="302"/>
      <c r="X141" s="302"/>
      <c r="Y141" s="302"/>
      <c r="Z141" s="302"/>
      <c r="AA141" s="302"/>
      <c r="AB141" s="302"/>
      <c r="AC141" s="303"/>
    </row>
    <row r="142" ht="13.5" customHeight="1">
      <c r="A142" s="326"/>
      <c r="B142" s="15"/>
      <c r="C142" s="7"/>
      <c r="D142" s="9"/>
      <c r="E142" s="13"/>
      <c r="F142" s="13"/>
      <c r="G142" s="308"/>
      <c r="H142" s="308"/>
      <c r="I142" s="7"/>
      <c r="J142" s="9"/>
      <c r="K142" s="7"/>
      <c r="L142" s="305"/>
      <c r="M142" s="305"/>
      <c r="N142" s="305"/>
      <c r="O142" s="305"/>
      <c r="P142" s="305"/>
      <c r="Q142" s="305"/>
      <c r="R142" s="305"/>
      <c r="S142" s="305"/>
      <c r="T142" s="305"/>
      <c r="U142" s="305"/>
      <c r="V142" s="305"/>
      <c r="W142" s="305"/>
      <c r="X142" s="305"/>
      <c r="Y142" s="305"/>
      <c r="Z142" s="305"/>
      <c r="AA142" s="305"/>
      <c r="AB142" s="305"/>
      <c r="AC142" s="307"/>
    </row>
    <row r="143" ht="13.5" customHeight="1">
      <c r="A143" s="312"/>
      <c r="B143" s="301"/>
      <c r="C143" s="301"/>
      <c r="D143" s="301"/>
      <c r="E143" s="301"/>
      <c r="F143" s="301"/>
      <c r="G143" s="301"/>
      <c r="H143" s="301"/>
      <c r="I143" s="301"/>
      <c r="J143" s="301"/>
      <c r="K143" s="301"/>
      <c r="L143" s="302"/>
      <c r="M143" s="302"/>
      <c r="N143" s="302"/>
      <c r="O143" s="302"/>
      <c r="P143" s="302"/>
      <c r="Q143" s="302"/>
      <c r="R143" s="302"/>
      <c r="S143" s="302"/>
      <c r="T143" s="302"/>
      <c r="U143" s="302"/>
      <c r="V143" s="302"/>
      <c r="W143" s="302"/>
      <c r="X143" s="302"/>
      <c r="Y143" s="302"/>
      <c r="Z143" s="302"/>
      <c r="AA143" s="302"/>
      <c r="AB143" s="302"/>
      <c r="AC143" s="303"/>
    </row>
    <row r="144" ht="13.5" customHeight="1">
      <c r="A144" s="326"/>
      <c r="B144" s="15"/>
      <c r="C144" s="7"/>
      <c r="D144" s="9"/>
      <c r="E144" s="13"/>
      <c r="F144" s="13"/>
      <c r="G144" s="308"/>
      <c r="H144" s="308"/>
      <c r="I144" s="7"/>
      <c r="J144" s="9"/>
      <c r="K144" s="7"/>
      <c r="L144" s="305"/>
      <c r="M144" s="305"/>
      <c r="N144" s="305"/>
      <c r="O144" s="305"/>
      <c r="P144" s="305"/>
      <c r="Q144" s="305"/>
      <c r="R144" s="305"/>
      <c r="S144" s="305"/>
      <c r="T144" s="305"/>
      <c r="U144" s="305"/>
      <c r="V144" s="305"/>
      <c r="W144" s="305"/>
      <c r="X144" s="305"/>
      <c r="Y144" s="305"/>
      <c r="Z144" s="305"/>
      <c r="AA144" s="305"/>
      <c r="AB144" s="305"/>
      <c r="AC144" s="307"/>
    </row>
    <row r="145" ht="13.5" customHeight="1">
      <c r="A145" s="312"/>
      <c r="B145" s="301"/>
      <c r="C145" s="301"/>
      <c r="D145" s="301"/>
      <c r="E145" s="301"/>
      <c r="F145" s="301"/>
      <c r="G145" s="301"/>
      <c r="H145" s="301"/>
      <c r="I145" s="301"/>
      <c r="J145" s="301"/>
      <c r="K145" s="301"/>
      <c r="L145" s="302"/>
      <c r="M145" s="302"/>
      <c r="N145" s="302"/>
      <c r="O145" s="302"/>
      <c r="P145" s="302"/>
      <c r="Q145" s="302"/>
      <c r="R145" s="302"/>
      <c r="S145" s="302"/>
      <c r="T145" s="302"/>
      <c r="U145" s="302"/>
      <c r="V145" s="302"/>
      <c r="W145" s="302"/>
      <c r="X145" s="302"/>
      <c r="Y145" s="302"/>
      <c r="Z145" s="302"/>
      <c r="AA145" s="302"/>
      <c r="AB145" s="302"/>
      <c r="AC145" s="303"/>
    </row>
    <row r="146" ht="13.5" customHeight="1">
      <c r="A146" s="326"/>
      <c r="B146" s="15"/>
      <c r="C146" s="7"/>
      <c r="D146" s="9"/>
      <c r="E146" s="13"/>
      <c r="F146" s="13"/>
      <c r="G146" s="308"/>
      <c r="H146" s="308"/>
      <c r="I146" s="7"/>
      <c r="J146" s="9"/>
      <c r="K146" s="7"/>
      <c r="L146" s="305"/>
      <c r="M146" s="305"/>
      <c r="N146" s="305"/>
      <c r="O146" s="305"/>
      <c r="P146" s="305"/>
      <c r="Q146" s="305"/>
      <c r="R146" s="305"/>
      <c r="S146" s="305"/>
      <c r="T146" s="305"/>
      <c r="U146" s="305"/>
      <c r="V146" s="305"/>
      <c r="W146" s="305"/>
      <c r="X146" s="305"/>
      <c r="Y146" s="305"/>
      <c r="Z146" s="305"/>
      <c r="AA146" s="305"/>
      <c r="AB146" s="305"/>
      <c r="AC146" s="307"/>
    </row>
    <row r="147" ht="13.5" customHeight="1">
      <c r="A147" s="312"/>
      <c r="B147" s="301"/>
      <c r="C147" s="301"/>
      <c r="D147" s="301"/>
      <c r="E147" s="301"/>
      <c r="F147" s="301"/>
      <c r="G147" s="301"/>
      <c r="H147" s="301"/>
      <c r="I147" s="301"/>
      <c r="J147" s="301"/>
      <c r="K147" s="301"/>
      <c r="L147" s="302"/>
      <c r="M147" s="302"/>
      <c r="N147" s="302"/>
      <c r="O147" s="302"/>
      <c r="P147" s="302"/>
      <c r="Q147" s="302"/>
      <c r="R147" s="302"/>
      <c r="S147" s="302"/>
      <c r="T147" s="302"/>
      <c r="U147" s="302"/>
      <c r="V147" s="302"/>
      <c r="W147" s="302"/>
      <c r="X147" s="302"/>
      <c r="Y147" s="302"/>
      <c r="Z147" s="302"/>
      <c r="AA147" s="302"/>
      <c r="AB147" s="302"/>
      <c r="AC147" s="303"/>
    </row>
    <row r="148" ht="13.5" customHeight="1">
      <c r="A148" s="326"/>
      <c r="B148" s="15"/>
      <c r="C148" s="7"/>
      <c r="D148" s="9"/>
      <c r="E148" s="13"/>
      <c r="F148" s="13"/>
      <c r="G148" s="308"/>
      <c r="H148" s="308"/>
      <c r="I148" s="7"/>
      <c r="J148" s="9"/>
      <c r="K148" s="7"/>
      <c r="L148" s="305"/>
      <c r="M148" s="305"/>
      <c r="N148" s="305"/>
      <c r="O148" s="305"/>
      <c r="P148" s="305"/>
      <c r="Q148" s="305"/>
      <c r="R148" s="305"/>
      <c r="S148" s="305"/>
      <c r="T148" s="305"/>
      <c r="U148" s="305"/>
      <c r="V148" s="305"/>
      <c r="W148" s="305"/>
      <c r="X148" s="305"/>
      <c r="Y148" s="305"/>
      <c r="Z148" s="305"/>
      <c r="AA148" s="305"/>
      <c r="AB148" s="305"/>
      <c r="AC148" s="307"/>
    </row>
    <row r="149" ht="13.5" customHeight="1">
      <c r="A149" s="312"/>
      <c r="B149" s="301"/>
      <c r="C149" s="301"/>
      <c r="D149" s="301"/>
      <c r="E149" s="301"/>
      <c r="F149" s="301"/>
      <c r="G149" s="301"/>
      <c r="H149" s="301"/>
      <c r="I149" s="301"/>
      <c r="J149" s="301"/>
      <c r="K149" s="301"/>
      <c r="L149" s="302"/>
      <c r="M149" s="302"/>
      <c r="N149" s="302"/>
      <c r="O149" s="302"/>
      <c r="P149" s="302"/>
      <c r="Q149" s="302"/>
      <c r="R149" s="302"/>
      <c r="S149" s="302"/>
      <c r="T149" s="302"/>
      <c r="U149" s="302"/>
      <c r="V149" s="302"/>
      <c r="W149" s="302"/>
      <c r="X149" s="302"/>
      <c r="Y149" s="302"/>
      <c r="Z149" s="302"/>
      <c r="AA149" s="302"/>
      <c r="AB149" s="302"/>
      <c r="AC149" s="303"/>
    </row>
    <row r="150" ht="13.5" customHeight="1">
      <c r="A150" s="326"/>
      <c r="B150" s="15"/>
      <c r="C150" s="7"/>
      <c r="D150" s="9"/>
      <c r="E150" s="13"/>
      <c r="F150" s="13"/>
      <c r="G150" s="308"/>
      <c r="H150" s="308"/>
      <c r="I150" s="7"/>
      <c r="J150" s="9"/>
      <c r="K150" s="7"/>
      <c r="L150" s="305"/>
      <c r="M150" s="305"/>
      <c r="N150" s="305"/>
      <c r="O150" s="305"/>
      <c r="P150" s="305"/>
      <c r="Q150" s="305"/>
      <c r="R150" s="305"/>
      <c r="S150" s="305"/>
      <c r="T150" s="305"/>
      <c r="U150" s="305"/>
      <c r="V150" s="305"/>
      <c r="W150" s="305"/>
      <c r="X150" s="305"/>
      <c r="Y150" s="305"/>
      <c r="Z150" s="305"/>
      <c r="AA150" s="305"/>
      <c r="AB150" s="305"/>
      <c r="AC150" s="307"/>
    </row>
    <row r="151" ht="13.5" customHeight="1">
      <c r="A151" s="312"/>
      <c r="B151" s="301"/>
      <c r="C151" s="301"/>
      <c r="D151" s="301"/>
      <c r="E151" s="301"/>
      <c r="F151" s="301"/>
      <c r="G151" s="301"/>
      <c r="H151" s="301"/>
      <c r="I151" s="301"/>
      <c r="J151" s="301"/>
      <c r="K151" s="301"/>
      <c r="L151" s="302"/>
      <c r="M151" s="302"/>
      <c r="N151" s="302"/>
      <c r="O151" s="302"/>
      <c r="P151" s="302"/>
      <c r="Q151" s="302"/>
      <c r="R151" s="302"/>
      <c r="S151" s="302"/>
      <c r="T151" s="302"/>
      <c r="U151" s="302"/>
      <c r="V151" s="302"/>
      <c r="W151" s="302"/>
      <c r="X151" s="302"/>
      <c r="Y151" s="302"/>
      <c r="Z151" s="302"/>
      <c r="AA151" s="302"/>
      <c r="AB151" s="302"/>
      <c r="AC151" s="303"/>
    </row>
    <row r="152" ht="13.5" customHeight="1">
      <c r="A152" s="326"/>
      <c r="B152" s="15"/>
      <c r="C152" s="7"/>
      <c r="D152" s="9"/>
      <c r="E152" s="13"/>
      <c r="F152" s="13"/>
      <c r="G152" s="308"/>
      <c r="H152" s="308"/>
      <c r="I152" s="7"/>
      <c r="J152" s="9"/>
      <c r="K152" s="7"/>
      <c r="L152" s="305"/>
      <c r="M152" s="305"/>
      <c r="N152" s="305"/>
      <c r="O152" s="305"/>
      <c r="P152" s="305"/>
      <c r="Q152" s="305"/>
      <c r="R152" s="305"/>
      <c r="S152" s="305"/>
      <c r="T152" s="305"/>
      <c r="U152" s="305"/>
      <c r="V152" s="305"/>
      <c r="W152" s="305"/>
      <c r="X152" s="305"/>
      <c r="Y152" s="305"/>
      <c r="Z152" s="305"/>
      <c r="AA152" s="305"/>
      <c r="AB152" s="305"/>
      <c r="AC152" s="307"/>
    </row>
    <row r="153" ht="13.5" customHeight="1">
      <c r="A153" s="312"/>
      <c r="B153" s="301"/>
      <c r="C153" s="301"/>
      <c r="D153" s="301"/>
      <c r="E153" s="301"/>
      <c r="F153" s="301"/>
      <c r="G153" s="301"/>
      <c r="H153" s="301"/>
      <c r="I153" s="301"/>
      <c r="J153" s="301"/>
      <c r="K153" s="301"/>
      <c r="L153" s="302"/>
      <c r="M153" s="302"/>
      <c r="N153" s="302"/>
      <c r="O153" s="302"/>
      <c r="P153" s="302"/>
      <c r="Q153" s="302"/>
      <c r="R153" s="302"/>
      <c r="S153" s="302"/>
      <c r="T153" s="302"/>
      <c r="U153" s="302"/>
      <c r="V153" s="302"/>
      <c r="W153" s="302"/>
      <c r="X153" s="302"/>
      <c r="Y153" s="302"/>
      <c r="Z153" s="302"/>
      <c r="AA153" s="302"/>
      <c r="AB153" s="302"/>
      <c r="AC153" s="303"/>
    </row>
    <row r="154" ht="13.5" customHeight="1">
      <c r="A154" s="326"/>
      <c r="B154" s="15"/>
      <c r="C154" s="7"/>
      <c r="D154" s="9"/>
      <c r="E154" s="13"/>
      <c r="F154" s="13"/>
      <c r="G154" s="308"/>
      <c r="H154" s="308"/>
      <c r="I154" s="7"/>
      <c r="J154" s="9"/>
      <c r="K154" s="7"/>
      <c r="L154" s="305"/>
      <c r="M154" s="305"/>
      <c r="N154" s="305"/>
      <c r="O154" s="305"/>
      <c r="P154" s="305"/>
      <c r="Q154" s="305"/>
      <c r="R154" s="305"/>
      <c r="S154" s="305"/>
      <c r="T154" s="305"/>
      <c r="U154" s="305"/>
      <c r="V154" s="305"/>
      <c r="W154" s="305"/>
      <c r="X154" s="305"/>
      <c r="Y154" s="305"/>
      <c r="Z154" s="305"/>
      <c r="AA154" s="305"/>
      <c r="AB154" s="305"/>
      <c r="AC154" s="307"/>
    </row>
    <row r="155" ht="13.5" customHeight="1">
      <c r="A155" s="312"/>
      <c r="B155" s="301"/>
      <c r="C155" s="301"/>
      <c r="D155" s="301"/>
      <c r="E155" s="301"/>
      <c r="F155" s="301"/>
      <c r="G155" s="301"/>
      <c r="H155" s="301"/>
      <c r="I155" s="301"/>
      <c r="J155" s="301"/>
      <c r="K155" s="301"/>
      <c r="L155" s="302"/>
      <c r="M155" s="302"/>
      <c r="N155" s="302"/>
      <c r="O155" s="302"/>
      <c r="P155" s="302"/>
      <c r="Q155" s="302"/>
      <c r="R155" s="302"/>
      <c r="S155" s="302"/>
      <c r="T155" s="302"/>
      <c r="U155" s="302"/>
      <c r="V155" s="302"/>
      <c r="W155" s="302"/>
      <c r="X155" s="302"/>
      <c r="Y155" s="302"/>
      <c r="Z155" s="302"/>
      <c r="AA155" s="302"/>
      <c r="AB155" s="302"/>
      <c r="AC155" s="303"/>
    </row>
    <row r="156" ht="13.5" customHeight="1">
      <c r="A156" s="326"/>
      <c r="B156" s="15"/>
      <c r="C156" s="7"/>
      <c r="D156" s="9"/>
      <c r="E156" s="13"/>
      <c r="F156" s="13"/>
      <c r="G156" s="308"/>
      <c r="H156" s="308"/>
      <c r="I156" s="7"/>
      <c r="J156" s="9"/>
      <c r="K156" s="7"/>
      <c r="L156" s="305"/>
      <c r="M156" s="305"/>
      <c r="N156" s="305"/>
      <c r="O156" s="305"/>
      <c r="P156" s="305"/>
      <c r="Q156" s="305"/>
      <c r="R156" s="305"/>
      <c r="S156" s="305"/>
      <c r="T156" s="305"/>
      <c r="U156" s="305"/>
      <c r="V156" s="305"/>
      <c r="W156" s="305"/>
      <c r="X156" s="305"/>
      <c r="Y156" s="305"/>
      <c r="Z156" s="305"/>
      <c r="AA156" s="305"/>
      <c r="AB156" s="305"/>
      <c r="AC156" s="307"/>
    </row>
    <row r="157" ht="13.5" customHeight="1">
      <c r="A157" s="312"/>
      <c r="B157" s="301"/>
      <c r="C157" s="301"/>
      <c r="D157" s="301"/>
      <c r="E157" s="301"/>
      <c r="F157" s="301"/>
      <c r="G157" s="301"/>
      <c r="H157" s="301"/>
      <c r="I157" s="301"/>
      <c r="J157" s="301"/>
      <c r="K157" s="301"/>
      <c r="L157" s="302"/>
      <c r="M157" s="302"/>
      <c r="N157" s="302"/>
      <c r="O157" s="302"/>
      <c r="P157" s="302"/>
      <c r="Q157" s="302"/>
      <c r="R157" s="302"/>
      <c r="S157" s="302"/>
      <c r="T157" s="302"/>
      <c r="U157" s="302"/>
      <c r="V157" s="302"/>
      <c r="W157" s="302"/>
      <c r="X157" s="302"/>
      <c r="Y157" s="302"/>
      <c r="Z157" s="302"/>
      <c r="AA157" s="302"/>
      <c r="AB157" s="302"/>
      <c r="AC157" s="303"/>
    </row>
    <row r="158" ht="13.5" customHeight="1">
      <c r="A158" s="326"/>
      <c r="B158" s="15"/>
      <c r="C158" s="7"/>
      <c r="D158" s="9"/>
      <c r="E158" s="13"/>
      <c r="F158" s="13"/>
      <c r="G158" s="308"/>
      <c r="H158" s="308"/>
      <c r="I158" s="7"/>
      <c r="J158" s="9"/>
      <c r="K158" s="7"/>
      <c r="L158" s="305"/>
      <c r="M158" s="305"/>
      <c r="N158" s="305"/>
      <c r="O158" s="305"/>
      <c r="P158" s="305"/>
      <c r="Q158" s="305"/>
      <c r="R158" s="305"/>
      <c r="S158" s="305"/>
      <c r="T158" s="305"/>
      <c r="U158" s="305"/>
      <c r="V158" s="305"/>
      <c r="W158" s="305"/>
      <c r="X158" s="305"/>
      <c r="Y158" s="305"/>
      <c r="Z158" s="305"/>
      <c r="AA158" s="305"/>
      <c r="AB158" s="305"/>
      <c r="AC158" s="307"/>
    </row>
    <row r="159" ht="13.5" customHeight="1">
      <c r="A159" s="312"/>
      <c r="B159" s="301"/>
      <c r="C159" s="301"/>
      <c r="D159" s="301"/>
      <c r="E159" s="301"/>
      <c r="F159" s="301"/>
      <c r="G159" s="301"/>
      <c r="H159" s="301"/>
      <c r="I159" s="301"/>
      <c r="J159" s="301"/>
      <c r="K159" s="301"/>
      <c r="L159" s="302"/>
      <c r="M159" s="302"/>
      <c r="N159" s="302"/>
      <c r="O159" s="302"/>
      <c r="P159" s="302"/>
      <c r="Q159" s="302"/>
      <c r="R159" s="302"/>
      <c r="S159" s="302"/>
      <c r="T159" s="302"/>
      <c r="U159" s="302"/>
      <c r="V159" s="302"/>
      <c r="W159" s="302"/>
      <c r="X159" s="302"/>
      <c r="Y159" s="302"/>
      <c r="Z159" s="302"/>
      <c r="AA159" s="302"/>
      <c r="AB159" s="302"/>
      <c r="AC159" s="303"/>
    </row>
    <row r="160" ht="13.5" customHeight="1">
      <c r="A160" s="326"/>
      <c r="B160" s="15"/>
      <c r="C160" s="7"/>
      <c r="D160" s="9"/>
      <c r="E160" s="13"/>
      <c r="F160" s="13"/>
      <c r="G160" s="308"/>
      <c r="H160" s="308"/>
      <c r="I160" s="7"/>
      <c r="J160" s="9"/>
      <c r="K160" s="7"/>
      <c r="L160" s="305"/>
      <c r="M160" s="305"/>
      <c r="N160" s="305"/>
      <c r="O160" s="305"/>
      <c r="P160" s="305"/>
      <c r="Q160" s="305"/>
      <c r="R160" s="305"/>
      <c r="S160" s="305"/>
      <c r="T160" s="305"/>
      <c r="U160" s="305"/>
      <c r="V160" s="305"/>
      <c r="W160" s="305"/>
      <c r="X160" s="305"/>
      <c r="Y160" s="305"/>
      <c r="Z160" s="305"/>
      <c r="AA160" s="305"/>
      <c r="AB160" s="305"/>
      <c r="AC160" s="307"/>
    </row>
    <row r="161" ht="13.5" customHeight="1">
      <c r="A161" s="312"/>
      <c r="B161" s="301"/>
      <c r="C161" s="301"/>
      <c r="D161" s="301"/>
      <c r="E161" s="301"/>
      <c r="F161" s="301"/>
      <c r="G161" s="301"/>
      <c r="H161" s="301"/>
      <c r="I161" s="301"/>
      <c r="J161" s="301"/>
      <c r="K161" s="301"/>
      <c r="L161" s="302"/>
      <c r="M161" s="302"/>
      <c r="N161" s="302"/>
      <c r="O161" s="302"/>
      <c r="P161" s="302"/>
      <c r="Q161" s="302"/>
      <c r="R161" s="302"/>
      <c r="S161" s="302"/>
      <c r="T161" s="302"/>
      <c r="U161" s="302"/>
      <c r="V161" s="302"/>
      <c r="W161" s="302"/>
      <c r="X161" s="302"/>
      <c r="Y161" s="302"/>
      <c r="Z161" s="302"/>
      <c r="AA161" s="302"/>
      <c r="AB161" s="302"/>
      <c r="AC161" s="303"/>
    </row>
    <row r="162" ht="13.5" customHeight="1">
      <c r="A162" s="326"/>
      <c r="B162" s="15"/>
      <c r="C162" s="7"/>
      <c r="D162" s="9"/>
      <c r="E162" s="13"/>
      <c r="F162" s="13"/>
      <c r="G162" s="308"/>
      <c r="H162" s="308"/>
      <c r="I162" s="7"/>
      <c r="J162" s="9"/>
      <c r="K162" s="7"/>
      <c r="L162" s="305"/>
      <c r="M162" s="305"/>
      <c r="N162" s="305"/>
      <c r="O162" s="305"/>
      <c r="P162" s="305"/>
      <c r="Q162" s="305"/>
      <c r="R162" s="305"/>
      <c r="S162" s="305"/>
      <c r="T162" s="305"/>
      <c r="U162" s="305"/>
      <c r="V162" s="305"/>
      <c r="W162" s="305"/>
      <c r="X162" s="305"/>
      <c r="Y162" s="305"/>
      <c r="Z162" s="305"/>
      <c r="AA162" s="305"/>
      <c r="AB162" s="305"/>
      <c r="AC162" s="307"/>
    </row>
    <row r="163" ht="13.5" customHeight="1">
      <c r="A163" s="312"/>
      <c r="B163" s="301"/>
      <c r="C163" s="301"/>
      <c r="D163" s="301"/>
      <c r="E163" s="301"/>
      <c r="F163" s="301"/>
      <c r="G163" s="301"/>
      <c r="H163" s="301"/>
      <c r="I163" s="301"/>
      <c r="J163" s="301"/>
      <c r="K163" s="301"/>
      <c r="L163" s="302"/>
      <c r="M163" s="302"/>
      <c r="N163" s="302"/>
      <c r="O163" s="302"/>
      <c r="P163" s="302"/>
      <c r="Q163" s="302"/>
      <c r="R163" s="302"/>
      <c r="S163" s="302"/>
      <c r="T163" s="302"/>
      <c r="U163" s="302"/>
      <c r="V163" s="302"/>
      <c r="W163" s="302"/>
      <c r="X163" s="302"/>
      <c r="Y163" s="302"/>
      <c r="Z163" s="302"/>
      <c r="AA163" s="302"/>
      <c r="AB163" s="302"/>
      <c r="AC163" s="303"/>
    </row>
    <row r="164" ht="13.5" customHeight="1">
      <c r="A164" s="326"/>
      <c r="B164" s="15"/>
      <c r="C164" s="7"/>
      <c r="D164" s="9"/>
      <c r="E164" s="13"/>
      <c r="F164" s="13"/>
      <c r="G164" s="308"/>
      <c r="H164" s="308"/>
      <c r="I164" s="7"/>
      <c r="J164" s="9"/>
      <c r="K164" s="7"/>
      <c r="L164" s="305"/>
      <c r="M164" s="305"/>
      <c r="N164" s="305"/>
      <c r="O164" s="305"/>
      <c r="P164" s="305"/>
      <c r="Q164" s="305"/>
      <c r="R164" s="305"/>
      <c r="S164" s="305"/>
      <c r="T164" s="305"/>
      <c r="U164" s="305"/>
      <c r="V164" s="305"/>
      <c r="W164" s="305"/>
      <c r="X164" s="305"/>
      <c r="Y164" s="305"/>
      <c r="Z164" s="305"/>
      <c r="AA164" s="305"/>
      <c r="AB164" s="305"/>
      <c r="AC164" s="307"/>
    </row>
    <row r="165" ht="13.5" customHeight="1">
      <c r="A165" s="312"/>
      <c r="B165" s="301"/>
      <c r="C165" s="301"/>
      <c r="D165" s="301"/>
      <c r="E165" s="301"/>
      <c r="F165" s="301"/>
      <c r="G165" s="301"/>
      <c r="H165" s="301"/>
      <c r="I165" s="301"/>
      <c r="J165" s="301"/>
      <c r="K165" s="301"/>
      <c r="L165" s="302"/>
      <c r="M165" s="302"/>
      <c r="N165" s="302"/>
      <c r="O165" s="302"/>
      <c r="P165" s="302"/>
      <c r="Q165" s="302"/>
      <c r="R165" s="302"/>
      <c r="S165" s="302"/>
      <c r="T165" s="302"/>
      <c r="U165" s="302"/>
      <c r="V165" s="302"/>
      <c r="W165" s="302"/>
      <c r="X165" s="302"/>
      <c r="Y165" s="302"/>
      <c r="Z165" s="302"/>
      <c r="AA165" s="302"/>
      <c r="AB165" s="302"/>
      <c r="AC165" s="303"/>
    </row>
    <row r="166" ht="13.5" customHeight="1">
      <c r="A166" s="326"/>
      <c r="B166" s="15"/>
      <c r="C166" s="7"/>
      <c r="D166" s="9"/>
      <c r="E166" s="13"/>
      <c r="F166" s="13"/>
      <c r="G166" s="308"/>
      <c r="H166" s="308"/>
      <c r="I166" s="7"/>
      <c r="J166" s="9"/>
      <c r="K166" s="7"/>
      <c r="L166" s="305"/>
      <c r="M166" s="305"/>
      <c r="N166" s="305"/>
      <c r="O166" s="305"/>
      <c r="P166" s="305"/>
      <c r="Q166" s="305"/>
      <c r="R166" s="305"/>
      <c r="S166" s="305"/>
      <c r="T166" s="305"/>
      <c r="U166" s="305"/>
      <c r="V166" s="305"/>
      <c r="W166" s="305"/>
      <c r="X166" s="305"/>
      <c r="Y166" s="305"/>
      <c r="Z166" s="305"/>
      <c r="AA166" s="305"/>
      <c r="AB166" s="305"/>
      <c r="AC166" s="307"/>
    </row>
    <row r="167" ht="13.5" customHeight="1">
      <c r="A167" s="312"/>
      <c r="B167" s="301"/>
      <c r="C167" s="301"/>
      <c r="D167" s="301"/>
      <c r="E167" s="301"/>
      <c r="F167" s="301"/>
      <c r="G167" s="301"/>
      <c r="H167" s="301"/>
      <c r="I167" s="301"/>
      <c r="J167" s="301"/>
      <c r="K167" s="301"/>
      <c r="L167" s="302"/>
      <c r="M167" s="302"/>
      <c r="N167" s="302"/>
      <c r="O167" s="302"/>
      <c r="P167" s="302"/>
      <c r="Q167" s="302"/>
      <c r="R167" s="302"/>
      <c r="S167" s="302"/>
      <c r="T167" s="302"/>
      <c r="U167" s="302"/>
      <c r="V167" s="302"/>
      <c r="W167" s="302"/>
      <c r="X167" s="302"/>
      <c r="Y167" s="302"/>
      <c r="Z167" s="302"/>
      <c r="AA167" s="302"/>
      <c r="AB167" s="302"/>
      <c r="AC167" s="303"/>
    </row>
    <row r="168" ht="13.5" customHeight="1">
      <c r="A168" s="326"/>
      <c r="B168" s="15"/>
      <c r="C168" s="7"/>
      <c r="D168" s="9"/>
      <c r="E168" s="13"/>
      <c r="F168" s="13"/>
      <c r="G168" s="308"/>
      <c r="H168" s="308"/>
      <c r="I168" s="7"/>
      <c r="J168" s="9"/>
      <c r="K168" s="7"/>
      <c r="L168" s="305"/>
      <c r="M168" s="305"/>
      <c r="N168" s="305"/>
      <c r="O168" s="305"/>
      <c r="P168" s="305"/>
      <c r="Q168" s="305"/>
      <c r="R168" s="305"/>
      <c r="S168" s="305"/>
      <c r="T168" s="305"/>
      <c r="U168" s="305"/>
      <c r="V168" s="305"/>
      <c r="W168" s="305"/>
      <c r="X168" s="305"/>
      <c r="Y168" s="305"/>
      <c r="Z168" s="305"/>
      <c r="AA168" s="305"/>
      <c r="AB168" s="305"/>
      <c r="AC168" s="307"/>
    </row>
    <row r="169" ht="13.5" customHeight="1">
      <c r="A169" s="312"/>
      <c r="B169" s="301"/>
      <c r="C169" s="301"/>
      <c r="D169" s="301"/>
      <c r="E169" s="301"/>
      <c r="F169" s="301"/>
      <c r="G169" s="301"/>
      <c r="H169" s="301"/>
      <c r="I169" s="301"/>
      <c r="J169" s="301"/>
      <c r="K169" s="301"/>
      <c r="L169" s="302"/>
      <c r="M169" s="302"/>
      <c r="N169" s="302"/>
      <c r="O169" s="302"/>
      <c r="P169" s="302"/>
      <c r="Q169" s="302"/>
      <c r="R169" s="302"/>
      <c r="S169" s="302"/>
      <c r="T169" s="302"/>
      <c r="U169" s="302"/>
      <c r="V169" s="302"/>
      <c r="W169" s="302"/>
      <c r="X169" s="302"/>
      <c r="Y169" s="302"/>
      <c r="Z169" s="302"/>
      <c r="AA169" s="302"/>
      <c r="AB169" s="302"/>
      <c r="AC169" s="303"/>
    </row>
    <row r="170" ht="13.5" customHeight="1">
      <c r="A170" s="326"/>
      <c r="B170" s="15"/>
      <c r="C170" s="7"/>
      <c r="D170" s="9"/>
      <c r="E170" s="13"/>
      <c r="F170" s="13"/>
      <c r="G170" s="308"/>
      <c r="H170" s="308"/>
      <c r="I170" s="7"/>
      <c r="J170" s="9"/>
      <c r="K170" s="7"/>
      <c r="L170" s="305"/>
      <c r="M170" s="305"/>
      <c r="N170" s="305"/>
      <c r="O170" s="305"/>
      <c r="P170" s="305"/>
      <c r="Q170" s="305"/>
      <c r="R170" s="305"/>
      <c r="S170" s="305"/>
      <c r="T170" s="305"/>
      <c r="U170" s="305"/>
      <c r="V170" s="305"/>
      <c r="W170" s="305"/>
      <c r="X170" s="305"/>
      <c r="Y170" s="305"/>
      <c r="Z170" s="305"/>
      <c r="AA170" s="305"/>
      <c r="AB170" s="305"/>
      <c r="AC170" s="307"/>
    </row>
    <row r="171" ht="13.5" customHeight="1">
      <c r="A171" s="312"/>
      <c r="B171" s="301"/>
      <c r="C171" s="301"/>
      <c r="D171" s="301"/>
      <c r="E171" s="301"/>
      <c r="F171" s="301"/>
      <c r="G171" s="301"/>
      <c r="H171" s="301"/>
      <c r="I171" s="301"/>
      <c r="J171" s="301"/>
      <c r="K171" s="301"/>
      <c r="L171" s="302"/>
      <c r="M171" s="302"/>
      <c r="N171" s="302"/>
      <c r="O171" s="302"/>
      <c r="P171" s="302"/>
      <c r="Q171" s="302"/>
      <c r="R171" s="302"/>
      <c r="S171" s="302"/>
      <c r="T171" s="302"/>
      <c r="U171" s="302"/>
      <c r="V171" s="302"/>
      <c r="W171" s="302"/>
      <c r="X171" s="302"/>
      <c r="Y171" s="302"/>
      <c r="Z171" s="302"/>
      <c r="AA171" s="302"/>
      <c r="AB171" s="302"/>
      <c r="AC171" s="303"/>
    </row>
    <row r="172" ht="13.5" customHeight="1">
      <c r="A172" s="326"/>
      <c r="B172" s="15"/>
      <c r="C172" s="7"/>
      <c r="D172" s="9"/>
      <c r="E172" s="13"/>
      <c r="F172" s="13"/>
      <c r="G172" s="308"/>
      <c r="H172" s="308"/>
      <c r="I172" s="7"/>
      <c r="J172" s="9"/>
      <c r="K172" s="7"/>
      <c r="L172" s="305"/>
      <c r="M172" s="305"/>
      <c r="N172" s="305"/>
      <c r="O172" s="305"/>
      <c r="P172" s="305"/>
      <c r="Q172" s="305"/>
      <c r="R172" s="305"/>
      <c r="S172" s="305"/>
      <c r="T172" s="305"/>
      <c r="U172" s="305"/>
      <c r="V172" s="305"/>
      <c r="W172" s="305"/>
      <c r="X172" s="305"/>
      <c r="Y172" s="305"/>
      <c r="Z172" s="305"/>
      <c r="AA172" s="305"/>
      <c r="AB172" s="305"/>
      <c r="AC172" s="307"/>
    </row>
    <row r="173" ht="13.5" customHeight="1">
      <c r="A173" s="312"/>
      <c r="B173" s="301"/>
      <c r="C173" s="301"/>
      <c r="D173" s="301"/>
      <c r="E173" s="301"/>
      <c r="F173" s="301"/>
      <c r="G173" s="301"/>
      <c r="H173" s="301"/>
      <c r="I173" s="301"/>
      <c r="J173" s="301"/>
      <c r="K173" s="301"/>
      <c r="L173" s="302"/>
      <c r="M173" s="302"/>
      <c r="N173" s="302"/>
      <c r="O173" s="302"/>
      <c r="P173" s="302"/>
      <c r="Q173" s="302"/>
      <c r="R173" s="302"/>
      <c r="S173" s="302"/>
      <c r="T173" s="302"/>
      <c r="U173" s="302"/>
      <c r="V173" s="302"/>
      <c r="W173" s="302"/>
      <c r="X173" s="302"/>
      <c r="Y173" s="302"/>
      <c r="Z173" s="302"/>
      <c r="AA173" s="302"/>
      <c r="AB173" s="302"/>
      <c r="AC173" s="303"/>
    </row>
    <row r="174" ht="13.5" customHeight="1">
      <c r="A174" s="326"/>
      <c r="B174" s="15"/>
      <c r="C174" s="7"/>
      <c r="D174" s="9"/>
      <c r="E174" s="13"/>
      <c r="F174" s="13"/>
      <c r="G174" s="308"/>
      <c r="H174" s="308"/>
      <c r="I174" s="7"/>
      <c r="J174" s="9"/>
      <c r="K174" s="7"/>
      <c r="L174" s="305"/>
      <c r="M174" s="305"/>
      <c r="N174" s="305"/>
      <c r="O174" s="305"/>
      <c r="P174" s="305"/>
      <c r="Q174" s="305"/>
      <c r="R174" s="305"/>
      <c r="S174" s="305"/>
      <c r="T174" s="305"/>
      <c r="U174" s="305"/>
      <c r="V174" s="305"/>
      <c r="W174" s="305"/>
      <c r="X174" s="305"/>
      <c r="Y174" s="305"/>
      <c r="Z174" s="305"/>
      <c r="AA174" s="305"/>
      <c r="AB174" s="305"/>
      <c r="AC174" s="307"/>
    </row>
    <row r="175" ht="13.5" customHeight="1">
      <c r="A175" s="312"/>
      <c r="B175" s="301"/>
      <c r="C175" s="301"/>
      <c r="D175" s="301"/>
      <c r="E175" s="301"/>
      <c r="F175" s="301"/>
      <c r="G175" s="301"/>
      <c r="H175" s="301"/>
      <c r="I175" s="301"/>
      <c r="J175" s="301"/>
      <c r="K175" s="301"/>
      <c r="L175" s="302"/>
      <c r="M175" s="302"/>
      <c r="N175" s="302"/>
      <c r="O175" s="302"/>
      <c r="P175" s="302"/>
      <c r="Q175" s="302"/>
      <c r="R175" s="302"/>
      <c r="S175" s="302"/>
      <c r="T175" s="302"/>
      <c r="U175" s="302"/>
      <c r="V175" s="302"/>
      <c r="W175" s="302"/>
      <c r="X175" s="302"/>
      <c r="Y175" s="302"/>
      <c r="Z175" s="302"/>
      <c r="AA175" s="302"/>
      <c r="AB175" s="302"/>
      <c r="AC175" s="303"/>
    </row>
    <row r="176" ht="13.5" customHeight="1">
      <c r="A176" s="326"/>
      <c r="B176" s="15"/>
      <c r="C176" s="7"/>
      <c r="D176" s="9"/>
      <c r="E176" s="13"/>
      <c r="F176" s="13"/>
      <c r="G176" s="308"/>
      <c r="H176" s="308"/>
      <c r="I176" s="7"/>
      <c r="J176" s="9"/>
      <c r="K176" s="7"/>
      <c r="L176" s="305"/>
      <c r="M176" s="305"/>
      <c r="N176" s="305"/>
      <c r="O176" s="305"/>
      <c r="P176" s="305"/>
      <c r="Q176" s="305"/>
      <c r="R176" s="305"/>
      <c r="S176" s="305"/>
      <c r="T176" s="305"/>
      <c r="U176" s="305"/>
      <c r="V176" s="305"/>
      <c r="W176" s="305"/>
      <c r="X176" s="305"/>
      <c r="Y176" s="305"/>
      <c r="Z176" s="305"/>
      <c r="AA176" s="305"/>
      <c r="AB176" s="305"/>
      <c r="AC176" s="307"/>
    </row>
    <row r="177" ht="13.5" customHeight="1">
      <c r="A177" s="312"/>
      <c r="B177" s="301"/>
      <c r="C177" s="301"/>
      <c r="D177" s="301"/>
      <c r="E177" s="301"/>
      <c r="F177" s="301"/>
      <c r="G177" s="301"/>
      <c r="H177" s="301"/>
      <c r="I177" s="301"/>
      <c r="J177" s="301"/>
      <c r="K177" s="301"/>
      <c r="L177" s="302"/>
      <c r="M177" s="302"/>
      <c r="N177" s="302"/>
      <c r="O177" s="302"/>
      <c r="P177" s="302"/>
      <c r="Q177" s="302"/>
      <c r="R177" s="302"/>
      <c r="S177" s="302"/>
      <c r="T177" s="302"/>
      <c r="U177" s="302"/>
      <c r="V177" s="302"/>
      <c r="W177" s="302"/>
      <c r="X177" s="302"/>
      <c r="Y177" s="302"/>
      <c r="Z177" s="302"/>
      <c r="AA177" s="302"/>
      <c r="AB177" s="302"/>
      <c r="AC177" s="303"/>
    </row>
    <row r="178" ht="13.5" customHeight="1">
      <c r="A178" s="326"/>
      <c r="B178" s="15"/>
      <c r="C178" s="7"/>
      <c r="D178" s="9"/>
      <c r="E178" s="13"/>
      <c r="F178" s="13"/>
      <c r="G178" s="308"/>
      <c r="H178" s="308"/>
      <c r="I178" s="7"/>
      <c r="J178" s="9"/>
      <c r="K178" s="7"/>
      <c r="L178" s="305"/>
      <c r="M178" s="305"/>
      <c r="N178" s="305"/>
      <c r="O178" s="305"/>
      <c r="P178" s="305"/>
      <c r="Q178" s="305"/>
      <c r="R178" s="305"/>
      <c r="S178" s="305"/>
      <c r="T178" s="305"/>
      <c r="U178" s="305"/>
      <c r="V178" s="305"/>
      <c r="W178" s="305"/>
      <c r="X178" s="305"/>
      <c r="Y178" s="305"/>
      <c r="Z178" s="305"/>
      <c r="AA178" s="305"/>
      <c r="AB178" s="305"/>
      <c r="AC178" s="307"/>
    </row>
    <row r="179" ht="13.5" customHeight="1">
      <c r="A179" s="312"/>
      <c r="B179" s="301"/>
      <c r="C179" s="301"/>
      <c r="D179" s="301"/>
      <c r="E179" s="301"/>
      <c r="F179" s="301"/>
      <c r="G179" s="301"/>
      <c r="H179" s="301"/>
      <c r="I179" s="301"/>
      <c r="J179" s="301"/>
      <c r="K179" s="301"/>
      <c r="L179" s="302"/>
      <c r="M179" s="302"/>
      <c r="N179" s="302"/>
      <c r="O179" s="302"/>
      <c r="P179" s="302"/>
      <c r="Q179" s="302"/>
      <c r="R179" s="302"/>
      <c r="S179" s="302"/>
      <c r="T179" s="302"/>
      <c r="U179" s="302"/>
      <c r="V179" s="302"/>
      <c r="W179" s="302"/>
      <c r="X179" s="302"/>
      <c r="Y179" s="302"/>
      <c r="Z179" s="302"/>
      <c r="AA179" s="302"/>
      <c r="AB179" s="302"/>
      <c r="AC179" s="303"/>
    </row>
    <row r="180" ht="13.5" customHeight="1">
      <c r="A180" s="326"/>
      <c r="B180" s="15"/>
      <c r="C180" s="7"/>
      <c r="D180" s="9"/>
      <c r="E180" s="13"/>
      <c r="F180" s="13"/>
      <c r="G180" s="308"/>
      <c r="H180" s="308"/>
      <c r="I180" s="7"/>
      <c r="J180" s="9"/>
      <c r="K180" s="7"/>
      <c r="L180" s="305"/>
      <c r="M180" s="305"/>
      <c r="N180" s="305"/>
      <c r="O180" s="305"/>
      <c r="P180" s="305"/>
      <c r="Q180" s="305"/>
      <c r="R180" s="305"/>
      <c r="S180" s="305"/>
      <c r="T180" s="305"/>
      <c r="U180" s="305"/>
      <c r="V180" s="305"/>
      <c r="W180" s="305"/>
      <c r="X180" s="305"/>
      <c r="Y180" s="305"/>
      <c r="Z180" s="305"/>
      <c r="AA180" s="305"/>
      <c r="AB180" s="305"/>
      <c r="AC180" s="307"/>
    </row>
    <row r="181" ht="13.5" customHeight="1">
      <c r="A181" s="312"/>
      <c r="B181" s="301"/>
      <c r="C181" s="301"/>
      <c r="D181" s="301"/>
      <c r="E181" s="301"/>
      <c r="F181" s="301"/>
      <c r="G181" s="301"/>
      <c r="H181" s="301"/>
      <c r="I181" s="301"/>
      <c r="J181" s="301"/>
      <c r="K181" s="301"/>
      <c r="L181" s="302"/>
      <c r="M181" s="302"/>
      <c r="N181" s="302"/>
      <c r="O181" s="302"/>
      <c r="P181" s="302"/>
      <c r="Q181" s="302"/>
      <c r="R181" s="302"/>
      <c r="S181" s="302"/>
      <c r="T181" s="302"/>
      <c r="U181" s="302"/>
      <c r="V181" s="302"/>
      <c r="W181" s="302"/>
      <c r="X181" s="302"/>
      <c r="Y181" s="302"/>
      <c r="Z181" s="302"/>
      <c r="AA181" s="302"/>
      <c r="AB181" s="302"/>
      <c r="AC181" s="303"/>
    </row>
    <row r="182" ht="13.5" customHeight="1">
      <c r="A182" s="326"/>
      <c r="B182" s="15"/>
      <c r="C182" s="7"/>
      <c r="D182" s="9"/>
      <c r="E182" s="13"/>
      <c r="F182" s="13"/>
      <c r="G182" s="308"/>
      <c r="H182" s="308"/>
      <c r="I182" s="7"/>
      <c r="J182" s="9"/>
      <c r="K182" s="7"/>
      <c r="L182" s="305"/>
      <c r="M182" s="305"/>
      <c r="N182" s="305"/>
      <c r="O182" s="305"/>
      <c r="P182" s="305"/>
      <c r="Q182" s="305"/>
      <c r="R182" s="305"/>
      <c r="S182" s="305"/>
      <c r="T182" s="305"/>
      <c r="U182" s="305"/>
      <c r="V182" s="305"/>
      <c r="W182" s="305"/>
      <c r="X182" s="305"/>
      <c r="Y182" s="305"/>
      <c r="Z182" s="305"/>
      <c r="AA182" s="305"/>
      <c r="AB182" s="305"/>
      <c r="AC182" s="307"/>
    </row>
    <row r="183" ht="13.5" customHeight="1">
      <c r="A183" s="312"/>
      <c r="B183" s="301"/>
      <c r="C183" s="301"/>
      <c r="D183" s="301"/>
      <c r="E183" s="301"/>
      <c r="F183" s="301"/>
      <c r="G183" s="301"/>
      <c r="H183" s="301"/>
      <c r="I183" s="301"/>
      <c r="J183" s="301"/>
      <c r="K183" s="301"/>
      <c r="L183" s="302"/>
      <c r="M183" s="302"/>
      <c r="N183" s="302"/>
      <c r="O183" s="302"/>
      <c r="P183" s="302"/>
      <c r="Q183" s="302"/>
      <c r="R183" s="302"/>
      <c r="S183" s="302"/>
      <c r="T183" s="302"/>
      <c r="U183" s="302"/>
      <c r="V183" s="302"/>
      <c r="W183" s="302"/>
      <c r="X183" s="302"/>
      <c r="Y183" s="302"/>
      <c r="Z183" s="302"/>
      <c r="AA183" s="302"/>
      <c r="AB183" s="302"/>
      <c r="AC183" s="303"/>
    </row>
    <row r="184" ht="13.5" customHeight="1">
      <c r="A184" s="326"/>
      <c r="B184" s="15"/>
      <c r="C184" s="7"/>
      <c r="D184" s="9"/>
      <c r="E184" s="13"/>
      <c r="F184" s="13"/>
      <c r="G184" s="308"/>
      <c r="H184" s="308"/>
      <c r="I184" s="7"/>
      <c r="J184" s="9"/>
      <c r="K184" s="7"/>
      <c r="L184" s="305"/>
      <c r="M184" s="305"/>
      <c r="N184" s="305"/>
      <c r="O184" s="305"/>
      <c r="P184" s="305"/>
      <c r="Q184" s="305"/>
      <c r="R184" s="305"/>
      <c r="S184" s="305"/>
      <c r="T184" s="305"/>
      <c r="U184" s="305"/>
      <c r="V184" s="305"/>
      <c r="W184" s="305"/>
      <c r="X184" s="305"/>
      <c r="Y184" s="305"/>
      <c r="Z184" s="305"/>
      <c r="AA184" s="305"/>
      <c r="AB184" s="305"/>
      <c r="AC184" s="307"/>
    </row>
    <row r="185" ht="13.5" customHeight="1">
      <c r="A185" s="312"/>
      <c r="B185" s="301"/>
      <c r="C185" s="301"/>
      <c r="D185" s="301"/>
      <c r="E185" s="301"/>
      <c r="F185" s="301"/>
      <c r="G185" s="301"/>
      <c r="H185" s="301"/>
      <c r="I185" s="301"/>
      <c r="J185" s="301"/>
      <c r="K185" s="301"/>
      <c r="L185" s="302"/>
      <c r="M185" s="302"/>
      <c r="N185" s="302"/>
      <c r="O185" s="302"/>
      <c r="P185" s="302"/>
      <c r="Q185" s="302"/>
      <c r="R185" s="302"/>
      <c r="S185" s="302"/>
      <c r="T185" s="302"/>
      <c r="U185" s="302"/>
      <c r="V185" s="302"/>
      <c r="W185" s="302"/>
      <c r="X185" s="302"/>
      <c r="Y185" s="302"/>
      <c r="Z185" s="302"/>
      <c r="AA185" s="302"/>
      <c r="AB185" s="302"/>
      <c r="AC185" s="303"/>
    </row>
    <row r="186" ht="13.5" customHeight="1">
      <c r="A186" s="326"/>
      <c r="B186" s="15"/>
      <c r="C186" s="7"/>
      <c r="D186" s="9"/>
      <c r="E186" s="13"/>
      <c r="F186" s="13"/>
      <c r="G186" s="308"/>
      <c r="H186" s="308"/>
      <c r="I186" s="7"/>
      <c r="J186" s="9"/>
      <c r="K186" s="7"/>
      <c r="L186" s="305"/>
      <c r="M186" s="305"/>
      <c r="N186" s="305"/>
      <c r="O186" s="305"/>
      <c r="P186" s="305"/>
      <c r="Q186" s="305"/>
      <c r="R186" s="305"/>
      <c r="S186" s="305"/>
      <c r="T186" s="305"/>
      <c r="U186" s="305"/>
      <c r="V186" s="305"/>
      <c r="W186" s="305"/>
      <c r="X186" s="305"/>
      <c r="Y186" s="305"/>
      <c r="Z186" s="305"/>
      <c r="AA186" s="305"/>
      <c r="AB186" s="305"/>
      <c r="AC186" s="307"/>
    </row>
    <row r="187" ht="13.5" customHeight="1">
      <c r="A187" s="312"/>
      <c r="B187" s="301"/>
      <c r="C187" s="301"/>
      <c r="D187" s="301"/>
      <c r="E187" s="301"/>
      <c r="F187" s="301"/>
      <c r="G187" s="301"/>
      <c r="H187" s="301"/>
      <c r="I187" s="301"/>
      <c r="J187" s="301"/>
      <c r="K187" s="301"/>
      <c r="L187" s="302"/>
      <c r="M187" s="302"/>
      <c r="N187" s="302"/>
      <c r="O187" s="302"/>
      <c r="P187" s="302"/>
      <c r="Q187" s="302"/>
      <c r="R187" s="302"/>
      <c r="S187" s="302"/>
      <c r="T187" s="302"/>
      <c r="U187" s="302"/>
      <c r="V187" s="302"/>
      <c r="W187" s="302"/>
      <c r="X187" s="302"/>
      <c r="Y187" s="302"/>
      <c r="Z187" s="302"/>
      <c r="AA187" s="302"/>
      <c r="AB187" s="302"/>
      <c r="AC187" s="303"/>
    </row>
    <row r="188" ht="13.5" customHeight="1">
      <c r="A188" s="326"/>
      <c r="B188" s="15"/>
      <c r="C188" s="7"/>
      <c r="D188" s="9"/>
      <c r="E188" s="13"/>
      <c r="F188" s="13"/>
      <c r="G188" s="308"/>
      <c r="H188" s="308"/>
      <c r="I188" s="7"/>
      <c r="J188" s="9"/>
      <c r="K188" s="7"/>
      <c r="L188" s="305"/>
      <c r="M188" s="305"/>
      <c r="N188" s="305"/>
      <c r="O188" s="305"/>
      <c r="P188" s="305"/>
      <c r="Q188" s="305"/>
      <c r="R188" s="305"/>
      <c r="S188" s="305"/>
      <c r="T188" s="305"/>
      <c r="U188" s="305"/>
      <c r="V188" s="305"/>
      <c r="W188" s="305"/>
      <c r="X188" s="305"/>
      <c r="Y188" s="305"/>
      <c r="Z188" s="305"/>
      <c r="AA188" s="305"/>
      <c r="AB188" s="305"/>
      <c r="AC188" s="307"/>
    </row>
    <row r="189" ht="13.5" customHeight="1">
      <c r="A189" s="312"/>
      <c r="B189" s="301"/>
      <c r="C189" s="301"/>
      <c r="D189" s="301"/>
      <c r="E189" s="301"/>
      <c r="F189" s="301"/>
      <c r="G189" s="301"/>
      <c r="H189" s="301"/>
      <c r="I189" s="301"/>
      <c r="J189" s="301"/>
      <c r="K189" s="301"/>
      <c r="L189" s="302"/>
      <c r="M189" s="302"/>
      <c r="N189" s="302"/>
      <c r="O189" s="302"/>
      <c r="P189" s="302"/>
      <c r="Q189" s="302"/>
      <c r="R189" s="302"/>
      <c r="S189" s="302"/>
      <c r="T189" s="302"/>
      <c r="U189" s="302"/>
      <c r="V189" s="302"/>
      <c r="W189" s="302"/>
      <c r="X189" s="302"/>
      <c r="Y189" s="302"/>
      <c r="Z189" s="302"/>
      <c r="AA189" s="302"/>
      <c r="AB189" s="302"/>
      <c r="AC189" s="303"/>
    </row>
    <row r="190" ht="13.5" customHeight="1">
      <c r="A190" s="326"/>
      <c r="B190" s="15"/>
      <c r="C190" s="7"/>
      <c r="D190" s="9"/>
      <c r="E190" s="13"/>
      <c r="F190" s="13"/>
      <c r="G190" s="308"/>
      <c r="H190" s="308"/>
      <c r="I190" s="7"/>
      <c r="J190" s="9"/>
      <c r="K190" s="7"/>
      <c r="L190" s="305"/>
      <c r="M190" s="305"/>
      <c r="N190" s="305"/>
      <c r="O190" s="305"/>
      <c r="P190" s="305"/>
      <c r="Q190" s="305"/>
      <c r="R190" s="305"/>
      <c r="S190" s="305"/>
      <c r="T190" s="305"/>
      <c r="U190" s="305"/>
      <c r="V190" s="305"/>
      <c r="W190" s="305"/>
      <c r="X190" s="305"/>
      <c r="Y190" s="305"/>
      <c r="Z190" s="305"/>
      <c r="AA190" s="305"/>
      <c r="AB190" s="305"/>
      <c r="AC190" s="307"/>
    </row>
    <row r="191" ht="13.5" customHeight="1">
      <c r="A191" s="312"/>
      <c r="B191" s="301"/>
      <c r="C191" s="301"/>
      <c r="D191" s="301"/>
      <c r="E191" s="301"/>
      <c r="F191" s="301"/>
      <c r="G191" s="301"/>
      <c r="H191" s="301"/>
      <c r="I191" s="301"/>
      <c r="J191" s="301"/>
      <c r="K191" s="301"/>
      <c r="L191" s="302"/>
      <c r="M191" s="302"/>
      <c r="N191" s="302"/>
      <c r="O191" s="302"/>
      <c r="P191" s="302"/>
      <c r="Q191" s="302"/>
      <c r="R191" s="302"/>
      <c r="S191" s="302"/>
      <c r="T191" s="302"/>
      <c r="U191" s="302"/>
      <c r="V191" s="302"/>
      <c r="W191" s="302"/>
      <c r="X191" s="302"/>
      <c r="Y191" s="302"/>
      <c r="Z191" s="302"/>
      <c r="AA191" s="302"/>
      <c r="AB191" s="302"/>
      <c r="AC191" s="303"/>
    </row>
    <row r="192" ht="13.5" customHeight="1">
      <c r="A192" s="326"/>
      <c r="B192" s="15"/>
      <c r="C192" s="7"/>
      <c r="D192" s="9"/>
      <c r="E192" s="13"/>
      <c r="F192" s="13"/>
      <c r="G192" s="308"/>
      <c r="H192" s="308"/>
      <c r="I192" s="7"/>
      <c r="J192" s="9"/>
      <c r="K192" s="7"/>
      <c r="L192" s="305"/>
      <c r="M192" s="305"/>
      <c r="N192" s="305"/>
      <c r="O192" s="305"/>
      <c r="P192" s="305"/>
      <c r="Q192" s="305"/>
      <c r="R192" s="305"/>
      <c r="S192" s="305"/>
      <c r="T192" s="305"/>
      <c r="U192" s="305"/>
      <c r="V192" s="305"/>
      <c r="W192" s="305"/>
      <c r="X192" s="305"/>
      <c r="Y192" s="305"/>
      <c r="Z192" s="305"/>
      <c r="AA192" s="305"/>
      <c r="AB192" s="305"/>
      <c r="AC192" s="307"/>
    </row>
    <row r="193" ht="13.5" customHeight="1">
      <c r="A193" s="312"/>
      <c r="B193" s="301"/>
      <c r="C193" s="301"/>
      <c r="D193" s="301"/>
      <c r="E193" s="301"/>
      <c r="F193" s="301"/>
      <c r="G193" s="301"/>
      <c r="H193" s="301"/>
      <c r="I193" s="301"/>
      <c r="J193" s="301"/>
      <c r="K193" s="301"/>
      <c r="L193" s="302"/>
      <c r="M193" s="302"/>
      <c r="N193" s="302"/>
      <c r="O193" s="302"/>
      <c r="P193" s="302"/>
      <c r="Q193" s="302"/>
      <c r="R193" s="302"/>
      <c r="S193" s="302"/>
      <c r="T193" s="302"/>
      <c r="U193" s="302"/>
      <c r="V193" s="302"/>
      <c r="W193" s="302"/>
      <c r="X193" s="302"/>
      <c r="Y193" s="302"/>
      <c r="Z193" s="302"/>
      <c r="AA193" s="302"/>
      <c r="AB193" s="302"/>
      <c r="AC193" s="303"/>
    </row>
    <row r="194" ht="13.5" customHeight="1">
      <c r="A194" s="326"/>
      <c r="B194" s="15"/>
      <c r="C194" s="7"/>
      <c r="D194" s="9"/>
      <c r="E194" s="13"/>
      <c r="F194" s="13"/>
      <c r="G194" s="308"/>
      <c r="H194" s="308"/>
      <c r="I194" s="7"/>
      <c r="J194" s="9"/>
      <c r="K194" s="7"/>
      <c r="L194" s="305"/>
      <c r="M194" s="305"/>
      <c r="N194" s="305"/>
      <c r="O194" s="305"/>
      <c r="P194" s="305"/>
      <c r="Q194" s="305"/>
      <c r="R194" s="305"/>
      <c r="S194" s="305"/>
      <c r="T194" s="305"/>
      <c r="U194" s="305"/>
      <c r="V194" s="305"/>
      <c r="W194" s="305"/>
      <c r="X194" s="305"/>
      <c r="Y194" s="305"/>
      <c r="Z194" s="305"/>
      <c r="AA194" s="305"/>
      <c r="AB194" s="305"/>
      <c r="AC194" s="307"/>
    </row>
    <row r="195" ht="13.5" customHeight="1">
      <c r="A195" s="312"/>
      <c r="B195" s="301"/>
      <c r="C195" s="301"/>
      <c r="D195" s="301"/>
      <c r="E195" s="301"/>
      <c r="F195" s="301"/>
      <c r="G195" s="301"/>
      <c r="H195" s="301"/>
      <c r="I195" s="301"/>
      <c r="J195" s="301"/>
      <c r="K195" s="301"/>
      <c r="L195" s="302"/>
      <c r="M195" s="302"/>
      <c r="N195" s="302"/>
      <c r="O195" s="302"/>
      <c r="P195" s="302"/>
      <c r="Q195" s="302"/>
      <c r="R195" s="302"/>
      <c r="S195" s="302"/>
      <c r="T195" s="302"/>
      <c r="U195" s="302"/>
      <c r="V195" s="302"/>
      <c r="W195" s="302"/>
      <c r="X195" s="302"/>
      <c r="Y195" s="302"/>
      <c r="Z195" s="302"/>
      <c r="AA195" s="302"/>
      <c r="AB195" s="302"/>
      <c r="AC195" s="303"/>
    </row>
    <row r="196" ht="13.5" customHeight="1">
      <c r="A196" s="326"/>
      <c r="B196" s="15"/>
      <c r="C196" s="7"/>
      <c r="D196" s="9"/>
      <c r="E196" s="13"/>
      <c r="F196" s="13"/>
      <c r="G196" s="308"/>
      <c r="H196" s="308"/>
      <c r="I196" s="7"/>
      <c r="J196" s="9"/>
      <c r="K196" s="7"/>
      <c r="L196" s="305"/>
      <c r="M196" s="305"/>
      <c r="N196" s="305"/>
      <c r="O196" s="305"/>
      <c r="P196" s="305"/>
      <c r="Q196" s="305"/>
      <c r="R196" s="305"/>
      <c r="S196" s="305"/>
      <c r="T196" s="305"/>
      <c r="U196" s="305"/>
      <c r="V196" s="305"/>
      <c r="W196" s="305"/>
      <c r="X196" s="305"/>
      <c r="Y196" s="305"/>
      <c r="Z196" s="305"/>
      <c r="AA196" s="305"/>
      <c r="AB196" s="305"/>
      <c r="AC196" s="307"/>
    </row>
    <row r="197" ht="13.5" customHeight="1">
      <c r="A197" s="312"/>
      <c r="B197" s="301"/>
      <c r="C197" s="301"/>
      <c r="D197" s="301"/>
      <c r="E197" s="301"/>
      <c r="F197" s="301"/>
      <c r="G197" s="301"/>
      <c r="H197" s="301"/>
      <c r="I197" s="301"/>
      <c r="J197" s="301"/>
      <c r="K197" s="301"/>
      <c r="L197" s="302"/>
      <c r="M197" s="302"/>
      <c r="N197" s="302"/>
      <c r="O197" s="302"/>
      <c r="P197" s="302"/>
      <c r="Q197" s="302"/>
      <c r="R197" s="302"/>
      <c r="S197" s="302"/>
      <c r="T197" s="302"/>
      <c r="U197" s="302"/>
      <c r="V197" s="302"/>
      <c r="W197" s="302"/>
      <c r="X197" s="302"/>
      <c r="Y197" s="302"/>
      <c r="Z197" s="302"/>
      <c r="AA197" s="302"/>
      <c r="AB197" s="302"/>
      <c r="AC197" s="303"/>
    </row>
    <row r="198" ht="13.5" customHeight="1">
      <c r="A198" s="326"/>
      <c r="B198" s="15"/>
      <c r="C198" s="7"/>
      <c r="D198" s="9"/>
      <c r="E198" s="13"/>
      <c r="F198" s="13"/>
      <c r="G198" s="308"/>
      <c r="H198" s="308"/>
      <c r="I198" s="7"/>
      <c r="J198" s="9"/>
      <c r="K198" s="7"/>
      <c r="L198" s="305"/>
      <c r="M198" s="305"/>
      <c r="N198" s="305"/>
      <c r="O198" s="305"/>
      <c r="P198" s="305"/>
      <c r="Q198" s="305"/>
      <c r="R198" s="305"/>
      <c r="S198" s="305"/>
      <c r="T198" s="305"/>
      <c r="U198" s="305"/>
      <c r="V198" s="305"/>
      <c r="W198" s="305"/>
      <c r="X198" s="305"/>
      <c r="Y198" s="305"/>
      <c r="Z198" s="305"/>
      <c r="AA198" s="305"/>
      <c r="AB198" s="305"/>
      <c r="AC198" s="307"/>
    </row>
    <row r="199" ht="13.5" customHeight="1">
      <c r="A199" s="312"/>
      <c r="B199" s="301"/>
      <c r="C199" s="301"/>
      <c r="D199" s="301"/>
      <c r="E199" s="301"/>
      <c r="F199" s="301"/>
      <c r="G199" s="301"/>
      <c r="H199" s="301"/>
      <c r="I199" s="301"/>
      <c r="J199" s="301"/>
      <c r="K199" s="301"/>
      <c r="L199" s="302"/>
      <c r="M199" s="302"/>
      <c r="N199" s="302"/>
      <c r="O199" s="302"/>
      <c r="P199" s="302"/>
      <c r="Q199" s="302"/>
      <c r="R199" s="302"/>
      <c r="S199" s="302"/>
      <c r="T199" s="302"/>
      <c r="U199" s="302"/>
      <c r="V199" s="302"/>
      <c r="W199" s="302"/>
      <c r="X199" s="302"/>
      <c r="Y199" s="302"/>
      <c r="Z199" s="302"/>
      <c r="AA199" s="302"/>
      <c r="AB199" s="302"/>
      <c r="AC199" s="303"/>
    </row>
    <row r="200" ht="13.5" customHeight="1">
      <c r="A200" s="326"/>
      <c r="B200" s="15"/>
      <c r="C200" s="7"/>
      <c r="D200" s="9"/>
      <c r="E200" s="13"/>
      <c r="F200" s="13"/>
      <c r="G200" s="308"/>
      <c r="H200" s="308"/>
      <c r="I200" s="7"/>
      <c r="J200" s="9"/>
      <c r="K200" s="7"/>
      <c r="L200" s="305"/>
      <c r="M200" s="305"/>
      <c r="N200" s="305"/>
      <c r="O200" s="305"/>
      <c r="P200" s="305"/>
      <c r="Q200" s="305"/>
      <c r="R200" s="305"/>
      <c r="S200" s="305"/>
      <c r="T200" s="305"/>
      <c r="U200" s="305"/>
      <c r="V200" s="305"/>
      <c r="W200" s="305"/>
      <c r="X200" s="305"/>
      <c r="Y200" s="305"/>
      <c r="Z200" s="305"/>
      <c r="AA200" s="305"/>
      <c r="AB200" s="305"/>
      <c r="AC200" s="307"/>
    </row>
    <row r="201" ht="13.5" customHeight="1">
      <c r="A201" s="312"/>
      <c r="B201" s="301"/>
      <c r="C201" s="301"/>
      <c r="D201" s="301"/>
      <c r="E201" s="301"/>
      <c r="F201" s="301"/>
      <c r="G201" s="301"/>
      <c r="H201" s="301"/>
      <c r="I201" s="301"/>
      <c r="J201" s="301"/>
      <c r="K201" s="301"/>
      <c r="L201" s="302"/>
      <c r="M201" s="302"/>
      <c r="N201" s="302"/>
      <c r="O201" s="302"/>
      <c r="P201" s="302"/>
      <c r="Q201" s="302"/>
      <c r="R201" s="302"/>
      <c r="S201" s="302"/>
      <c r="T201" s="302"/>
      <c r="U201" s="302"/>
      <c r="V201" s="302"/>
      <c r="W201" s="302"/>
      <c r="X201" s="302"/>
      <c r="Y201" s="302"/>
      <c r="Z201" s="302"/>
      <c r="AA201" s="302"/>
      <c r="AB201" s="302"/>
      <c r="AC201" s="303"/>
    </row>
    <row r="202" ht="13.5" customHeight="1">
      <c r="A202" s="326"/>
      <c r="B202" s="15"/>
      <c r="C202" s="7"/>
      <c r="D202" s="9"/>
      <c r="E202" s="13"/>
      <c r="F202" s="13"/>
      <c r="G202" s="308"/>
      <c r="H202" s="308"/>
      <c r="I202" s="7"/>
      <c r="J202" s="9"/>
      <c r="K202" s="7"/>
      <c r="L202" s="305"/>
      <c r="M202" s="305"/>
      <c r="N202" s="305"/>
      <c r="O202" s="305"/>
      <c r="P202" s="305"/>
      <c r="Q202" s="305"/>
      <c r="R202" s="305"/>
      <c r="S202" s="305"/>
      <c r="T202" s="305"/>
      <c r="U202" s="305"/>
      <c r="V202" s="305"/>
      <c r="W202" s="305"/>
      <c r="X202" s="305"/>
      <c r="Y202" s="305"/>
      <c r="Z202" s="305"/>
      <c r="AA202" s="305"/>
      <c r="AB202" s="305"/>
      <c r="AC202" s="307"/>
    </row>
    <row r="203" ht="13.5" customHeight="1">
      <c r="A203" s="312"/>
      <c r="B203" s="301"/>
      <c r="C203" s="301"/>
      <c r="D203" s="301"/>
      <c r="E203" s="301"/>
      <c r="F203" s="301"/>
      <c r="G203" s="301"/>
      <c r="H203" s="301"/>
      <c r="I203" s="301"/>
      <c r="J203" s="301"/>
      <c r="K203" s="301"/>
      <c r="L203" s="302"/>
      <c r="M203" s="302"/>
      <c r="N203" s="302"/>
      <c r="O203" s="302"/>
      <c r="P203" s="302"/>
      <c r="Q203" s="302"/>
      <c r="R203" s="302"/>
      <c r="S203" s="302"/>
      <c r="T203" s="302"/>
      <c r="U203" s="302"/>
      <c r="V203" s="302"/>
      <c r="W203" s="302"/>
      <c r="X203" s="302"/>
      <c r="Y203" s="302"/>
      <c r="Z203" s="302"/>
      <c r="AA203" s="302"/>
      <c r="AB203" s="302"/>
      <c r="AC203" s="303"/>
    </row>
    <row r="204" ht="13.5" customHeight="1">
      <c r="A204" s="326"/>
      <c r="B204" s="15"/>
      <c r="C204" s="7"/>
      <c r="D204" s="9"/>
      <c r="E204" s="13"/>
      <c r="F204" s="13"/>
      <c r="G204" s="308"/>
      <c r="H204" s="308"/>
      <c r="I204" s="7"/>
      <c r="J204" s="9"/>
      <c r="K204" s="7"/>
      <c r="L204" s="305"/>
      <c r="M204" s="305"/>
      <c r="N204" s="305"/>
      <c r="O204" s="305"/>
      <c r="P204" s="305"/>
      <c r="Q204" s="305"/>
      <c r="R204" s="305"/>
      <c r="S204" s="305"/>
      <c r="T204" s="305"/>
      <c r="U204" s="305"/>
      <c r="V204" s="305"/>
      <c r="W204" s="305"/>
      <c r="X204" s="305"/>
      <c r="Y204" s="305"/>
      <c r="Z204" s="305"/>
      <c r="AA204" s="305"/>
      <c r="AB204" s="305"/>
      <c r="AC204" s="307"/>
    </row>
    <row r="205" ht="13.5" customHeight="1">
      <c r="A205" s="312"/>
      <c r="B205" s="301"/>
      <c r="C205" s="301"/>
      <c r="D205" s="301"/>
      <c r="E205" s="301"/>
      <c r="F205" s="301"/>
      <c r="G205" s="301"/>
      <c r="H205" s="301"/>
      <c r="I205" s="301"/>
      <c r="J205" s="301"/>
      <c r="K205" s="301"/>
      <c r="L205" s="302"/>
      <c r="M205" s="302"/>
      <c r="N205" s="302"/>
      <c r="O205" s="302"/>
      <c r="P205" s="302"/>
      <c r="Q205" s="302"/>
      <c r="R205" s="302"/>
      <c r="S205" s="302"/>
      <c r="T205" s="302"/>
      <c r="U205" s="302"/>
      <c r="V205" s="302"/>
      <c r="W205" s="302"/>
      <c r="X205" s="302"/>
      <c r="Y205" s="302"/>
      <c r="Z205" s="302"/>
      <c r="AA205" s="302"/>
      <c r="AB205" s="302"/>
      <c r="AC205" s="303"/>
    </row>
    <row r="206" ht="13.5" customHeight="1">
      <c r="A206" s="326"/>
      <c r="B206" s="15"/>
      <c r="C206" s="7"/>
      <c r="D206" s="9"/>
      <c r="E206" s="13"/>
      <c r="F206" s="13"/>
      <c r="G206" s="308"/>
      <c r="H206" s="308"/>
      <c r="I206" s="7"/>
      <c r="J206" s="9"/>
      <c r="K206" s="7"/>
      <c r="L206" s="305"/>
      <c r="M206" s="305"/>
      <c r="N206" s="305"/>
      <c r="O206" s="305"/>
      <c r="P206" s="305"/>
      <c r="Q206" s="305"/>
      <c r="R206" s="305"/>
      <c r="S206" s="305"/>
      <c r="T206" s="305"/>
      <c r="U206" s="305"/>
      <c r="V206" s="305"/>
      <c r="W206" s="305"/>
      <c r="X206" s="305"/>
      <c r="Y206" s="305"/>
      <c r="Z206" s="305"/>
      <c r="AA206" s="305"/>
      <c r="AB206" s="305"/>
      <c r="AC206" s="307"/>
    </row>
    <row r="207" ht="13.5" customHeight="1">
      <c r="A207" s="312"/>
      <c r="B207" s="301"/>
      <c r="C207" s="301"/>
      <c r="D207" s="301"/>
      <c r="E207" s="301"/>
      <c r="F207" s="301"/>
      <c r="G207" s="301"/>
      <c r="H207" s="301"/>
      <c r="I207" s="301"/>
      <c r="J207" s="301"/>
      <c r="K207" s="301"/>
      <c r="L207" s="302"/>
      <c r="M207" s="302"/>
      <c r="N207" s="302"/>
      <c r="O207" s="302"/>
      <c r="P207" s="302"/>
      <c r="Q207" s="302"/>
      <c r="R207" s="302"/>
      <c r="S207" s="302"/>
      <c r="T207" s="302"/>
      <c r="U207" s="302"/>
      <c r="V207" s="302"/>
      <c r="W207" s="302"/>
      <c r="X207" s="302"/>
      <c r="Y207" s="302"/>
      <c r="Z207" s="302"/>
      <c r="AA207" s="302"/>
      <c r="AB207" s="302"/>
      <c r="AC207" s="303"/>
    </row>
    <row r="208" ht="13.5" customHeight="1">
      <c r="A208" s="326"/>
      <c r="B208" s="15"/>
      <c r="C208" s="7"/>
      <c r="D208" s="9"/>
      <c r="E208" s="13"/>
      <c r="F208" s="13"/>
      <c r="G208" s="308"/>
      <c r="H208" s="308"/>
      <c r="I208" s="7"/>
      <c r="J208" s="9"/>
      <c r="K208" s="7"/>
      <c r="L208" s="305"/>
      <c r="M208" s="305"/>
      <c r="N208" s="305"/>
      <c r="O208" s="305"/>
      <c r="P208" s="305"/>
      <c r="Q208" s="305"/>
      <c r="R208" s="305"/>
      <c r="S208" s="305"/>
      <c r="T208" s="305"/>
      <c r="U208" s="305"/>
      <c r="V208" s="305"/>
      <c r="W208" s="305"/>
      <c r="X208" s="305"/>
      <c r="Y208" s="305"/>
      <c r="Z208" s="305"/>
      <c r="AA208" s="305"/>
      <c r="AB208" s="305"/>
      <c r="AC208" s="307"/>
    </row>
    <row r="209" ht="13.5" customHeight="1">
      <c r="A209" s="312"/>
      <c r="B209" s="301"/>
      <c r="C209" s="301"/>
      <c r="D209" s="301"/>
      <c r="E209" s="301"/>
      <c r="F209" s="301"/>
      <c r="G209" s="301"/>
      <c r="H209" s="301"/>
      <c r="I209" s="301"/>
      <c r="J209" s="301"/>
      <c r="K209" s="301"/>
      <c r="L209" s="302"/>
      <c r="M209" s="302"/>
      <c r="N209" s="302"/>
      <c r="O209" s="302"/>
      <c r="P209" s="302"/>
      <c r="Q209" s="302"/>
      <c r="R209" s="302"/>
      <c r="S209" s="302"/>
      <c r="T209" s="302"/>
      <c r="U209" s="302"/>
      <c r="V209" s="302"/>
      <c r="W209" s="302"/>
      <c r="X209" s="302"/>
      <c r="Y209" s="302"/>
      <c r="Z209" s="302"/>
      <c r="AA209" s="302"/>
      <c r="AB209" s="302"/>
      <c r="AC209" s="303"/>
    </row>
    <row r="210" ht="13.5" customHeight="1">
      <c r="A210" s="326"/>
      <c r="B210" s="15"/>
      <c r="C210" s="7"/>
      <c r="D210" s="9"/>
      <c r="E210" s="13"/>
      <c r="F210" s="13"/>
      <c r="G210" s="308"/>
      <c r="H210" s="308"/>
      <c r="I210" s="7"/>
      <c r="J210" s="9"/>
      <c r="K210" s="7"/>
      <c r="L210" s="305"/>
      <c r="M210" s="305"/>
      <c r="N210" s="305"/>
      <c r="O210" s="305"/>
      <c r="P210" s="305"/>
      <c r="Q210" s="305"/>
      <c r="R210" s="305"/>
      <c r="S210" s="305"/>
      <c r="T210" s="305"/>
      <c r="U210" s="305"/>
      <c r="V210" s="305"/>
      <c r="W210" s="305"/>
      <c r="X210" s="305"/>
      <c r="Y210" s="305"/>
      <c r="Z210" s="305"/>
      <c r="AA210" s="305"/>
      <c r="AB210" s="305"/>
      <c r="AC210" s="307"/>
    </row>
    <row r="211" ht="13.5" customHeight="1">
      <c r="A211" s="312"/>
      <c r="B211" s="301"/>
      <c r="C211" s="301"/>
      <c r="D211" s="301"/>
      <c r="E211" s="301"/>
      <c r="F211" s="301"/>
      <c r="G211" s="301"/>
      <c r="H211" s="301"/>
      <c r="I211" s="301"/>
      <c r="J211" s="301"/>
      <c r="K211" s="301"/>
      <c r="L211" s="302"/>
      <c r="M211" s="302"/>
      <c r="N211" s="302"/>
      <c r="O211" s="302"/>
      <c r="P211" s="302"/>
      <c r="Q211" s="302"/>
      <c r="R211" s="302"/>
      <c r="S211" s="302"/>
      <c r="T211" s="302"/>
      <c r="U211" s="302"/>
      <c r="V211" s="302"/>
      <c r="W211" s="302"/>
      <c r="X211" s="302"/>
      <c r="Y211" s="302"/>
      <c r="Z211" s="302"/>
      <c r="AA211" s="302"/>
      <c r="AB211" s="302"/>
      <c r="AC211" s="303"/>
    </row>
    <row r="212" ht="13.5" customHeight="1">
      <c r="A212" s="326"/>
      <c r="B212" s="15"/>
      <c r="C212" s="7"/>
      <c r="D212" s="9"/>
      <c r="E212" s="13"/>
      <c r="F212" s="13"/>
      <c r="G212" s="308"/>
      <c r="H212" s="308"/>
      <c r="I212" s="7"/>
      <c r="J212" s="9"/>
      <c r="K212" s="7"/>
      <c r="L212" s="305"/>
      <c r="M212" s="305"/>
      <c r="N212" s="305"/>
      <c r="O212" s="305"/>
      <c r="P212" s="305"/>
      <c r="Q212" s="305"/>
      <c r="R212" s="305"/>
      <c r="S212" s="305"/>
      <c r="T212" s="305"/>
      <c r="U212" s="305"/>
      <c r="V212" s="305"/>
      <c r="W212" s="305"/>
      <c r="X212" s="305"/>
      <c r="Y212" s="305"/>
      <c r="Z212" s="305"/>
      <c r="AA212" s="305"/>
      <c r="AB212" s="305"/>
      <c r="AC212" s="307"/>
    </row>
    <row r="213" ht="13.5" customHeight="1">
      <c r="A213" s="312"/>
      <c r="B213" s="301"/>
      <c r="C213" s="301"/>
      <c r="D213" s="301"/>
      <c r="E213" s="301"/>
      <c r="F213" s="301"/>
      <c r="G213" s="301"/>
      <c r="H213" s="301"/>
      <c r="I213" s="301"/>
      <c r="J213" s="301"/>
      <c r="K213" s="301"/>
      <c r="L213" s="302"/>
      <c r="M213" s="302"/>
      <c r="N213" s="302"/>
      <c r="O213" s="302"/>
      <c r="P213" s="302"/>
      <c r="Q213" s="302"/>
      <c r="R213" s="302"/>
      <c r="S213" s="302"/>
      <c r="T213" s="302"/>
      <c r="U213" s="302"/>
      <c r="V213" s="302"/>
      <c r="W213" s="302"/>
      <c r="X213" s="302"/>
      <c r="Y213" s="302"/>
      <c r="Z213" s="302"/>
      <c r="AA213" s="302"/>
      <c r="AB213" s="302"/>
      <c r="AC213" s="303"/>
    </row>
    <row r="214" ht="13.5" customHeight="1">
      <c r="A214" s="326"/>
      <c r="B214" s="15"/>
      <c r="C214" s="7"/>
      <c r="D214" s="9"/>
      <c r="E214" s="13"/>
      <c r="F214" s="13"/>
      <c r="G214" s="308"/>
      <c r="H214" s="308"/>
      <c r="I214" s="7"/>
      <c r="J214" s="9"/>
      <c r="K214" s="7"/>
      <c r="L214" s="305"/>
      <c r="M214" s="305"/>
      <c r="N214" s="305"/>
      <c r="O214" s="305"/>
      <c r="P214" s="305"/>
      <c r="Q214" s="305"/>
      <c r="R214" s="305"/>
      <c r="S214" s="305"/>
      <c r="T214" s="305"/>
      <c r="U214" s="305"/>
      <c r="V214" s="305"/>
      <c r="W214" s="305"/>
      <c r="X214" s="305"/>
      <c r="Y214" s="305"/>
      <c r="Z214" s="305"/>
      <c r="AA214" s="305"/>
      <c r="AB214" s="305"/>
      <c r="AC214" s="307"/>
    </row>
    <row r="215" ht="13.5" customHeight="1">
      <c r="A215" s="312"/>
      <c r="B215" s="301"/>
      <c r="C215" s="301"/>
      <c r="D215" s="301"/>
      <c r="E215" s="301"/>
      <c r="F215" s="301"/>
      <c r="G215" s="301"/>
      <c r="H215" s="301"/>
      <c r="I215" s="301"/>
      <c r="J215" s="301"/>
      <c r="K215" s="301"/>
      <c r="L215" s="302"/>
      <c r="M215" s="302"/>
      <c r="N215" s="302"/>
      <c r="O215" s="302"/>
      <c r="P215" s="302"/>
      <c r="Q215" s="302"/>
      <c r="R215" s="302"/>
      <c r="S215" s="302"/>
      <c r="T215" s="302"/>
      <c r="U215" s="302"/>
      <c r="V215" s="302"/>
      <c r="W215" s="302"/>
      <c r="X215" s="302"/>
      <c r="Y215" s="302"/>
      <c r="Z215" s="302"/>
      <c r="AA215" s="302"/>
      <c r="AB215" s="302"/>
      <c r="AC215" s="303"/>
    </row>
    <row r="216" ht="13.5" customHeight="1">
      <c r="A216" s="326"/>
      <c r="B216" s="15"/>
      <c r="C216" s="7"/>
      <c r="D216" s="9"/>
      <c r="E216" s="13"/>
      <c r="F216" s="13"/>
      <c r="G216" s="308"/>
      <c r="H216" s="308"/>
      <c r="I216" s="7"/>
      <c r="J216" s="9"/>
      <c r="K216" s="7"/>
      <c r="L216" s="305"/>
      <c r="M216" s="305"/>
      <c r="N216" s="305"/>
      <c r="O216" s="305"/>
      <c r="P216" s="305"/>
      <c r="Q216" s="305"/>
      <c r="R216" s="305"/>
      <c r="S216" s="305"/>
      <c r="T216" s="305"/>
      <c r="U216" s="305"/>
      <c r="V216" s="305"/>
      <c r="W216" s="305"/>
      <c r="X216" s="305"/>
      <c r="Y216" s="305"/>
      <c r="Z216" s="305"/>
      <c r="AA216" s="305"/>
      <c r="AB216" s="305"/>
      <c r="AC216" s="307"/>
    </row>
    <row r="217" ht="13.5" customHeight="1">
      <c r="A217" s="312"/>
      <c r="B217" s="301"/>
      <c r="C217" s="301"/>
      <c r="D217" s="301"/>
      <c r="E217" s="301"/>
      <c r="F217" s="301"/>
      <c r="G217" s="301"/>
      <c r="H217" s="301"/>
      <c r="I217" s="301"/>
      <c r="J217" s="301"/>
      <c r="K217" s="301"/>
      <c r="L217" s="302"/>
      <c r="M217" s="302"/>
      <c r="N217" s="302"/>
      <c r="O217" s="302"/>
      <c r="P217" s="302"/>
      <c r="Q217" s="302"/>
      <c r="R217" s="302"/>
      <c r="S217" s="302"/>
      <c r="T217" s="302"/>
      <c r="U217" s="302"/>
      <c r="V217" s="302"/>
      <c r="W217" s="302"/>
      <c r="X217" s="302"/>
      <c r="Y217" s="302"/>
      <c r="Z217" s="302"/>
      <c r="AA217" s="302"/>
      <c r="AB217" s="302"/>
      <c r="AC217" s="303"/>
    </row>
    <row r="218" ht="13.5" customHeight="1">
      <c r="A218" s="326"/>
      <c r="B218" s="15"/>
      <c r="C218" s="7"/>
      <c r="D218" s="9"/>
      <c r="E218" s="13"/>
      <c r="F218" s="13"/>
      <c r="G218" s="308"/>
      <c r="H218" s="308"/>
      <c r="I218" s="7"/>
      <c r="J218" s="9"/>
      <c r="K218" s="7"/>
      <c r="L218" s="305"/>
      <c r="M218" s="305"/>
      <c r="N218" s="305"/>
      <c r="O218" s="305"/>
      <c r="P218" s="305"/>
      <c r="Q218" s="305"/>
      <c r="R218" s="305"/>
      <c r="S218" s="305"/>
      <c r="T218" s="305"/>
      <c r="U218" s="305"/>
      <c r="V218" s="305"/>
      <c r="W218" s="305"/>
      <c r="X218" s="305"/>
      <c r="Y218" s="305"/>
      <c r="Z218" s="305"/>
      <c r="AA218" s="305"/>
      <c r="AB218" s="305"/>
      <c r="AC218" s="307"/>
    </row>
    <row r="219" ht="13.5" customHeight="1">
      <c r="A219" s="312"/>
      <c r="B219" s="301"/>
      <c r="C219" s="301"/>
      <c r="D219" s="301"/>
      <c r="E219" s="301"/>
      <c r="F219" s="301"/>
      <c r="G219" s="301"/>
      <c r="H219" s="301"/>
      <c r="I219" s="301"/>
      <c r="J219" s="301"/>
      <c r="K219" s="301"/>
      <c r="L219" s="302"/>
      <c r="M219" s="302"/>
      <c r="N219" s="302"/>
      <c r="O219" s="302"/>
      <c r="P219" s="302"/>
      <c r="Q219" s="302"/>
      <c r="R219" s="302"/>
      <c r="S219" s="302"/>
      <c r="T219" s="302"/>
      <c r="U219" s="302"/>
      <c r="V219" s="302"/>
      <c r="W219" s="302"/>
      <c r="X219" s="302"/>
      <c r="Y219" s="302"/>
      <c r="Z219" s="302"/>
      <c r="AA219" s="302"/>
      <c r="AB219" s="302"/>
      <c r="AC219" s="303"/>
    </row>
    <row r="220" ht="13.5" customHeight="1">
      <c r="A220" s="326"/>
      <c r="B220" s="15"/>
      <c r="C220" s="7"/>
      <c r="D220" s="9"/>
      <c r="E220" s="13"/>
      <c r="F220" s="13"/>
      <c r="G220" s="308"/>
      <c r="H220" s="308"/>
      <c r="I220" s="7"/>
      <c r="J220" s="9"/>
      <c r="K220" s="7"/>
      <c r="L220" s="305"/>
      <c r="M220" s="305"/>
      <c r="N220" s="305"/>
      <c r="O220" s="305"/>
      <c r="P220" s="305"/>
      <c r="Q220" s="305"/>
      <c r="R220" s="305"/>
      <c r="S220" s="305"/>
      <c r="T220" s="305"/>
      <c r="U220" s="305"/>
      <c r="V220" s="305"/>
      <c r="W220" s="305"/>
      <c r="X220" s="305"/>
      <c r="Y220" s="305"/>
      <c r="Z220" s="305"/>
      <c r="AA220" s="305"/>
      <c r="AB220" s="305"/>
      <c r="AC220" s="307"/>
    </row>
    <row r="221" ht="13.5" customHeight="1">
      <c r="A221" s="312"/>
      <c r="B221" s="301"/>
      <c r="C221" s="301"/>
      <c r="D221" s="301"/>
      <c r="E221" s="301"/>
      <c r="F221" s="301"/>
      <c r="G221" s="301"/>
      <c r="H221" s="301"/>
      <c r="I221" s="301"/>
      <c r="J221" s="301"/>
      <c r="K221" s="301"/>
      <c r="L221" s="302"/>
      <c r="M221" s="302"/>
      <c r="N221" s="302"/>
      <c r="O221" s="302"/>
      <c r="P221" s="302"/>
      <c r="Q221" s="302"/>
      <c r="R221" s="302"/>
      <c r="S221" s="302"/>
      <c r="T221" s="302"/>
      <c r="U221" s="302"/>
      <c r="V221" s="302"/>
      <c r="W221" s="302"/>
      <c r="X221" s="302"/>
      <c r="Y221" s="302"/>
      <c r="Z221" s="302"/>
      <c r="AA221" s="302"/>
      <c r="AB221" s="302"/>
      <c r="AC221" s="303"/>
    </row>
    <row r="222" ht="13.5" customHeight="1">
      <c r="A222" s="326"/>
      <c r="B222" s="15"/>
      <c r="C222" s="7"/>
      <c r="D222" s="9"/>
      <c r="E222" s="13"/>
      <c r="F222" s="13"/>
      <c r="G222" s="308"/>
      <c r="H222" s="308"/>
      <c r="I222" s="7"/>
      <c r="J222" s="9"/>
      <c r="K222" s="7"/>
      <c r="L222" s="305"/>
      <c r="M222" s="305"/>
      <c r="N222" s="305"/>
      <c r="O222" s="305"/>
      <c r="P222" s="305"/>
      <c r="Q222" s="305"/>
      <c r="R222" s="305"/>
      <c r="S222" s="305"/>
      <c r="T222" s="305"/>
      <c r="U222" s="305"/>
      <c r="V222" s="305"/>
      <c r="W222" s="305"/>
      <c r="X222" s="305"/>
      <c r="Y222" s="305"/>
      <c r="Z222" s="305"/>
      <c r="AA222" s="305"/>
      <c r="AB222" s="305"/>
      <c r="AC222" s="307"/>
    </row>
    <row r="223" ht="13.5" customHeight="1">
      <c r="A223" s="312"/>
      <c r="B223" s="301"/>
      <c r="C223" s="301"/>
      <c r="D223" s="301"/>
      <c r="E223" s="301"/>
      <c r="F223" s="301"/>
      <c r="G223" s="301"/>
      <c r="H223" s="301"/>
      <c r="I223" s="301"/>
      <c r="J223" s="301"/>
      <c r="K223" s="301"/>
      <c r="L223" s="302"/>
      <c r="M223" s="302"/>
      <c r="N223" s="302"/>
      <c r="O223" s="302"/>
      <c r="P223" s="302"/>
      <c r="Q223" s="302"/>
      <c r="R223" s="302"/>
      <c r="S223" s="302"/>
      <c r="T223" s="302"/>
      <c r="U223" s="302"/>
      <c r="V223" s="302"/>
      <c r="W223" s="302"/>
      <c r="X223" s="302"/>
      <c r="Y223" s="302"/>
      <c r="Z223" s="302"/>
      <c r="AA223" s="302"/>
      <c r="AB223" s="302"/>
      <c r="AC223" s="303"/>
    </row>
    <row r="224" ht="13.5" customHeight="1">
      <c r="A224" s="326"/>
      <c r="B224" s="15"/>
      <c r="C224" s="7"/>
      <c r="D224" s="9"/>
      <c r="E224" s="13"/>
      <c r="F224" s="13"/>
      <c r="G224" s="308"/>
      <c r="H224" s="308"/>
      <c r="I224" s="7"/>
      <c r="J224" s="9"/>
      <c r="K224" s="7"/>
      <c r="L224" s="305"/>
      <c r="M224" s="305"/>
      <c r="N224" s="305"/>
      <c r="O224" s="305"/>
      <c r="P224" s="305"/>
      <c r="Q224" s="305"/>
      <c r="R224" s="305"/>
      <c r="S224" s="305"/>
      <c r="T224" s="305"/>
      <c r="U224" s="305"/>
      <c r="V224" s="305"/>
      <c r="W224" s="305"/>
      <c r="X224" s="305"/>
      <c r="Y224" s="305"/>
      <c r="Z224" s="305"/>
      <c r="AA224" s="305"/>
      <c r="AB224" s="305"/>
      <c r="AC224" s="307"/>
    </row>
    <row r="225" ht="13.5" customHeight="1">
      <c r="A225" s="312"/>
      <c r="B225" s="301"/>
      <c r="C225" s="301"/>
      <c r="D225" s="301"/>
      <c r="E225" s="301"/>
      <c r="F225" s="301"/>
      <c r="G225" s="301"/>
      <c r="H225" s="301"/>
      <c r="I225" s="301"/>
      <c r="J225" s="301"/>
      <c r="K225" s="301"/>
      <c r="L225" s="302"/>
      <c r="M225" s="302"/>
      <c r="N225" s="302"/>
      <c r="O225" s="302"/>
      <c r="P225" s="302"/>
      <c r="Q225" s="302"/>
      <c r="R225" s="302"/>
      <c r="S225" s="302"/>
      <c r="T225" s="302"/>
      <c r="U225" s="302"/>
      <c r="V225" s="302"/>
      <c r="W225" s="302"/>
      <c r="X225" s="302"/>
      <c r="Y225" s="302"/>
      <c r="Z225" s="302"/>
      <c r="AA225" s="302"/>
      <c r="AB225" s="302"/>
      <c r="AC225" s="303"/>
    </row>
    <row r="226" ht="13.5" customHeight="1">
      <c r="A226" s="326"/>
      <c r="B226" s="15"/>
      <c r="C226" s="7"/>
      <c r="D226" s="9"/>
      <c r="E226" s="13"/>
      <c r="F226" s="13"/>
      <c r="G226" s="308"/>
      <c r="H226" s="308"/>
      <c r="I226" s="7"/>
      <c r="J226" s="9"/>
      <c r="K226" s="7"/>
      <c r="L226" s="305"/>
      <c r="M226" s="305"/>
      <c r="N226" s="305"/>
      <c r="O226" s="305"/>
      <c r="P226" s="305"/>
      <c r="Q226" s="305"/>
      <c r="R226" s="305"/>
      <c r="S226" s="305"/>
      <c r="T226" s="305"/>
      <c r="U226" s="305"/>
      <c r="V226" s="305"/>
      <c r="W226" s="305"/>
      <c r="X226" s="305"/>
      <c r="Y226" s="305"/>
      <c r="Z226" s="305"/>
      <c r="AA226" s="305"/>
      <c r="AB226" s="305"/>
      <c r="AC226" s="307"/>
    </row>
    <row r="227" ht="13.5" customHeight="1">
      <c r="A227" s="312"/>
      <c r="B227" s="301"/>
      <c r="C227" s="301"/>
      <c r="D227" s="301"/>
      <c r="E227" s="301"/>
      <c r="F227" s="301"/>
      <c r="G227" s="301"/>
      <c r="H227" s="301"/>
      <c r="I227" s="301"/>
      <c r="J227" s="301"/>
      <c r="K227" s="301"/>
      <c r="L227" s="302"/>
      <c r="M227" s="302"/>
      <c r="N227" s="302"/>
      <c r="O227" s="302"/>
      <c r="P227" s="302"/>
      <c r="Q227" s="302"/>
      <c r="R227" s="302"/>
      <c r="S227" s="302"/>
      <c r="T227" s="302"/>
      <c r="U227" s="302"/>
      <c r="V227" s="302"/>
      <c r="W227" s="302"/>
      <c r="X227" s="302"/>
      <c r="Y227" s="302"/>
      <c r="Z227" s="302"/>
      <c r="AA227" s="302"/>
      <c r="AB227" s="302"/>
      <c r="AC227" s="303"/>
    </row>
    <row r="228" ht="13.5" customHeight="1">
      <c r="A228" s="326"/>
      <c r="B228" s="15"/>
      <c r="C228" s="7"/>
      <c r="D228" s="9"/>
      <c r="E228" s="13"/>
      <c r="F228" s="13"/>
      <c r="G228" s="308"/>
      <c r="H228" s="308"/>
      <c r="I228" s="7"/>
      <c r="J228" s="9"/>
      <c r="K228" s="7"/>
      <c r="L228" s="305"/>
      <c r="M228" s="305"/>
      <c r="N228" s="305"/>
      <c r="O228" s="305"/>
      <c r="P228" s="305"/>
      <c r="Q228" s="305"/>
      <c r="R228" s="305"/>
      <c r="S228" s="305"/>
      <c r="T228" s="305"/>
      <c r="U228" s="305"/>
      <c r="V228" s="305"/>
      <c r="W228" s="305"/>
      <c r="X228" s="305"/>
      <c r="Y228" s="305"/>
      <c r="Z228" s="305"/>
      <c r="AA228" s="305"/>
      <c r="AB228" s="305"/>
      <c r="AC228" s="307"/>
    </row>
    <row r="229" ht="13.5" customHeight="1">
      <c r="A229" s="312"/>
      <c r="B229" s="301"/>
      <c r="C229" s="301"/>
      <c r="D229" s="301"/>
      <c r="E229" s="301"/>
      <c r="F229" s="301"/>
      <c r="G229" s="301"/>
      <c r="H229" s="301"/>
      <c r="I229" s="301"/>
      <c r="J229" s="301"/>
      <c r="K229" s="301"/>
      <c r="L229" s="302"/>
      <c r="M229" s="302"/>
      <c r="N229" s="302"/>
      <c r="O229" s="302"/>
      <c r="P229" s="302"/>
      <c r="Q229" s="302"/>
      <c r="R229" s="302"/>
      <c r="S229" s="302"/>
      <c r="T229" s="302"/>
      <c r="U229" s="302"/>
      <c r="V229" s="302"/>
      <c r="W229" s="302"/>
      <c r="X229" s="302"/>
      <c r="Y229" s="302"/>
      <c r="Z229" s="302"/>
      <c r="AA229" s="302"/>
      <c r="AB229" s="302"/>
      <c r="AC229" s="303"/>
    </row>
    <row r="230" ht="13.5" customHeight="1">
      <c r="A230" s="326"/>
      <c r="B230" s="15"/>
      <c r="C230" s="7"/>
      <c r="D230" s="9"/>
      <c r="E230" s="13"/>
      <c r="F230" s="13"/>
      <c r="G230" s="308"/>
      <c r="H230" s="308"/>
      <c r="I230" s="7"/>
      <c r="J230" s="9"/>
      <c r="K230" s="7"/>
      <c r="L230" s="305"/>
      <c r="M230" s="305"/>
      <c r="N230" s="305"/>
      <c r="O230" s="305"/>
      <c r="P230" s="305"/>
      <c r="Q230" s="305"/>
      <c r="R230" s="305"/>
      <c r="S230" s="305"/>
      <c r="T230" s="305"/>
      <c r="U230" s="305"/>
      <c r="V230" s="305"/>
      <c r="W230" s="305"/>
      <c r="X230" s="305"/>
      <c r="Y230" s="305"/>
      <c r="Z230" s="305"/>
      <c r="AA230" s="305"/>
      <c r="AB230" s="305"/>
      <c r="AC230" s="307"/>
    </row>
    <row r="231" ht="13.5" customHeight="1">
      <c r="A231" s="312"/>
      <c r="B231" s="301"/>
      <c r="C231" s="301"/>
      <c r="D231" s="301"/>
      <c r="E231" s="301"/>
      <c r="F231" s="301"/>
      <c r="G231" s="301"/>
      <c r="H231" s="301"/>
      <c r="I231" s="301"/>
      <c r="J231" s="301"/>
      <c r="K231" s="301"/>
      <c r="L231" s="302"/>
      <c r="M231" s="302"/>
      <c r="N231" s="302"/>
      <c r="O231" s="302"/>
      <c r="P231" s="302"/>
      <c r="Q231" s="302"/>
      <c r="R231" s="302"/>
      <c r="S231" s="302"/>
      <c r="T231" s="302"/>
      <c r="U231" s="302"/>
      <c r="V231" s="302"/>
      <c r="W231" s="302"/>
      <c r="X231" s="302"/>
      <c r="Y231" s="302"/>
      <c r="Z231" s="302"/>
      <c r="AA231" s="302"/>
      <c r="AB231" s="302"/>
      <c r="AC231" s="303"/>
    </row>
    <row r="232" ht="13.5" customHeight="1">
      <c r="A232" s="326"/>
      <c r="B232" s="15"/>
      <c r="C232" s="7"/>
      <c r="D232" s="9"/>
      <c r="E232" s="13"/>
      <c r="F232" s="13"/>
      <c r="G232" s="308"/>
      <c r="H232" s="308"/>
      <c r="I232" s="7"/>
      <c r="J232" s="9"/>
      <c r="K232" s="7"/>
      <c r="L232" s="305"/>
      <c r="M232" s="305"/>
      <c r="N232" s="305"/>
      <c r="O232" s="305"/>
      <c r="P232" s="305"/>
      <c r="Q232" s="305"/>
      <c r="R232" s="305"/>
      <c r="S232" s="305"/>
      <c r="T232" s="305"/>
      <c r="U232" s="305"/>
      <c r="V232" s="305"/>
      <c r="W232" s="305"/>
      <c r="X232" s="305"/>
      <c r="Y232" s="305"/>
      <c r="Z232" s="305"/>
      <c r="AA232" s="305"/>
      <c r="AB232" s="305"/>
      <c r="AC232" s="307"/>
    </row>
    <row r="233" ht="13.5" customHeight="1">
      <c r="A233" s="312"/>
      <c r="B233" s="301"/>
      <c r="C233" s="301"/>
      <c r="D233" s="301"/>
      <c r="E233" s="301"/>
      <c r="F233" s="301"/>
      <c r="G233" s="301"/>
      <c r="H233" s="301"/>
      <c r="I233" s="301"/>
      <c r="J233" s="301"/>
      <c r="K233" s="301"/>
      <c r="L233" s="302"/>
      <c r="M233" s="302"/>
      <c r="N233" s="302"/>
      <c r="O233" s="302"/>
      <c r="P233" s="302"/>
      <c r="Q233" s="302"/>
      <c r="R233" s="302"/>
      <c r="S233" s="302"/>
      <c r="T233" s="302"/>
      <c r="U233" s="302"/>
      <c r="V233" s="302"/>
      <c r="W233" s="302"/>
      <c r="X233" s="302"/>
      <c r="Y233" s="302"/>
      <c r="Z233" s="302"/>
      <c r="AA233" s="302"/>
      <c r="AB233" s="302"/>
      <c r="AC233" s="303"/>
    </row>
    <row r="234" ht="13.5" customHeight="1">
      <c r="A234" s="326"/>
      <c r="B234" s="15"/>
      <c r="C234" s="7"/>
      <c r="D234" s="9"/>
      <c r="E234" s="13"/>
      <c r="F234" s="13"/>
      <c r="G234" s="308"/>
      <c r="H234" s="308"/>
      <c r="I234" s="7"/>
      <c r="J234" s="9"/>
      <c r="K234" s="7"/>
      <c r="L234" s="305"/>
      <c r="M234" s="305"/>
      <c r="N234" s="305"/>
      <c r="O234" s="305"/>
      <c r="P234" s="305"/>
      <c r="Q234" s="305"/>
      <c r="R234" s="305"/>
      <c r="S234" s="305"/>
      <c r="T234" s="305"/>
      <c r="U234" s="305"/>
      <c r="V234" s="305"/>
      <c r="W234" s="305"/>
      <c r="X234" s="305"/>
      <c r="Y234" s="305"/>
      <c r="Z234" s="305"/>
      <c r="AA234" s="305"/>
      <c r="AB234" s="305"/>
      <c r="AC234" s="307"/>
    </row>
    <row r="235" ht="13.5" customHeight="1">
      <c r="A235" s="312"/>
      <c r="B235" s="301"/>
      <c r="C235" s="301"/>
      <c r="D235" s="301"/>
      <c r="E235" s="301"/>
      <c r="F235" s="301"/>
      <c r="G235" s="301"/>
      <c r="H235" s="301"/>
      <c r="I235" s="301"/>
      <c r="J235" s="301"/>
      <c r="K235" s="301"/>
      <c r="L235" s="302"/>
      <c r="M235" s="302"/>
      <c r="N235" s="302"/>
      <c r="O235" s="302"/>
      <c r="P235" s="302"/>
      <c r="Q235" s="302"/>
      <c r="R235" s="302"/>
      <c r="S235" s="302"/>
      <c r="T235" s="302"/>
      <c r="U235" s="302"/>
      <c r="V235" s="302"/>
      <c r="W235" s="302"/>
      <c r="X235" s="302"/>
      <c r="Y235" s="302"/>
      <c r="Z235" s="302"/>
      <c r="AA235" s="302"/>
      <c r="AB235" s="302"/>
      <c r="AC235" s="303"/>
    </row>
    <row r="236" ht="13.5" customHeight="1">
      <c r="A236" s="326"/>
      <c r="B236" s="15"/>
      <c r="C236" s="7"/>
      <c r="D236" s="9"/>
      <c r="E236" s="13"/>
      <c r="F236" s="13"/>
      <c r="G236" s="308"/>
      <c r="H236" s="308"/>
      <c r="I236" s="7"/>
      <c r="J236" s="9"/>
      <c r="K236" s="7"/>
      <c r="L236" s="305"/>
      <c r="M236" s="305"/>
      <c r="N236" s="305"/>
      <c r="O236" s="305"/>
      <c r="P236" s="305"/>
      <c r="Q236" s="305"/>
      <c r="R236" s="305"/>
      <c r="S236" s="305"/>
      <c r="T236" s="305"/>
      <c r="U236" s="305"/>
      <c r="V236" s="305"/>
      <c r="W236" s="305"/>
      <c r="X236" s="305"/>
      <c r="Y236" s="305"/>
      <c r="Z236" s="305"/>
      <c r="AA236" s="305"/>
      <c r="AB236" s="305"/>
      <c r="AC236" s="307"/>
    </row>
    <row r="237" ht="13.5" customHeight="1">
      <c r="A237" s="312"/>
      <c r="B237" s="301"/>
      <c r="C237" s="301"/>
      <c r="D237" s="301"/>
      <c r="E237" s="301"/>
      <c r="F237" s="301"/>
      <c r="G237" s="301"/>
      <c r="H237" s="301"/>
      <c r="I237" s="301"/>
      <c r="J237" s="301"/>
      <c r="K237" s="301"/>
      <c r="L237" s="302"/>
      <c r="M237" s="302"/>
      <c r="N237" s="302"/>
      <c r="O237" s="302"/>
      <c r="P237" s="302"/>
      <c r="Q237" s="302"/>
      <c r="R237" s="302"/>
      <c r="S237" s="302"/>
      <c r="T237" s="302"/>
      <c r="U237" s="302"/>
      <c r="V237" s="302"/>
      <c r="W237" s="302"/>
      <c r="X237" s="302"/>
      <c r="Y237" s="302"/>
      <c r="Z237" s="302"/>
      <c r="AA237" s="302"/>
      <c r="AB237" s="302"/>
      <c r="AC237" s="303"/>
    </row>
    <row r="238" ht="13.5" customHeight="1">
      <c r="A238" s="326"/>
      <c r="B238" s="15"/>
      <c r="C238" s="7"/>
      <c r="D238" s="9"/>
      <c r="E238" s="13"/>
      <c r="F238" s="13"/>
      <c r="G238" s="308"/>
      <c r="H238" s="308"/>
      <c r="I238" s="7"/>
      <c r="J238" s="9"/>
      <c r="K238" s="7"/>
      <c r="L238" s="305"/>
      <c r="M238" s="305"/>
      <c r="N238" s="305"/>
      <c r="O238" s="305"/>
      <c r="P238" s="305"/>
      <c r="Q238" s="305"/>
      <c r="R238" s="305"/>
      <c r="S238" s="305"/>
      <c r="T238" s="305"/>
      <c r="U238" s="305"/>
      <c r="V238" s="305"/>
      <c r="W238" s="305"/>
      <c r="X238" s="305"/>
      <c r="Y238" s="305"/>
      <c r="Z238" s="305"/>
      <c r="AA238" s="305"/>
      <c r="AB238" s="305"/>
      <c r="AC238" s="307"/>
    </row>
    <row r="239" ht="13.5" customHeight="1">
      <c r="A239" s="312"/>
      <c r="B239" s="301"/>
      <c r="C239" s="301"/>
      <c r="D239" s="301"/>
      <c r="E239" s="301"/>
      <c r="F239" s="301"/>
      <c r="G239" s="301"/>
      <c r="H239" s="301"/>
      <c r="I239" s="301"/>
      <c r="J239" s="301"/>
      <c r="K239" s="301"/>
      <c r="L239" s="302"/>
      <c r="M239" s="302"/>
      <c r="N239" s="302"/>
      <c r="O239" s="302"/>
      <c r="P239" s="302"/>
      <c r="Q239" s="302"/>
      <c r="R239" s="302"/>
      <c r="S239" s="302"/>
      <c r="T239" s="302"/>
      <c r="U239" s="302"/>
      <c r="V239" s="302"/>
      <c r="W239" s="302"/>
      <c r="X239" s="302"/>
      <c r="Y239" s="302"/>
      <c r="Z239" s="302"/>
      <c r="AA239" s="302"/>
      <c r="AB239" s="302"/>
      <c r="AC239" s="303"/>
    </row>
    <row r="240" ht="13.5" customHeight="1">
      <c r="A240" s="326"/>
      <c r="B240" s="15"/>
      <c r="C240" s="7"/>
      <c r="D240" s="9"/>
      <c r="E240" s="13"/>
      <c r="F240" s="13"/>
      <c r="G240" s="308"/>
      <c r="H240" s="308"/>
      <c r="I240" s="7"/>
      <c r="J240" s="9"/>
      <c r="K240" s="7"/>
      <c r="L240" s="305"/>
      <c r="M240" s="305"/>
      <c r="N240" s="305"/>
      <c r="O240" s="305"/>
      <c r="P240" s="305"/>
      <c r="Q240" s="305"/>
      <c r="R240" s="305"/>
      <c r="S240" s="305"/>
      <c r="T240" s="305"/>
      <c r="U240" s="305"/>
      <c r="V240" s="305"/>
      <c r="W240" s="305"/>
      <c r="X240" s="305"/>
      <c r="Y240" s="305"/>
      <c r="Z240" s="305"/>
      <c r="AA240" s="305"/>
      <c r="AB240" s="305"/>
      <c r="AC240" s="307"/>
    </row>
    <row r="241" ht="13.5" customHeight="1">
      <c r="A241" s="312"/>
      <c r="B241" s="301"/>
      <c r="C241" s="301"/>
      <c r="D241" s="301"/>
      <c r="E241" s="301"/>
      <c r="F241" s="301"/>
      <c r="G241" s="301"/>
      <c r="H241" s="301"/>
      <c r="I241" s="301"/>
      <c r="J241" s="301"/>
      <c r="K241" s="301"/>
      <c r="L241" s="302"/>
      <c r="M241" s="302"/>
      <c r="N241" s="302"/>
      <c r="O241" s="302"/>
      <c r="P241" s="302"/>
      <c r="Q241" s="302"/>
      <c r="R241" s="302"/>
      <c r="S241" s="302"/>
      <c r="T241" s="302"/>
      <c r="U241" s="302"/>
      <c r="V241" s="302"/>
      <c r="W241" s="302"/>
      <c r="X241" s="302"/>
      <c r="Y241" s="302"/>
      <c r="Z241" s="302"/>
      <c r="AA241" s="302"/>
      <c r="AB241" s="302"/>
      <c r="AC241" s="303"/>
    </row>
    <row r="242" ht="13.5" customHeight="1">
      <c r="A242" s="326"/>
      <c r="B242" s="15"/>
      <c r="C242" s="7"/>
      <c r="D242" s="9"/>
      <c r="E242" s="13"/>
      <c r="F242" s="13"/>
      <c r="G242" s="308"/>
      <c r="H242" s="308"/>
      <c r="I242" s="7"/>
      <c r="J242" s="9"/>
      <c r="K242" s="7"/>
      <c r="L242" s="305"/>
      <c r="M242" s="305"/>
      <c r="N242" s="305"/>
      <c r="O242" s="305"/>
      <c r="P242" s="305"/>
      <c r="Q242" s="305"/>
      <c r="R242" s="305"/>
      <c r="S242" s="305"/>
      <c r="T242" s="305"/>
      <c r="U242" s="305"/>
      <c r="V242" s="305"/>
      <c r="W242" s="305"/>
      <c r="X242" s="305"/>
      <c r="Y242" s="305"/>
      <c r="Z242" s="305"/>
      <c r="AA242" s="305"/>
      <c r="AB242" s="305"/>
      <c r="AC242" s="307"/>
    </row>
    <row r="243" ht="13.5" customHeight="1">
      <c r="A243" s="312"/>
      <c r="B243" s="301"/>
      <c r="C243" s="301"/>
      <c r="D243" s="301"/>
      <c r="E243" s="301"/>
      <c r="F243" s="301"/>
      <c r="G243" s="301"/>
      <c r="H243" s="301"/>
      <c r="I243" s="301"/>
      <c r="J243" s="301"/>
      <c r="K243" s="301"/>
      <c r="L243" s="302"/>
      <c r="M243" s="302"/>
      <c r="N243" s="302"/>
      <c r="O243" s="302"/>
      <c r="P243" s="302"/>
      <c r="Q243" s="302"/>
      <c r="R243" s="302"/>
      <c r="S243" s="302"/>
      <c r="T243" s="302"/>
      <c r="U243" s="302"/>
      <c r="V243" s="302"/>
      <c r="W243" s="302"/>
      <c r="X243" s="302"/>
      <c r="Y243" s="302"/>
      <c r="Z243" s="302"/>
      <c r="AA243" s="302"/>
      <c r="AB243" s="302"/>
      <c r="AC243" s="303"/>
    </row>
    <row r="244" ht="13.5" customHeight="1">
      <c r="A244" s="326"/>
      <c r="B244" s="15"/>
      <c r="C244" s="7"/>
      <c r="D244" s="9"/>
      <c r="E244" s="13"/>
      <c r="F244" s="13"/>
      <c r="G244" s="308"/>
      <c r="H244" s="308"/>
      <c r="I244" s="7"/>
      <c r="J244" s="9"/>
      <c r="K244" s="7"/>
      <c r="L244" s="305"/>
      <c r="M244" s="305"/>
      <c r="N244" s="305"/>
      <c r="O244" s="305"/>
      <c r="P244" s="305"/>
      <c r="Q244" s="305"/>
      <c r="R244" s="305"/>
      <c r="S244" s="305"/>
      <c r="T244" s="305"/>
      <c r="U244" s="305"/>
      <c r="V244" s="305"/>
      <c r="W244" s="305"/>
      <c r="X244" s="305"/>
      <c r="Y244" s="305"/>
      <c r="Z244" s="305"/>
      <c r="AA244" s="305"/>
      <c r="AB244" s="305"/>
      <c r="AC244" s="307"/>
    </row>
    <row r="245" ht="13.5" customHeight="1">
      <c r="A245" s="312"/>
      <c r="B245" s="301"/>
      <c r="C245" s="301"/>
      <c r="D245" s="301"/>
      <c r="E245" s="301"/>
      <c r="F245" s="301"/>
      <c r="G245" s="301"/>
      <c r="H245" s="301"/>
      <c r="I245" s="301"/>
      <c r="J245" s="301"/>
      <c r="K245" s="301"/>
      <c r="L245" s="302"/>
      <c r="M245" s="302"/>
      <c r="N245" s="302"/>
      <c r="O245" s="302"/>
      <c r="P245" s="302"/>
      <c r="Q245" s="302"/>
      <c r="R245" s="302"/>
      <c r="S245" s="302"/>
      <c r="T245" s="302"/>
      <c r="U245" s="302"/>
      <c r="V245" s="302"/>
      <c r="W245" s="302"/>
      <c r="X245" s="302"/>
      <c r="Y245" s="302"/>
      <c r="Z245" s="302"/>
      <c r="AA245" s="302"/>
      <c r="AB245" s="302"/>
      <c r="AC245" s="303"/>
    </row>
    <row r="246" ht="13.5" customHeight="1">
      <c r="A246" s="326"/>
      <c r="B246" s="15"/>
      <c r="C246" s="7"/>
      <c r="D246" s="9"/>
      <c r="E246" s="13"/>
      <c r="F246" s="13"/>
      <c r="G246" s="308"/>
      <c r="H246" s="308"/>
      <c r="I246" s="7"/>
      <c r="J246" s="9"/>
      <c r="K246" s="7"/>
      <c r="L246" s="305"/>
      <c r="M246" s="305"/>
      <c r="N246" s="305"/>
      <c r="O246" s="305"/>
      <c r="P246" s="305"/>
      <c r="Q246" s="305"/>
      <c r="R246" s="305"/>
      <c r="S246" s="305"/>
      <c r="T246" s="305"/>
      <c r="U246" s="305"/>
      <c r="V246" s="305"/>
      <c r="W246" s="305"/>
      <c r="X246" s="305"/>
      <c r="Y246" s="305"/>
      <c r="Z246" s="305"/>
      <c r="AA246" s="305"/>
      <c r="AB246" s="305"/>
      <c r="AC246" s="307"/>
    </row>
    <row r="247" ht="13.5" customHeight="1">
      <c r="A247" s="312"/>
      <c r="B247" s="301"/>
      <c r="C247" s="301"/>
      <c r="D247" s="301"/>
      <c r="E247" s="301"/>
      <c r="F247" s="301"/>
      <c r="G247" s="301"/>
      <c r="H247" s="301"/>
      <c r="I247" s="301"/>
      <c r="J247" s="301"/>
      <c r="K247" s="301"/>
      <c r="L247" s="302"/>
      <c r="M247" s="302"/>
      <c r="N247" s="302"/>
      <c r="O247" s="302"/>
      <c r="P247" s="302"/>
      <c r="Q247" s="302"/>
      <c r="R247" s="302"/>
      <c r="S247" s="302"/>
      <c r="T247" s="302"/>
      <c r="U247" s="302"/>
      <c r="V247" s="302"/>
      <c r="W247" s="302"/>
      <c r="X247" s="302"/>
      <c r="Y247" s="302"/>
      <c r="Z247" s="302"/>
      <c r="AA247" s="302"/>
      <c r="AB247" s="302"/>
      <c r="AC247" s="303"/>
    </row>
    <row r="248" ht="13.5" customHeight="1">
      <c r="A248" s="326"/>
      <c r="B248" s="15"/>
      <c r="C248" s="7"/>
      <c r="D248" s="9"/>
      <c r="E248" s="13"/>
      <c r="F248" s="13"/>
      <c r="G248" s="308"/>
      <c r="H248" s="308"/>
      <c r="I248" s="7"/>
      <c r="J248" s="9"/>
      <c r="K248" s="7"/>
      <c r="L248" s="305"/>
      <c r="M248" s="305"/>
      <c r="N248" s="305"/>
      <c r="O248" s="305"/>
      <c r="P248" s="305"/>
      <c r="Q248" s="305"/>
      <c r="R248" s="305"/>
      <c r="S248" s="305"/>
      <c r="T248" s="305"/>
      <c r="U248" s="305"/>
      <c r="V248" s="305"/>
      <c r="W248" s="305"/>
      <c r="X248" s="305"/>
      <c r="Y248" s="305"/>
      <c r="Z248" s="305"/>
      <c r="AA248" s="305"/>
      <c r="AB248" s="305"/>
      <c r="AC248" s="307"/>
    </row>
    <row r="249" ht="13.5" customHeight="1">
      <c r="A249" s="312"/>
      <c r="B249" s="301"/>
      <c r="C249" s="301"/>
      <c r="D249" s="301"/>
      <c r="E249" s="301"/>
      <c r="F249" s="301"/>
      <c r="G249" s="301"/>
      <c r="H249" s="301"/>
      <c r="I249" s="301"/>
      <c r="J249" s="301"/>
      <c r="K249" s="301"/>
      <c r="L249" s="302"/>
      <c r="M249" s="302"/>
      <c r="N249" s="302"/>
      <c r="O249" s="302"/>
      <c r="P249" s="302"/>
      <c r="Q249" s="302"/>
      <c r="R249" s="302"/>
      <c r="S249" s="302"/>
      <c r="T249" s="302"/>
      <c r="U249" s="302"/>
      <c r="V249" s="302"/>
      <c r="W249" s="302"/>
      <c r="X249" s="302"/>
      <c r="Y249" s="302"/>
      <c r="Z249" s="302"/>
      <c r="AA249" s="302"/>
      <c r="AB249" s="302"/>
      <c r="AC249" s="303"/>
    </row>
    <row r="250" ht="13.5" customHeight="1">
      <c r="A250" s="326"/>
      <c r="B250" s="15"/>
      <c r="C250" s="7"/>
      <c r="D250" s="9"/>
      <c r="E250" s="13"/>
      <c r="F250" s="13"/>
      <c r="G250" s="308"/>
      <c r="H250" s="308"/>
      <c r="I250" s="7"/>
      <c r="J250" s="9"/>
      <c r="K250" s="7"/>
      <c r="L250" s="305"/>
      <c r="M250" s="305"/>
      <c r="N250" s="305"/>
      <c r="O250" s="305"/>
      <c r="P250" s="305"/>
      <c r="Q250" s="305"/>
      <c r="R250" s="305"/>
      <c r="S250" s="305"/>
      <c r="T250" s="305"/>
      <c r="U250" s="305"/>
      <c r="V250" s="305"/>
      <c r="W250" s="305"/>
      <c r="X250" s="305"/>
      <c r="Y250" s="305"/>
      <c r="Z250" s="305"/>
      <c r="AA250" s="305"/>
      <c r="AB250" s="305"/>
      <c r="AC250" s="307"/>
    </row>
    <row r="251" ht="13.5" customHeight="1">
      <c r="A251" s="312"/>
      <c r="B251" s="301"/>
      <c r="C251" s="301"/>
      <c r="D251" s="301"/>
      <c r="E251" s="301"/>
      <c r="F251" s="301"/>
      <c r="G251" s="301"/>
      <c r="H251" s="301"/>
      <c r="I251" s="301"/>
      <c r="J251" s="301"/>
      <c r="K251" s="301"/>
      <c r="L251" s="302"/>
      <c r="M251" s="302"/>
      <c r="N251" s="302"/>
      <c r="O251" s="302"/>
      <c r="P251" s="302"/>
      <c r="Q251" s="302"/>
      <c r="R251" s="302"/>
      <c r="S251" s="302"/>
      <c r="T251" s="302"/>
      <c r="U251" s="302"/>
      <c r="V251" s="302"/>
      <c r="W251" s="302"/>
      <c r="X251" s="302"/>
      <c r="Y251" s="302"/>
      <c r="Z251" s="302"/>
      <c r="AA251" s="302"/>
      <c r="AB251" s="302"/>
      <c r="AC251" s="303"/>
    </row>
    <row r="252" ht="13.5" customHeight="1">
      <c r="A252" s="326"/>
      <c r="B252" s="15"/>
      <c r="C252" s="7"/>
      <c r="D252" s="9"/>
      <c r="E252" s="13"/>
      <c r="F252" s="13"/>
      <c r="G252" s="308"/>
      <c r="H252" s="308"/>
      <c r="I252" s="7"/>
      <c r="J252" s="9"/>
      <c r="K252" s="7"/>
      <c r="L252" s="305"/>
      <c r="M252" s="305"/>
      <c r="N252" s="305"/>
      <c r="O252" s="305"/>
      <c r="P252" s="305"/>
      <c r="Q252" s="305"/>
      <c r="R252" s="305"/>
      <c r="S252" s="305"/>
      <c r="T252" s="305"/>
      <c r="U252" s="305"/>
      <c r="V252" s="305"/>
      <c r="W252" s="305"/>
      <c r="X252" s="305"/>
      <c r="Y252" s="305"/>
      <c r="Z252" s="305"/>
      <c r="AA252" s="305"/>
      <c r="AB252" s="305"/>
      <c r="AC252" s="307"/>
    </row>
    <row r="253" ht="13.5" customHeight="1">
      <c r="A253" s="312"/>
      <c r="B253" s="301"/>
      <c r="C253" s="301"/>
      <c r="D253" s="301"/>
      <c r="E253" s="301"/>
      <c r="F253" s="301"/>
      <c r="G253" s="301"/>
      <c r="H253" s="301"/>
      <c r="I253" s="301"/>
      <c r="J253" s="301"/>
      <c r="K253" s="301"/>
      <c r="L253" s="302"/>
      <c r="M253" s="302"/>
      <c r="N253" s="302"/>
      <c r="O253" s="302"/>
      <c r="P253" s="302"/>
      <c r="Q253" s="302"/>
      <c r="R253" s="302"/>
      <c r="S253" s="302"/>
      <c r="T253" s="302"/>
      <c r="U253" s="302"/>
      <c r="V253" s="302"/>
      <c r="W253" s="302"/>
      <c r="X253" s="302"/>
      <c r="Y253" s="302"/>
      <c r="Z253" s="302"/>
      <c r="AA253" s="302"/>
      <c r="AB253" s="302"/>
      <c r="AC253" s="303"/>
    </row>
    <row r="254" ht="13.5" customHeight="1">
      <c r="A254" s="326"/>
      <c r="B254" s="15"/>
      <c r="C254" s="7"/>
      <c r="D254" s="9"/>
      <c r="E254" s="13"/>
      <c r="F254" s="13"/>
      <c r="G254" s="308"/>
      <c r="H254" s="308"/>
      <c r="I254" s="7"/>
      <c r="J254" s="9"/>
      <c r="K254" s="7"/>
      <c r="L254" s="305"/>
      <c r="M254" s="305"/>
      <c r="N254" s="305"/>
      <c r="O254" s="305"/>
      <c r="P254" s="305"/>
      <c r="Q254" s="305"/>
      <c r="R254" s="305"/>
      <c r="S254" s="305"/>
      <c r="T254" s="305"/>
      <c r="U254" s="305"/>
      <c r="V254" s="305"/>
      <c r="W254" s="305"/>
      <c r="X254" s="305"/>
      <c r="Y254" s="305"/>
      <c r="Z254" s="305"/>
      <c r="AA254" s="305"/>
      <c r="AB254" s="305"/>
      <c r="AC254" s="307"/>
    </row>
    <row r="255" ht="13.5" customHeight="1">
      <c r="A255" s="312"/>
      <c r="B255" s="301"/>
      <c r="C255" s="301"/>
      <c r="D255" s="301"/>
      <c r="E255" s="301"/>
      <c r="F255" s="301"/>
      <c r="G255" s="301"/>
      <c r="H255" s="301"/>
      <c r="I255" s="301"/>
      <c r="J255" s="301"/>
      <c r="K255" s="301"/>
      <c r="L255" s="302"/>
      <c r="M255" s="302"/>
      <c r="N255" s="302"/>
      <c r="O255" s="302"/>
      <c r="P255" s="302"/>
      <c r="Q255" s="302"/>
      <c r="R255" s="302"/>
      <c r="S255" s="302"/>
      <c r="T255" s="302"/>
      <c r="U255" s="302"/>
      <c r="V255" s="302"/>
      <c r="W255" s="302"/>
      <c r="X255" s="302"/>
      <c r="Y255" s="302"/>
      <c r="Z255" s="302"/>
      <c r="AA255" s="302"/>
      <c r="AB255" s="302"/>
      <c r="AC255" s="303"/>
    </row>
    <row r="256" ht="13.5" customHeight="1">
      <c r="A256" s="326"/>
      <c r="B256" s="15"/>
      <c r="C256" s="7"/>
      <c r="D256" s="9"/>
      <c r="E256" s="13"/>
      <c r="F256" s="13"/>
      <c r="G256" s="308"/>
      <c r="H256" s="308"/>
      <c r="I256" s="7"/>
      <c r="J256" s="9"/>
      <c r="K256" s="7"/>
      <c r="L256" s="305"/>
      <c r="M256" s="305"/>
      <c r="N256" s="305"/>
      <c r="O256" s="305"/>
      <c r="P256" s="305"/>
      <c r="Q256" s="305"/>
      <c r="R256" s="305"/>
      <c r="S256" s="305"/>
      <c r="T256" s="305"/>
      <c r="U256" s="305"/>
      <c r="V256" s="305"/>
      <c r="W256" s="305"/>
      <c r="X256" s="305"/>
      <c r="Y256" s="305"/>
      <c r="Z256" s="305"/>
      <c r="AA256" s="305"/>
      <c r="AB256" s="305"/>
      <c r="AC256" s="307"/>
    </row>
    <row r="257" ht="13.5" customHeight="1">
      <c r="A257" s="312"/>
      <c r="B257" s="301"/>
      <c r="C257" s="301"/>
      <c r="D257" s="301"/>
      <c r="E257" s="301"/>
      <c r="F257" s="301"/>
      <c r="G257" s="301"/>
      <c r="H257" s="301"/>
      <c r="I257" s="301"/>
      <c r="J257" s="301"/>
      <c r="K257" s="301"/>
      <c r="L257" s="302"/>
      <c r="M257" s="302"/>
      <c r="N257" s="302"/>
      <c r="O257" s="302"/>
      <c r="P257" s="302"/>
      <c r="Q257" s="302"/>
      <c r="R257" s="302"/>
      <c r="S257" s="302"/>
      <c r="T257" s="302"/>
      <c r="U257" s="302"/>
      <c r="V257" s="302"/>
      <c r="W257" s="302"/>
      <c r="X257" s="302"/>
      <c r="Y257" s="302"/>
      <c r="Z257" s="302"/>
      <c r="AA257" s="302"/>
      <c r="AB257" s="302"/>
      <c r="AC257" s="303"/>
    </row>
    <row r="258" ht="13.5" customHeight="1">
      <c r="A258" s="326"/>
      <c r="B258" s="15"/>
      <c r="C258" s="7"/>
      <c r="D258" s="9"/>
      <c r="E258" s="13"/>
      <c r="F258" s="13"/>
      <c r="G258" s="308"/>
      <c r="H258" s="308"/>
      <c r="I258" s="7"/>
      <c r="J258" s="9"/>
      <c r="K258" s="7"/>
      <c r="L258" s="305"/>
      <c r="M258" s="305"/>
      <c r="N258" s="305"/>
      <c r="O258" s="305"/>
      <c r="P258" s="305"/>
      <c r="Q258" s="305"/>
      <c r="R258" s="305"/>
      <c r="S258" s="305"/>
      <c r="T258" s="305"/>
      <c r="U258" s="305"/>
      <c r="V258" s="305"/>
      <c r="W258" s="305"/>
      <c r="X258" s="305"/>
      <c r="Y258" s="305"/>
      <c r="Z258" s="305"/>
      <c r="AA258" s="305"/>
      <c r="AB258" s="305"/>
      <c r="AC258" s="307"/>
    </row>
    <row r="259" ht="13.5" customHeight="1">
      <c r="A259" s="312"/>
      <c r="B259" s="301"/>
      <c r="C259" s="301"/>
      <c r="D259" s="301"/>
      <c r="E259" s="301"/>
      <c r="F259" s="301"/>
      <c r="G259" s="301"/>
      <c r="H259" s="301"/>
      <c r="I259" s="301"/>
      <c r="J259" s="301"/>
      <c r="K259" s="301"/>
      <c r="L259" s="302"/>
      <c r="M259" s="302"/>
      <c r="N259" s="302"/>
      <c r="O259" s="302"/>
      <c r="P259" s="302"/>
      <c r="Q259" s="302"/>
      <c r="R259" s="302"/>
      <c r="S259" s="302"/>
      <c r="T259" s="302"/>
      <c r="U259" s="302"/>
      <c r="V259" s="302"/>
      <c r="W259" s="302"/>
      <c r="X259" s="302"/>
      <c r="Y259" s="302"/>
      <c r="Z259" s="302"/>
      <c r="AA259" s="302"/>
      <c r="AB259" s="302"/>
      <c r="AC259" s="303"/>
    </row>
    <row r="260" ht="13.5" customHeight="1">
      <c r="A260" s="326"/>
      <c r="B260" s="15"/>
      <c r="C260" s="7"/>
      <c r="D260" s="9"/>
      <c r="E260" s="13"/>
      <c r="F260" s="13"/>
      <c r="G260" s="308"/>
      <c r="H260" s="308"/>
      <c r="I260" s="7"/>
      <c r="J260" s="9"/>
      <c r="K260" s="7"/>
      <c r="L260" s="305"/>
      <c r="M260" s="305"/>
      <c r="N260" s="305"/>
      <c r="O260" s="305"/>
      <c r="P260" s="305"/>
      <c r="Q260" s="305"/>
      <c r="R260" s="305"/>
      <c r="S260" s="305"/>
      <c r="T260" s="305"/>
      <c r="U260" s="305"/>
      <c r="V260" s="305"/>
      <c r="W260" s="305"/>
      <c r="X260" s="305"/>
      <c r="Y260" s="305"/>
      <c r="Z260" s="305"/>
      <c r="AA260" s="305"/>
      <c r="AB260" s="305"/>
      <c r="AC260" s="307"/>
    </row>
    <row r="261" ht="13.5" customHeight="1">
      <c r="A261" s="312"/>
      <c r="B261" s="301"/>
      <c r="C261" s="301"/>
      <c r="D261" s="301"/>
      <c r="E261" s="301"/>
      <c r="F261" s="301"/>
      <c r="G261" s="301"/>
      <c r="H261" s="301"/>
      <c r="I261" s="301"/>
      <c r="J261" s="301"/>
      <c r="K261" s="301"/>
      <c r="L261" s="302"/>
      <c r="M261" s="302"/>
      <c r="N261" s="302"/>
      <c r="O261" s="302"/>
      <c r="P261" s="302"/>
      <c r="Q261" s="302"/>
      <c r="R261" s="302"/>
      <c r="S261" s="302"/>
      <c r="T261" s="302"/>
      <c r="U261" s="302"/>
      <c r="V261" s="302"/>
      <c r="W261" s="302"/>
      <c r="X261" s="302"/>
      <c r="Y261" s="302"/>
      <c r="Z261" s="302"/>
      <c r="AA261" s="302"/>
      <c r="AB261" s="302"/>
      <c r="AC261" s="303"/>
    </row>
    <row r="262" ht="13.5" customHeight="1">
      <c r="A262" s="326"/>
      <c r="B262" s="15"/>
      <c r="C262" s="7"/>
      <c r="D262" s="9"/>
      <c r="E262" s="13"/>
      <c r="F262" s="13"/>
      <c r="G262" s="308"/>
      <c r="H262" s="308"/>
      <c r="I262" s="7"/>
      <c r="J262" s="9"/>
      <c r="K262" s="7"/>
      <c r="L262" s="305"/>
      <c r="M262" s="305"/>
      <c r="N262" s="305"/>
      <c r="O262" s="305"/>
      <c r="P262" s="305"/>
      <c r="Q262" s="305"/>
      <c r="R262" s="305"/>
      <c r="S262" s="305"/>
      <c r="T262" s="305"/>
      <c r="U262" s="305"/>
      <c r="V262" s="305"/>
      <c r="W262" s="305"/>
      <c r="X262" s="305"/>
      <c r="Y262" s="305"/>
      <c r="Z262" s="305"/>
      <c r="AA262" s="305"/>
      <c r="AB262" s="305"/>
      <c r="AC262" s="307"/>
    </row>
    <row r="263" ht="13.5" customHeight="1">
      <c r="A263" s="312"/>
      <c r="B263" s="301"/>
      <c r="C263" s="301"/>
      <c r="D263" s="301"/>
      <c r="E263" s="301"/>
      <c r="F263" s="301"/>
      <c r="G263" s="301"/>
      <c r="H263" s="301"/>
      <c r="I263" s="301"/>
      <c r="J263" s="301"/>
      <c r="K263" s="301"/>
      <c r="L263" s="302"/>
      <c r="M263" s="302"/>
      <c r="N263" s="302"/>
      <c r="O263" s="302"/>
      <c r="P263" s="302"/>
      <c r="Q263" s="302"/>
      <c r="R263" s="302"/>
      <c r="S263" s="302"/>
      <c r="T263" s="302"/>
      <c r="U263" s="302"/>
      <c r="V263" s="302"/>
      <c r="W263" s="302"/>
      <c r="X263" s="302"/>
      <c r="Y263" s="302"/>
      <c r="Z263" s="302"/>
      <c r="AA263" s="302"/>
      <c r="AB263" s="302"/>
      <c r="AC263" s="303"/>
    </row>
    <row r="264" ht="13.5" customHeight="1">
      <c r="A264" s="326"/>
      <c r="B264" s="15"/>
      <c r="C264" s="7"/>
      <c r="D264" s="9"/>
      <c r="E264" s="13"/>
      <c r="F264" s="13"/>
      <c r="G264" s="308"/>
      <c r="H264" s="308"/>
      <c r="I264" s="7"/>
      <c r="J264" s="9"/>
      <c r="K264" s="7"/>
      <c r="L264" s="305"/>
      <c r="M264" s="305"/>
      <c r="N264" s="305"/>
      <c r="O264" s="305"/>
      <c r="P264" s="305"/>
      <c r="Q264" s="305"/>
      <c r="R264" s="305"/>
      <c r="S264" s="305"/>
      <c r="T264" s="305"/>
      <c r="U264" s="305"/>
      <c r="V264" s="305"/>
      <c r="W264" s="305"/>
      <c r="X264" s="305"/>
      <c r="Y264" s="305"/>
      <c r="Z264" s="305"/>
      <c r="AA264" s="305"/>
      <c r="AB264" s="305"/>
      <c r="AC264" s="307"/>
    </row>
    <row r="265" ht="13.5" customHeight="1">
      <c r="A265" s="312"/>
      <c r="B265" s="301"/>
      <c r="C265" s="301"/>
      <c r="D265" s="301"/>
      <c r="E265" s="301"/>
      <c r="F265" s="301"/>
      <c r="G265" s="301"/>
      <c r="H265" s="301"/>
      <c r="I265" s="301"/>
      <c r="J265" s="301"/>
      <c r="K265" s="301"/>
      <c r="L265" s="302"/>
      <c r="M265" s="302"/>
      <c r="N265" s="302"/>
      <c r="O265" s="302"/>
      <c r="P265" s="302"/>
      <c r="Q265" s="302"/>
      <c r="R265" s="302"/>
      <c r="S265" s="302"/>
      <c r="T265" s="302"/>
      <c r="U265" s="302"/>
      <c r="V265" s="302"/>
      <c r="W265" s="302"/>
      <c r="X265" s="302"/>
      <c r="Y265" s="302"/>
      <c r="Z265" s="302"/>
      <c r="AA265" s="302"/>
      <c r="AB265" s="302"/>
      <c r="AC265" s="303"/>
    </row>
    <row r="266" ht="13.5" customHeight="1">
      <c r="A266" s="326"/>
      <c r="B266" s="15"/>
      <c r="C266" s="7"/>
      <c r="D266" s="9"/>
      <c r="E266" s="13"/>
      <c r="F266" s="13"/>
      <c r="G266" s="308"/>
      <c r="H266" s="308"/>
      <c r="I266" s="7"/>
      <c r="J266" s="9"/>
      <c r="K266" s="7"/>
      <c r="L266" s="305"/>
      <c r="M266" s="305"/>
      <c r="N266" s="305"/>
      <c r="O266" s="305"/>
      <c r="P266" s="305"/>
      <c r="Q266" s="305"/>
      <c r="R266" s="305"/>
      <c r="S266" s="305"/>
      <c r="T266" s="305"/>
      <c r="U266" s="305"/>
      <c r="V266" s="305"/>
      <c r="W266" s="305"/>
      <c r="X266" s="305"/>
      <c r="Y266" s="305"/>
      <c r="Z266" s="305"/>
      <c r="AA266" s="305"/>
      <c r="AB266" s="305"/>
      <c r="AC266" s="307"/>
    </row>
    <row r="267" ht="13.5" customHeight="1">
      <c r="A267" s="312"/>
      <c r="B267" s="301"/>
      <c r="C267" s="301"/>
      <c r="D267" s="301"/>
      <c r="E267" s="301"/>
      <c r="F267" s="301"/>
      <c r="G267" s="301"/>
      <c r="H267" s="301"/>
      <c r="I267" s="301"/>
      <c r="J267" s="301"/>
      <c r="K267" s="301"/>
      <c r="L267" s="302"/>
      <c r="M267" s="302"/>
      <c r="N267" s="302"/>
      <c r="O267" s="302"/>
      <c r="P267" s="302"/>
      <c r="Q267" s="302"/>
      <c r="R267" s="302"/>
      <c r="S267" s="302"/>
      <c r="T267" s="302"/>
      <c r="U267" s="302"/>
      <c r="V267" s="302"/>
      <c r="W267" s="302"/>
      <c r="X267" s="302"/>
      <c r="Y267" s="302"/>
      <c r="Z267" s="302"/>
      <c r="AA267" s="302"/>
      <c r="AB267" s="302"/>
      <c r="AC267" s="303"/>
    </row>
    <row r="268" ht="13.5" customHeight="1">
      <c r="A268" s="326"/>
      <c r="B268" s="15"/>
      <c r="C268" s="7"/>
      <c r="D268" s="9"/>
      <c r="E268" s="13"/>
      <c r="F268" s="13"/>
      <c r="G268" s="308"/>
      <c r="H268" s="308"/>
      <c r="I268" s="7"/>
      <c r="J268" s="9"/>
      <c r="K268" s="7"/>
      <c r="L268" s="305"/>
      <c r="M268" s="305"/>
      <c r="N268" s="305"/>
      <c r="O268" s="305"/>
      <c r="P268" s="305"/>
      <c r="Q268" s="305"/>
      <c r="R268" s="305"/>
      <c r="S268" s="305"/>
      <c r="T268" s="305"/>
      <c r="U268" s="305"/>
      <c r="V268" s="305"/>
      <c r="W268" s="305"/>
      <c r="X268" s="305"/>
      <c r="Y268" s="305"/>
      <c r="Z268" s="305"/>
      <c r="AA268" s="305"/>
      <c r="AB268" s="305"/>
      <c r="AC268" s="307"/>
    </row>
    <row r="269" ht="13.5" customHeight="1">
      <c r="A269" s="312"/>
      <c r="B269" s="301"/>
      <c r="C269" s="301"/>
      <c r="D269" s="301"/>
      <c r="E269" s="301"/>
      <c r="F269" s="301"/>
      <c r="G269" s="301"/>
      <c r="H269" s="301"/>
      <c r="I269" s="301"/>
      <c r="J269" s="301"/>
      <c r="K269" s="301"/>
      <c r="L269" s="302"/>
      <c r="M269" s="302"/>
      <c r="N269" s="302"/>
      <c r="O269" s="302"/>
      <c r="P269" s="302"/>
      <c r="Q269" s="302"/>
      <c r="R269" s="302"/>
      <c r="S269" s="302"/>
      <c r="T269" s="302"/>
      <c r="U269" s="302"/>
      <c r="V269" s="302"/>
      <c r="W269" s="302"/>
      <c r="X269" s="302"/>
      <c r="Y269" s="302"/>
      <c r="Z269" s="302"/>
      <c r="AA269" s="302"/>
      <c r="AB269" s="302"/>
      <c r="AC269" s="303"/>
    </row>
    <row r="270" ht="13.5" customHeight="1">
      <c r="A270" s="326"/>
      <c r="B270" s="15"/>
      <c r="C270" s="7"/>
      <c r="D270" s="9"/>
      <c r="E270" s="13"/>
      <c r="F270" s="13"/>
      <c r="G270" s="308"/>
      <c r="H270" s="308"/>
      <c r="I270" s="7"/>
      <c r="J270" s="9"/>
      <c r="K270" s="7"/>
      <c r="L270" s="305"/>
      <c r="M270" s="305"/>
      <c r="N270" s="305"/>
      <c r="O270" s="305"/>
      <c r="P270" s="305"/>
      <c r="Q270" s="305"/>
      <c r="R270" s="305"/>
      <c r="S270" s="305"/>
      <c r="T270" s="305"/>
      <c r="U270" s="305"/>
      <c r="V270" s="305"/>
      <c r="W270" s="305"/>
      <c r="X270" s="305"/>
      <c r="Y270" s="305"/>
      <c r="Z270" s="305"/>
      <c r="AA270" s="305"/>
      <c r="AB270" s="305"/>
      <c r="AC270" s="307"/>
    </row>
    <row r="271" ht="13.5" customHeight="1">
      <c r="A271" s="312"/>
      <c r="B271" s="301"/>
      <c r="C271" s="301"/>
      <c r="D271" s="301"/>
      <c r="E271" s="301"/>
      <c r="F271" s="301"/>
      <c r="G271" s="301"/>
      <c r="H271" s="301"/>
      <c r="I271" s="301"/>
      <c r="J271" s="301"/>
      <c r="K271" s="301"/>
      <c r="L271" s="302"/>
      <c r="M271" s="302"/>
      <c r="N271" s="302"/>
      <c r="O271" s="302"/>
      <c r="P271" s="302"/>
      <c r="Q271" s="302"/>
      <c r="R271" s="302"/>
      <c r="S271" s="302"/>
      <c r="T271" s="302"/>
      <c r="U271" s="302"/>
      <c r="V271" s="302"/>
      <c r="W271" s="302"/>
      <c r="X271" s="302"/>
      <c r="Y271" s="302"/>
      <c r="Z271" s="302"/>
      <c r="AA271" s="302"/>
      <c r="AB271" s="302"/>
      <c r="AC271" s="303"/>
    </row>
    <row r="272" ht="13.5" customHeight="1">
      <c r="A272" s="326"/>
      <c r="B272" s="15"/>
      <c r="C272" s="7"/>
      <c r="D272" s="9"/>
      <c r="E272" s="13"/>
      <c r="F272" s="13"/>
      <c r="G272" s="308"/>
      <c r="H272" s="308"/>
      <c r="I272" s="7"/>
      <c r="J272" s="9"/>
      <c r="K272" s="7"/>
      <c r="L272" s="305"/>
      <c r="M272" s="305"/>
      <c r="N272" s="305"/>
      <c r="O272" s="305"/>
      <c r="P272" s="305"/>
      <c r="Q272" s="305"/>
      <c r="R272" s="305"/>
      <c r="S272" s="305"/>
      <c r="T272" s="305"/>
      <c r="U272" s="305"/>
      <c r="V272" s="305"/>
      <c r="W272" s="305"/>
      <c r="X272" s="305"/>
      <c r="Y272" s="305"/>
      <c r="Z272" s="305"/>
      <c r="AA272" s="305"/>
      <c r="AB272" s="305"/>
      <c r="AC272" s="307"/>
    </row>
    <row r="273" ht="13.5" customHeight="1">
      <c r="A273" s="312"/>
      <c r="B273" s="301"/>
      <c r="C273" s="301"/>
      <c r="D273" s="301"/>
      <c r="E273" s="301"/>
      <c r="F273" s="301"/>
      <c r="G273" s="301"/>
      <c r="H273" s="301"/>
      <c r="I273" s="301"/>
      <c r="J273" s="301"/>
      <c r="K273" s="301"/>
      <c r="L273" s="302"/>
      <c r="M273" s="302"/>
      <c r="N273" s="302"/>
      <c r="O273" s="302"/>
      <c r="P273" s="302"/>
      <c r="Q273" s="302"/>
      <c r="R273" s="302"/>
      <c r="S273" s="302"/>
      <c r="T273" s="302"/>
      <c r="U273" s="302"/>
      <c r="V273" s="302"/>
      <c r="W273" s="302"/>
      <c r="X273" s="302"/>
      <c r="Y273" s="302"/>
      <c r="Z273" s="302"/>
      <c r="AA273" s="302"/>
      <c r="AB273" s="302"/>
      <c r="AC273" s="303"/>
    </row>
    <row r="274" ht="13.5" customHeight="1">
      <c r="A274" s="326"/>
      <c r="B274" s="15"/>
      <c r="C274" s="7"/>
      <c r="D274" s="9"/>
      <c r="E274" s="13"/>
      <c r="F274" s="13"/>
      <c r="G274" s="308"/>
      <c r="H274" s="308"/>
      <c r="I274" s="7"/>
      <c r="J274" s="9"/>
      <c r="K274" s="7"/>
      <c r="L274" s="305"/>
      <c r="M274" s="305"/>
      <c r="N274" s="305"/>
      <c r="O274" s="305"/>
      <c r="P274" s="305"/>
      <c r="Q274" s="305"/>
      <c r="R274" s="305"/>
      <c r="S274" s="305"/>
      <c r="T274" s="305"/>
      <c r="U274" s="305"/>
      <c r="V274" s="305"/>
      <c r="W274" s="305"/>
      <c r="X274" s="305"/>
      <c r="Y274" s="305"/>
      <c r="Z274" s="305"/>
      <c r="AA274" s="305"/>
      <c r="AB274" s="305"/>
      <c r="AC274" s="307"/>
    </row>
    <row r="275" ht="13.5" customHeight="1">
      <c r="A275" s="312"/>
      <c r="B275" s="301"/>
      <c r="C275" s="301"/>
      <c r="D275" s="301"/>
      <c r="E275" s="301"/>
      <c r="F275" s="301"/>
      <c r="G275" s="301"/>
      <c r="H275" s="301"/>
      <c r="I275" s="301"/>
      <c r="J275" s="301"/>
      <c r="K275" s="301"/>
      <c r="L275" s="302"/>
      <c r="M275" s="302"/>
      <c r="N275" s="302"/>
      <c r="O275" s="302"/>
      <c r="P275" s="302"/>
      <c r="Q275" s="302"/>
      <c r="R275" s="302"/>
      <c r="S275" s="302"/>
      <c r="T275" s="302"/>
      <c r="U275" s="302"/>
      <c r="V275" s="302"/>
      <c r="W275" s="302"/>
      <c r="X275" s="302"/>
      <c r="Y275" s="302"/>
      <c r="Z275" s="302"/>
      <c r="AA275" s="302"/>
      <c r="AB275" s="302"/>
      <c r="AC275" s="303"/>
    </row>
    <row r="276" ht="13.5" customHeight="1">
      <c r="A276" s="326"/>
      <c r="B276" s="15"/>
      <c r="C276" s="7"/>
      <c r="D276" s="9"/>
      <c r="E276" s="13"/>
      <c r="F276" s="13"/>
      <c r="G276" s="308"/>
      <c r="H276" s="308"/>
      <c r="I276" s="7"/>
      <c r="J276" s="9"/>
      <c r="K276" s="7"/>
      <c r="L276" s="305"/>
      <c r="M276" s="305"/>
      <c r="N276" s="305"/>
      <c r="O276" s="305"/>
      <c r="P276" s="305"/>
      <c r="Q276" s="305"/>
      <c r="R276" s="305"/>
      <c r="S276" s="305"/>
      <c r="T276" s="305"/>
      <c r="U276" s="305"/>
      <c r="V276" s="305"/>
      <c r="W276" s="305"/>
      <c r="X276" s="305"/>
      <c r="Y276" s="305"/>
      <c r="Z276" s="305"/>
      <c r="AA276" s="305"/>
      <c r="AB276" s="305"/>
      <c r="AC276" s="307"/>
    </row>
    <row r="277" ht="13.5" customHeight="1">
      <c r="A277" s="312"/>
      <c r="B277" s="301"/>
      <c r="C277" s="301"/>
      <c r="D277" s="301"/>
      <c r="E277" s="301"/>
      <c r="F277" s="301"/>
      <c r="G277" s="301"/>
      <c r="H277" s="301"/>
      <c r="I277" s="301"/>
      <c r="J277" s="301"/>
      <c r="K277" s="301"/>
      <c r="L277" s="302"/>
      <c r="M277" s="302"/>
      <c r="N277" s="302"/>
      <c r="O277" s="302"/>
      <c r="P277" s="302"/>
      <c r="Q277" s="302"/>
      <c r="R277" s="302"/>
      <c r="S277" s="302"/>
      <c r="T277" s="302"/>
      <c r="U277" s="302"/>
      <c r="V277" s="302"/>
      <c r="W277" s="302"/>
      <c r="X277" s="302"/>
      <c r="Y277" s="302"/>
      <c r="Z277" s="302"/>
      <c r="AA277" s="302"/>
      <c r="AB277" s="302"/>
      <c r="AC277" s="303"/>
    </row>
    <row r="278" ht="13.5" customHeight="1">
      <c r="A278" s="326"/>
      <c r="B278" s="15"/>
      <c r="C278" s="7"/>
      <c r="D278" s="9"/>
      <c r="E278" s="13"/>
      <c r="F278" s="13"/>
      <c r="G278" s="308"/>
      <c r="H278" s="308"/>
      <c r="I278" s="7"/>
      <c r="J278" s="9"/>
      <c r="K278" s="7"/>
      <c r="L278" s="305"/>
      <c r="M278" s="305"/>
      <c r="N278" s="305"/>
      <c r="O278" s="305"/>
      <c r="P278" s="305"/>
      <c r="Q278" s="305"/>
      <c r="R278" s="305"/>
      <c r="S278" s="305"/>
      <c r="T278" s="305"/>
      <c r="U278" s="305"/>
      <c r="V278" s="305"/>
      <c r="W278" s="305"/>
      <c r="X278" s="305"/>
      <c r="Y278" s="305"/>
      <c r="Z278" s="305"/>
      <c r="AA278" s="305"/>
      <c r="AB278" s="305"/>
      <c r="AC278" s="307"/>
    </row>
    <row r="279" ht="13.5" customHeight="1">
      <c r="A279" s="312"/>
      <c r="B279" s="301"/>
      <c r="C279" s="301"/>
      <c r="D279" s="301"/>
      <c r="E279" s="301"/>
      <c r="F279" s="301"/>
      <c r="G279" s="301"/>
      <c r="H279" s="301"/>
      <c r="I279" s="301"/>
      <c r="J279" s="301"/>
      <c r="K279" s="301"/>
      <c r="L279" s="302"/>
      <c r="M279" s="302"/>
      <c r="N279" s="302"/>
      <c r="O279" s="302"/>
      <c r="P279" s="302"/>
      <c r="Q279" s="302"/>
      <c r="R279" s="302"/>
      <c r="S279" s="302"/>
      <c r="T279" s="302"/>
      <c r="U279" s="302"/>
      <c r="V279" s="302"/>
      <c r="W279" s="302"/>
      <c r="X279" s="302"/>
      <c r="Y279" s="302"/>
      <c r="Z279" s="302"/>
      <c r="AA279" s="302"/>
      <c r="AB279" s="302"/>
      <c r="AC279" s="303"/>
    </row>
    <row r="280" ht="13.5" customHeight="1">
      <c r="A280" s="326"/>
      <c r="B280" s="15"/>
      <c r="C280" s="7"/>
      <c r="D280" s="9"/>
      <c r="E280" s="13"/>
      <c r="F280" s="13"/>
      <c r="G280" s="308"/>
      <c r="H280" s="308"/>
      <c r="I280" s="7"/>
      <c r="J280" s="9"/>
      <c r="K280" s="7"/>
      <c r="L280" s="305"/>
      <c r="M280" s="305"/>
      <c r="N280" s="305"/>
      <c r="O280" s="305"/>
      <c r="P280" s="305"/>
      <c r="Q280" s="305"/>
      <c r="R280" s="305"/>
      <c r="S280" s="305"/>
      <c r="T280" s="305"/>
      <c r="U280" s="305"/>
      <c r="V280" s="305"/>
      <c r="W280" s="305"/>
      <c r="X280" s="305"/>
      <c r="Y280" s="305"/>
      <c r="Z280" s="305"/>
      <c r="AA280" s="305"/>
      <c r="AB280" s="305"/>
      <c r="AC280" s="307"/>
    </row>
    <row r="281" ht="13.5" customHeight="1">
      <c r="A281" s="312"/>
      <c r="B281" s="301"/>
      <c r="C281" s="301"/>
      <c r="D281" s="301"/>
      <c r="E281" s="301"/>
      <c r="F281" s="301"/>
      <c r="G281" s="301"/>
      <c r="H281" s="301"/>
      <c r="I281" s="301"/>
      <c r="J281" s="301"/>
      <c r="K281" s="301"/>
      <c r="L281" s="302"/>
      <c r="M281" s="302"/>
      <c r="N281" s="302"/>
      <c r="O281" s="302"/>
      <c r="P281" s="302"/>
      <c r="Q281" s="302"/>
      <c r="R281" s="302"/>
      <c r="S281" s="302"/>
      <c r="T281" s="302"/>
      <c r="U281" s="302"/>
      <c r="V281" s="302"/>
      <c r="W281" s="302"/>
      <c r="X281" s="302"/>
      <c r="Y281" s="302"/>
      <c r="Z281" s="302"/>
      <c r="AA281" s="302"/>
      <c r="AB281" s="302"/>
      <c r="AC281" s="303"/>
    </row>
    <row r="282" ht="13.5" customHeight="1">
      <c r="A282" s="326"/>
      <c r="B282" s="15"/>
      <c r="C282" s="7"/>
      <c r="D282" s="9"/>
      <c r="E282" s="13"/>
      <c r="F282" s="13"/>
      <c r="G282" s="308"/>
      <c r="H282" s="308"/>
      <c r="I282" s="7"/>
      <c r="J282" s="9"/>
      <c r="K282" s="7"/>
      <c r="L282" s="305"/>
      <c r="M282" s="305"/>
      <c r="N282" s="305"/>
      <c r="O282" s="305"/>
      <c r="P282" s="305"/>
      <c r="Q282" s="305"/>
      <c r="R282" s="305"/>
      <c r="S282" s="305"/>
      <c r="T282" s="305"/>
      <c r="U282" s="305"/>
      <c r="V282" s="305"/>
      <c r="W282" s="305"/>
      <c r="X282" s="305"/>
      <c r="Y282" s="305"/>
      <c r="Z282" s="305"/>
      <c r="AA282" s="305"/>
      <c r="AB282" s="305"/>
      <c r="AC282" s="307"/>
    </row>
    <row r="283" ht="13.5" customHeight="1">
      <c r="A283" s="312"/>
      <c r="B283" s="301"/>
      <c r="C283" s="301"/>
      <c r="D283" s="301"/>
      <c r="E283" s="301"/>
      <c r="F283" s="301"/>
      <c r="G283" s="301"/>
      <c r="H283" s="301"/>
      <c r="I283" s="301"/>
      <c r="J283" s="301"/>
      <c r="K283" s="301"/>
      <c r="L283" s="302"/>
      <c r="M283" s="302"/>
      <c r="N283" s="302"/>
      <c r="O283" s="302"/>
      <c r="P283" s="302"/>
      <c r="Q283" s="302"/>
      <c r="R283" s="302"/>
      <c r="S283" s="302"/>
      <c r="T283" s="302"/>
      <c r="U283" s="302"/>
      <c r="V283" s="302"/>
      <c r="W283" s="302"/>
      <c r="X283" s="302"/>
      <c r="Y283" s="302"/>
      <c r="Z283" s="302"/>
      <c r="AA283" s="302"/>
      <c r="AB283" s="302"/>
      <c r="AC283" s="303"/>
    </row>
    <row r="284" ht="13.5" customHeight="1">
      <c r="A284" s="326"/>
      <c r="B284" s="15"/>
      <c r="C284" s="7"/>
      <c r="D284" s="9"/>
      <c r="E284" s="13"/>
      <c r="F284" s="13"/>
      <c r="G284" s="308"/>
      <c r="H284" s="308"/>
      <c r="I284" s="7"/>
      <c r="J284" s="9"/>
      <c r="K284" s="7"/>
      <c r="L284" s="305"/>
      <c r="M284" s="305"/>
      <c r="N284" s="305"/>
      <c r="O284" s="305"/>
      <c r="P284" s="305"/>
      <c r="Q284" s="305"/>
      <c r="R284" s="305"/>
      <c r="S284" s="305"/>
      <c r="T284" s="305"/>
      <c r="U284" s="305"/>
      <c r="V284" s="305"/>
      <c r="W284" s="305"/>
      <c r="X284" s="305"/>
      <c r="Y284" s="305"/>
      <c r="Z284" s="305"/>
      <c r="AA284" s="305"/>
      <c r="AB284" s="305"/>
      <c r="AC284" s="307"/>
    </row>
    <row r="285" ht="13.5" customHeight="1">
      <c r="A285" s="312"/>
      <c r="B285" s="301"/>
      <c r="C285" s="301"/>
      <c r="D285" s="301"/>
      <c r="E285" s="301"/>
      <c r="F285" s="301"/>
      <c r="G285" s="301"/>
      <c r="H285" s="301"/>
      <c r="I285" s="301"/>
      <c r="J285" s="301"/>
      <c r="K285" s="301"/>
      <c r="L285" s="302"/>
      <c r="M285" s="302"/>
      <c r="N285" s="302"/>
      <c r="O285" s="302"/>
      <c r="P285" s="302"/>
      <c r="Q285" s="302"/>
      <c r="R285" s="302"/>
      <c r="S285" s="302"/>
      <c r="T285" s="302"/>
      <c r="U285" s="302"/>
      <c r="V285" s="302"/>
      <c r="W285" s="302"/>
      <c r="X285" s="302"/>
      <c r="Y285" s="302"/>
      <c r="Z285" s="302"/>
      <c r="AA285" s="302"/>
      <c r="AB285" s="302"/>
      <c r="AC285" s="303"/>
    </row>
    <row r="286" ht="13.5" customHeight="1">
      <c r="A286" s="326"/>
      <c r="B286" s="15"/>
      <c r="C286" s="7"/>
      <c r="D286" s="9"/>
      <c r="E286" s="13"/>
      <c r="F286" s="13"/>
      <c r="G286" s="308"/>
      <c r="H286" s="308"/>
      <c r="I286" s="7"/>
      <c r="J286" s="9"/>
      <c r="K286" s="7"/>
      <c r="L286" s="305"/>
      <c r="M286" s="305"/>
      <c r="N286" s="305"/>
      <c r="O286" s="305"/>
      <c r="P286" s="305"/>
      <c r="Q286" s="305"/>
      <c r="R286" s="305"/>
      <c r="S286" s="305"/>
      <c r="T286" s="305"/>
      <c r="U286" s="305"/>
      <c r="V286" s="305"/>
      <c r="W286" s="305"/>
      <c r="X286" s="305"/>
      <c r="Y286" s="305"/>
      <c r="Z286" s="305"/>
      <c r="AA286" s="305"/>
      <c r="AB286" s="305"/>
      <c r="AC286" s="307"/>
    </row>
    <row r="287" ht="13.5" customHeight="1">
      <c r="A287" s="312"/>
      <c r="B287" s="301"/>
      <c r="C287" s="301"/>
      <c r="D287" s="301"/>
      <c r="E287" s="301"/>
      <c r="F287" s="301"/>
      <c r="G287" s="301"/>
      <c r="H287" s="301"/>
      <c r="I287" s="301"/>
      <c r="J287" s="301"/>
      <c r="K287" s="301"/>
      <c r="L287" s="302"/>
      <c r="M287" s="302"/>
      <c r="N287" s="302"/>
      <c r="O287" s="302"/>
      <c r="P287" s="302"/>
      <c r="Q287" s="302"/>
      <c r="R287" s="302"/>
      <c r="S287" s="302"/>
      <c r="T287" s="302"/>
      <c r="U287" s="302"/>
      <c r="V287" s="302"/>
      <c r="W287" s="302"/>
      <c r="X287" s="302"/>
      <c r="Y287" s="302"/>
      <c r="Z287" s="302"/>
      <c r="AA287" s="302"/>
      <c r="AB287" s="302"/>
      <c r="AC287" s="303"/>
    </row>
    <row r="288" ht="13.5" customHeight="1">
      <c r="A288" s="326"/>
      <c r="B288" s="15"/>
      <c r="C288" s="7"/>
      <c r="D288" s="9"/>
      <c r="E288" s="13"/>
      <c r="F288" s="13"/>
      <c r="G288" s="308"/>
      <c r="H288" s="308"/>
      <c r="I288" s="7"/>
      <c r="J288" s="9"/>
      <c r="K288" s="7"/>
      <c r="L288" s="305"/>
      <c r="M288" s="305"/>
      <c r="N288" s="305"/>
      <c r="O288" s="305"/>
      <c r="P288" s="305"/>
      <c r="Q288" s="305"/>
      <c r="R288" s="305"/>
      <c r="S288" s="305"/>
      <c r="T288" s="305"/>
      <c r="U288" s="305"/>
      <c r="V288" s="305"/>
      <c r="W288" s="305"/>
      <c r="X288" s="305"/>
      <c r="Y288" s="305"/>
      <c r="Z288" s="305"/>
      <c r="AA288" s="305"/>
      <c r="AB288" s="305"/>
      <c r="AC288" s="307"/>
    </row>
    <row r="289" ht="13.5" customHeight="1">
      <c r="A289" s="312"/>
      <c r="B289" s="301"/>
      <c r="C289" s="301"/>
      <c r="D289" s="301"/>
      <c r="E289" s="301"/>
      <c r="F289" s="301"/>
      <c r="G289" s="301"/>
      <c r="H289" s="301"/>
      <c r="I289" s="301"/>
      <c r="J289" s="301"/>
      <c r="K289" s="301"/>
      <c r="L289" s="302"/>
      <c r="M289" s="302"/>
      <c r="N289" s="302"/>
      <c r="O289" s="302"/>
      <c r="P289" s="302"/>
      <c r="Q289" s="302"/>
      <c r="R289" s="302"/>
      <c r="S289" s="302"/>
      <c r="T289" s="302"/>
      <c r="U289" s="302"/>
      <c r="V289" s="302"/>
      <c r="W289" s="302"/>
      <c r="X289" s="302"/>
      <c r="Y289" s="302"/>
      <c r="Z289" s="302"/>
      <c r="AA289" s="302"/>
      <c r="AB289" s="302"/>
      <c r="AC289" s="303"/>
    </row>
    <row r="290" ht="13.5" customHeight="1">
      <c r="A290" s="326"/>
      <c r="B290" s="15"/>
      <c r="C290" s="7"/>
      <c r="D290" s="9"/>
      <c r="E290" s="13"/>
      <c r="F290" s="13"/>
      <c r="G290" s="308"/>
      <c r="H290" s="308"/>
      <c r="I290" s="7"/>
      <c r="J290" s="9"/>
      <c r="K290" s="7"/>
      <c r="L290" s="305"/>
      <c r="M290" s="305"/>
      <c r="N290" s="305"/>
      <c r="O290" s="305"/>
      <c r="P290" s="305"/>
      <c r="Q290" s="305"/>
      <c r="R290" s="305"/>
      <c r="S290" s="305"/>
      <c r="T290" s="305"/>
      <c r="U290" s="305"/>
      <c r="V290" s="305"/>
      <c r="W290" s="305"/>
      <c r="X290" s="305"/>
      <c r="Y290" s="305"/>
      <c r="Z290" s="305"/>
      <c r="AA290" s="305"/>
      <c r="AB290" s="305"/>
      <c r="AC290" s="307"/>
    </row>
    <row r="291" ht="13.5" customHeight="1">
      <c r="A291" s="312"/>
      <c r="B291" s="301"/>
      <c r="C291" s="301"/>
      <c r="D291" s="301"/>
      <c r="E291" s="301"/>
      <c r="F291" s="301"/>
      <c r="G291" s="301"/>
      <c r="H291" s="301"/>
      <c r="I291" s="301"/>
      <c r="J291" s="301"/>
      <c r="K291" s="301"/>
      <c r="L291" s="302"/>
      <c r="M291" s="302"/>
      <c r="N291" s="302"/>
      <c r="O291" s="302"/>
      <c r="P291" s="302"/>
      <c r="Q291" s="302"/>
      <c r="R291" s="302"/>
      <c r="S291" s="302"/>
      <c r="T291" s="302"/>
      <c r="U291" s="302"/>
      <c r="V291" s="302"/>
      <c r="W291" s="302"/>
      <c r="X291" s="302"/>
      <c r="Y291" s="302"/>
      <c r="Z291" s="302"/>
      <c r="AA291" s="302"/>
      <c r="AB291" s="302"/>
      <c r="AC291" s="303"/>
    </row>
    <row r="292" ht="13.5" customHeight="1">
      <c r="A292" s="326"/>
      <c r="B292" s="15"/>
      <c r="C292" s="7"/>
      <c r="D292" s="9"/>
      <c r="E292" s="13"/>
      <c r="F292" s="13"/>
      <c r="G292" s="308"/>
      <c r="H292" s="308"/>
      <c r="I292" s="7"/>
      <c r="J292" s="9"/>
      <c r="K292" s="7"/>
      <c r="L292" s="305"/>
      <c r="M292" s="305"/>
      <c r="N292" s="305"/>
      <c r="O292" s="305"/>
      <c r="P292" s="305"/>
      <c r="Q292" s="305"/>
      <c r="R292" s="305"/>
      <c r="S292" s="305"/>
      <c r="T292" s="305"/>
      <c r="U292" s="305"/>
      <c r="V292" s="305"/>
      <c r="W292" s="305"/>
      <c r="X292" s="305"/>
      <c r="Y292" s="305"/>
      <c r="Z292" s="305"/>
      <c r="AA292" s="305"/>
      <c r="AB292" s="305"/>
      <c r="AC292" s="307"/>
    </row>
    <row r="293" ht="13.5" customHeight="1">
      <c r="A293" s="312"/>
      <c r="B293" s="301"/>
      <c r="C293" s="301"/>
      <c r="D293" s="301"/>
      <c r="E293" s="301"/>
      <c r="F293" s="301"/>
      <c r="G293" s="301"/>
      <c r="H293" s="301"/>
      <c r="I293" s="301"/>
      <c r="J293" s="301"/>
      <c r="K293" s="301"/>
      <c r="L293" s="302"/>
      <c r="M293" s="302"/>
      <c r="N293" s="302"/>
      <c r="O293" s="302"/>
      <c r="P293" s="302"/>
      <c r="Q293" s="302"/>
      <c r="R293" s="302"/>
      <c r="S293" s="302"/>
      <c r="T293" s="302"/>
      <c r="U293" s="302"/>
      <c r="V293" s="302"/>
      <c r="W293" s="302"/>
      <c r="X293" s="302"/>
      <c r="Y293" s="302"/>
      <c r="Z293" s="302"/>
      <c r="AA293" s="302"/>
      <c r="AB293" s="302"/>
      <c r="AC293" s="303"/>
    </row>
    <row r="294" ht="13.5" customHeight="1">
      <c r="A294" s="326"/>
      <c r="B294" s="15"/>
      <c r="C294" s="7"/>
      <c r="D294" s="9"/>
      <c r="E294" s="13"/>
      <c r="F294" s="13"/>
      <c r="G294" s="308"/>
      <c r="H294" s="308"/>
      <c r="I294" s="7"/>
      <c r="J294" s="9"/>
      <c r="K294" s="7"/>
      <c r="L294" s="305"/>
      <c r="M294" s="305"/>
      <c r="N294" s="305"/>
      <c r="O294" s="305"/>
      <c r="P294" s="305"/>
      <c r="Q294" s="305"/>
      <c r="R294" s="305"/>
      <c r="S294" s="305"/>
      <c r="T294" s="305"/>
      <c r="U294" s="305"/>
      <c r="V294" s="305"/>
      <c r="W294" s="305"/>
      <c r="X294" s="305"/>
      <c r="Y294" s="305"/>
      <c r="Z294" s="305"/>
      <c r="AA294" s="305"/>
      <c r="AB294" s="305"/>
      <c r="AC294" s="307"/>
    </row>
    <row r="295" ht="13.5" customHeight="1">
      <c r="A295" s="312"/>
      <c r="B295" s="301"/>
      <c r="C295" s="301"/>
      <c r="D295" s="301"/>
      <c r="E295" s="301"/>
      <c r="F295" s="301"/>
      <c r="G295" s="301"/>
      <c r="H295" s="301"/>
      <c r="I295" s="301"/>
      <c r="J295" s="301"/>
      <c r="K295" s="301"/>
      <c r="L295" s="302"/>
      <c r="M295" s="302"/>
      <c r="N295" s="302"/>
      <c r="O295" s="302"/>
      <c r="P295" s="302"/>
      <c r="Q295" s="302"/>
      <c r="R295" s="302"/>
      <c r="S295" s="302"/>
      <c r="T295" s="302"/>
      <c r="U295" s="302"/>
      <c r="V295" s="302"/>
      <c r="W295" s="302"/>
      <c r="X295" s="302"/>
      <c r="Y295" s="302"/>
      <c r="Z295" s="302"/>
      <c r="AA295" s="302"/>
      <c r="AB295" s="302"/>
      <c r="AC295" s="303"/>
    </row>
    <row r="296" ht="13.5" customHeight="1">
      <c r="A296" s="326"/>
      <c r="B296" s="15"/>
      <c r="C296" s="7"/>
      <c r="D296" s="9"/>
      <c r="E296" s="13"/>
      <c r="F296" s="13"/>
      <c r="G296" s="308"/>
      <c r="H296" s="308"/>
      <c r="I296" s="7"/>
      <c r="J296" s="9"/>
      <c r="K296" s="7"/>
      <c r="L296" s="305"/>
      <c r="M296" s="305"/>
      <c r="N296" s="305"/>
      <c r="O296" s="305"/>
      <c r="P296" s="305"/>
      <c r="Q296" s="305"/>
      <c r="R296" s="305"/>
      <c r="S296" s="305"/>
      <c r="T296" s="305"/>
      <c r="U296" s="305"/>
      <c r="V296" s="305"/>
      <c r="W296" s="305"/>
      <c r="X296" s="305"/>
      <c r="Y296" s="305"/>
      <c r="Z296" s="305"/>
      <c r="AA296" s="305"/>
      <c r="AB296" s="305"/>
      <c r="AC296" s="307"/>
    </row>
    <row r="297" ht="13.5" customHeight="1">
      <c r="A297" s="312"/>
      <c r="B297" s="301"/>
      <c r="C297" s="301"/>
      <c r="D297" s="301"/>
      <c r="E297" s="301"/>
      <c r="F297" s="301"/>
      <c r="G297" s="301"/>
      <c r="H297" s="301"/>
      <c r="I297" s="301"/>
      <c r="J297" s="301"/>
      <c r="K297" s="301"/>
      <c r="L297" s="302"/>
      <c r="M297" s="302"/>
      <c r="N297" s="302"/>
      <c r="O297" s="302"/>
      <c r="P297" s="302"/>
      <c r="Q297" s="302"/>
      <c r="R297" s="302"/>
      <c r="S297" s="302"/>
      <c r="T297" s="302"/>
      <c r="U297" s="302"/>
      <c r="V297" s="302"/>
      <c r="W297" s="302"/>
      <c r="X297" s="302"/>
      <c r="Y297" s="302"/>
      <c r="Z297" s="302"/>
      <c r="AA297" s="302"/>
      <c r="AB297" s="302"/>
      <c r="AC297" s="303"/>
    </row>
    <row r="298" ht="13.5" customHeight="1">
      <c r="A298" s="326"/>
      <c r="B298" s="15"/>
      <c r="C298" s="7"/>
      <c r="D298" s="9"/>
      <c r="E298" s="13"/>
      <c r="F298" s="13"/>
      <c r="G298" s="308"/>
      <c r="H298" s="308"/>
      <c r="I298" s="7"/>
      <c r="J298" s="9"/>
      <c r="K298" s="7"/>
      <c r="L298" s="305"/>
      <c r="M298" s="305"/>
      <c r="N298" s="305"/>
      <c r="O298" s="305"/>
      <c r="P298" s="305"/>
      <c r="Q298" s="305"/>
      <c r="R298" s="305"/>
      <c r="S298" s="305"/>
      <c r="T298" s="305"/>
      <c r="U298" s="305"/>
      <c r="V298" s="305"/>
      <c r="W298" s="305"/>
      <c r="X298" s="305"/>
      <c r="Y298" s="305"/>
      <c r="Z298" s="305"/>
      <c r="AA298" s="305"/>
      <c r="AB298" s="305"/>
      <c r="AC298" s="307"/>
    </row>
    <row r="299" ht="13.5" customHeight="1">
      <c r="A299" s="312"/>
      <c r="B299" s="301"/>
      <c r="C299" s="301"/>
      <c r="D299" s="301"/>
      <c r="E299" s="301"/>
      <c r="F299" s="301"/>
      <c r="G299" s="301"/>
      <c r="H299" s="301"/>
      <c r="I299" s="301"/>
      <c r="J299" s="301"/>
      <c r="K299" s="301"/>
      <c r="L299" s="302"/>
      <c r="M299" s="302"/>
      <c r="N299" s="302"/>
      <c r="O299" s="302"/>
      <c r="P299" s="302"/>
      <c r="Q299" s="302"/>
      <c r="R299" s="302"/>
      <c r="S299" s="302"/>
      <c r="T299" s="302"/>
      <c r="U299" s="302"/>
      <c r="V299" s="302"/>
      <c r="W299" s="302"/>
      <c r="X299" s="302"/>
      <c r="Y299" s="302"/>
      <c r="Z299" s="302"/>
      <c r="AA299" s="302"/>
      <c r="AB299" s="302"/>
      <c r="AC299" s="303"/>
    </row>
    <row r="300" ht="13.5" customHeight="1">
      <c r="A300" s="326"/>
      <c r="B300" s="15"/>
      <c r="C300" s="7"/>
      <c r="D300" s="9"/>
      <c r="E300" s="13"/>
      <c r="F300" s="13"/>
      <c r="G300" s="308"/>
      <c r="H300" s="308"/>
      <c r="I300" s="7"/>
      <c r="J300" s="9"/>
      <c r="K300" s="7"/>
      <c r="L300" s="305"/>
      <c r="M300" s="305"/>
      <c r="N300" s="305"/>
      <c r="O300" s="305"/>
      <c r="P300" s="305"/>
      <c r="Q300" s="305"/>
      <c r="R300" s="305"/>
      <c r="S300" s="305"/>
      <c r="T300" s="305"/>
      <c r="U300" s="305"/>
      <c r="V300" s="305"/>
      <c r="W300" s="305"/>
      <c r="X300" s="305"/>
      <c r="Y300" s="305"/>
      <c r="Z300" s="305"/>
      <c r="AA300" s="305"/>
      <c r="AB300" s="305"/>
      <c r="AC300" s="307"/>
    </row>
    <row r="301" ht="13.5" customHeight="1">
      <c r="A301" s="312"/>
      <c r="B301" s="301"/>
      <c r="C301" s="301"/>
      <c r="D301" s="301"/>
      <c r="E301" s="301"/>
      <c r="F301" s="301"/>
      <c r="G301" s="301"/>
      <c r="H301" s="301"/>
      <c r="I301" s="301"/>
      <c r="J301" s="301"/>
      <c r="K301" s="301"/>
      <c r="L301" s="302"/>
      <c r="M301" s="302"/>
      <c r="N301" s="302"/>
      <c r="O301" s="302"/>
      <c r="P301" s="302"/>
      <c r="Q301" s="302"/>
      <c r="R301" s="302"/>
      <c r="S301" s="302"/>
      <c r="T301" s="302"/>
      <c r="U301" s="302"/>
      <c r="V301" s="302"/>
      <c r="W301" s="302"/>
      <c r="X301" s="302"/>
      <c r="Y301" s="302"/>
      <c r="Z301" s="302"/>
      <c r="AA301" s="302"/>
      <c r="AB301" s="302"/>
      <c r="AC301" s="303"/>
    </row>
    <row r="302" ht="13.5" customHeight="1">
      <c r="A302" s="326"/>
      <c r="B302" s="15"/>
      <c r="C302" s="7"/>
      <c r="D302" s="9"/>
      <c r="E302" s="13"/>
      <c r="F302" s="13"/>
      <c r="G302" s="308"/>
      <c r="H302" s="308"/>
      <c r="I302" s="7"/>
      <c r="J302" s="9"/>
      <c r="K302" s="7"/>
      <c r="L302" s="305"/>
      <c r="M302" s="305"/>
      <c r="N302" s="305"/>
      <c r="O302" s="305"/>
      <c r="P302" s="305"/>
      <c r="Q302" s="305"/>
      <c r="R302" s="305"/>
      <c r="S302" s="305"/>
      <c r="T302" s="305"/>
      <c r="U302" s="305"/>
      <c r="V302" s="305"/>
      <c r="W302" s="305"/>
      <c r="X302" s="305"/>
      <c r="Y302" s="305"/>
      <c r="Z302" s="305"/>
      <c r="AA302" s="305"/>
      <c r="AB302" s="305"/>
      <c r="AC302" s="307"/>
    </row>
    <row r="303" ht="13.5" customHeight="1">
      <c r="A303" s="312"/>
      <c r="B303" s="301"/>
      <c r="C303" s="301"/>
      <c r="D303" s="301"/>
      <c r="E303" s="301"/>
      <c r="F303" s="301"/>
      <c r="G303" s="301"/>
      <c r="H303" s="301"/>
      <c r="I303" s="301"/>
      <c r="J303" s="301"/>
      <c r="K303" s="301"/>
      <c r="L303" s="302"/>
      <c r="M303" s="302"/>
      <c r="N303" s="302"/>
      <c r="O303" s="302"/>
      <c r="P303" s="302"/>
      <c r="Q303" s="302"/>
      <c r="R303" s="302"/>
      <c r="S303" s="302"/>
      <c r="T303" s="302"/>
      <c r="U303" s="302"/>
      <c r="V303" s="302"/>
      <c r="W303" s="302"/>
      <c r="X303" s="302"/>
      <c r="Y303" s="302"/>
      <c r="Z303" s="302"/>
      <c r="AA303" s="302"/>
      <c r="AB303" s="302"/>
      <c r="AC303" s="303"/>
    </row>
    <row r="304" ht="13.5" customHeight="1">
      <c r="A304" s="326"/>
      <c r="B304" s="15"/>
      <c r="C304" s="7"/>
      <c r="D304" s="9"/>
      <c r="E304" s="13"/>
      <c r="F304" s="13"/>
      <c r="G304" s="308"/>
      <c r="H304" s="308"/>
      <c r="I304" s="7"/>
      <c r="J304" s="9"/>
      <c r="K304" s="7"/>
      <c r="L304" s="305"/>
      <c r="M304" s="305"/>
      <c r="N304" s="305"/>
      <c r="O304" s="305"/>
      <c r="P304" s="305"/>
      <c r="Q304" s="305"/>
      <c r="R304" s="305"/>
      <c r="S304" s="305"/>
      <c r="T304" s="305"/>
      <c r="U304" s="305"/>
      <c r="V304" s="305"/>
      <c r="W304" s="305"/>
      <c r="X304" s="305"/>
      <c r="Y304" s="305"/>
      <c r="Z304" s="305"/>
      <c r="AA304" s="305"/>
      <c r="AB304" s="305"/>
      <c r="AC304" s="307"/>
    </row>
    <row r="305" ht="13.5" customHeight="1">
      <c r="A305" s="312"/>
      <c r="B305" s="301"/>
      <c r="C305" s="301"/>
      <c r="D305" s="301"/>
      <c r="E305" s="301"/>
      <c r="F305" s="301"/>
      <c r="G305" s="301"/>
      <c r="H305" s="301"/>
      <c r="I305" s="301"/>
      <c r="J305" s="301"/>
      <c r="K305" s="301"/>
      <c r="L305" s="302"/>
      <c r="M305" s="302"/>
      <c r="N305" s="302"/>
      <c r="O305" s="302"/>
      <c r="P305" s="302"/>
      <c r="Q305" s="302"/>
      <c r="R305" s="302"/>
      <c r="S305" s="302"/>
      <c r="T305" s="302"/>
      <c r="U305" s="302"/>
      <c r="V305" s="302"/>
      <c r="W305" s="302"/>
      <c r="X305" s="302"/>
      <c r="Y305" s="302"/>
      <c r="Z305" s="302"/>
      <c r="AA305" s="302"/>
      <c r="AB305" s="302"/>
      <c r="AC305" s="303"/>
    </row>
    <row r="306" ht="13.5" customHeight="1">
      <c r="A306" s="326"/>
      <c r="B306" s="15"/>
      <c r="C306" s="7"/>
      <c r="D306" s="9"/>
      <c r="E306" s="13"/>
      <c r="F306" s="13"/>
      <c r="G306" s="308"/>
      <c r="H306" s="308"/>
      <c r="I306" s="7"/>
      <c r="J306" s="9"/>
      <c r="K306" s="7"/>
      <c r="L306" s="305"/>
      <c r="M306" s="305"/>
      <c r="N306" s="305"/>
      <c r="O306" s="305"/>
      <c r="P306" s="305"/>
      <c r="Q306" s="305"/>
      <c r="R306" s="305"/>
      <c r="S306" s="305"/>
      <c r="T306" s="305"/>
      <c r="U306" s="305"/>
      <c r="V306" s="305"/>
      <c r="W306" s="305"/>
      <c r="X306" s="305"/>
      <c r="Y306" s="305"/>
      <c r="Z306" s="305"/>
      <c r="AA306" s="305"/>
      <c r="AB306" s="305"/>
      <c r="AC306" s="307"/>
    </row>
    <row r="307" ht="13.5" customHeight="1">
      <c r="A307" s="312"/>
      <c r="B307" s="301"/>
      <c r="C307" s="301"/>
      <c r="D307" s="301"/>
      <c r="E307" s="301"/>
      <c r="F307" s="301"/>
      <c r="G307" s="301"/>
      <c r="H307" s="301"/>
      <c r="I307" s="301"/>
      <c r="J307" s="301"/>
      <c r="K307" s="301"/>
      <c r="L307" s="302"/>
      <c r="M307" s="302"/>
      <c r="N307" s="302"/>
      <c r="O307" s="302"/>
      <c r="P307" s="302"/>
      <c r="Q307" s="302"/>
      <c r="R307" s="302"/>
      <c r="S307" s="302"/>
      <c r="T307" s="302"/>
      <c r="U307" s="302"/>
      <c r="V307" s="302"/>
      <c r="W307" s="302"/>
      <c r="X307" s="302"/>
      <c r="Y307" s="302"/>
      <c r="Z307" s="302"/>
      <c r="AA307" s="302"/>
      <c r="AB307" s="302"/>
      <c r="AC307" s="303"/>
    </row>
    <row r="308" ht="13.5" customHeight="1">
      <c r="A308" s="326"/>
      <c r="B308" s="15"/>
      <c r="C308" s="7"/>
      <c r="D308" s="9"/>
      <c r="E308" s="13"/>
      <c r="F308" s="13"/>
      <c r="G308" s="308"/>
      <c r="H308" s="308"/>
      <c r="I308" s="7"/>
      <c r="J308" s="9"/>
      <c r="K308" s="7"/>
      <c r="L308" s="305"/>
      <c r="M308" s="305"/>
      <c r="N308" s="305"/>
      <c r="O308" s="305"/>
      <c r="P308" s="305"/>
      <c r="Q308" s="305"/>
      <c r="R308" s="305"/>
      <c r="S308" s="305"/>
      <c r="T308" s="305"/>
      <c r="U308" s="305"/>
      <c r="V308" s="305"/>
      <c r="W308" s="305"/>
      <c r="X308" s="305"/>
      <c r="Y308" s="305"/>
      <c r="Z308" s="305"/>
      <c r="AA308" s="305"/>
      <c r="AB308" s="305"/>
      <c r="AC308" s="307"/>
    </row>
    <row r="309" ht="13.5" customHeight="1">
      <c r="A309" s="312"/>
      <c r="B309" s="301"/>
      <c r="C309" s="301"/>
      <c r="D309" s="301"/>
      <c r="E309" s="301"/>
      <c r="F309" s="301"/>
      <c r="G309" s="301"/>
      <c r="H309" s="301"/>
      <c r="I309" s="301"/>
      <c r="J309" s="301"/>
      <c r="K309" s="301"/>
      <c r="L309" s="302"/>
      <c r="M309" s="302"/>
      <c r="N309" s="302"/>
      <c r="O309" s="302"/>
      <c r="P309" s="302"/>
      <c r="Q309" s="302"/>
      <c r="R309" s="302"/>
      <c r="S309" s="302"/>
      <c r="T309" s="302"/>
      <c r="U309" s="302"/>
      <c r="V309" s="302"/>
      <c r="W309" s="302"/>
      <c r="X309" s="302"/>
      <c r="Y309" s="302"/>
      <c r="Z309" s="302"/>
      <c r="AA309" s="302"/>
      <c r="AB309" s="302"/>
      <c r="AC309" s="303"/>
    </row>
    <row r="310" ht="13.5" customHeight="1">
      <c r="A310" s="326"/>
      <c r="B310" s="15"/>
      <c r="C310" s="7"/>
      <c r="D310" s="9"/>
      <c r="E310" s="13"/>
      <c r="F310" s="13"/>
      <c r="G310" s="308"/>
      <c r="H310" s="308"/>
      <c r="I310" s="7"/>
      <c r="J310" s="9"/>
      <c r="K310" s="7"/>
      <c r="L310" s="305"/>
      <c r="M310" s="305"/>
      <c r="N310" s="305"/>
      <c r="O310" s="305"/>
      <c r="P310" s="305"/>
      <c r="Q310" s="305"/>
      <c r="R310" s="305"/>
      <c r="S310" s="305"/>
      <c r="T310" s="305"/>
      <c r="U310" s="305"/>
      <c r="V310" s="305"/>
      <c r="W310" s="305"/>
      <c r="X310" s="305"/>
      <c r="Y310" s="305"/>
      <c r="Z310" s="305"/>
      <c r="AA310" s="305"/>
      <c r="AB310" s="305"/>
      <c r="AC310" s="307"/>
    </row>
    <row r="311" ht="13.5" customHeight="1">
      <c r="A311" s="312"/>
      <c r="B311" s="301"/>
      <c r="C311" s="301"/>
      <c r="D311" s="301"/>
      <c r="E311" s="301"/>
      <c r="F311" s="301"/>
      <c r="G311" s="301"/>
      <c r="H311" s="301"/>
      <c r="I311" s="301"/>
      <c r="J311" s="301"/>
      <c r="K311" s="301"/>
      <c r="L311" s="302"/>
      <c r="M311" s="302"/>
      <c r="N311" s="302"/>
      <c r="O311" s="302"/>
      <c r="P311" s="302"/>
      <c r="Q311" s="302"/>
      <c r="R311" s="302"/>
      <c r="S311" s="302"/>
      <c r="T311" s="302"/>
      <c r="U311" s="302"/>
      <c r="V311" s="302"/>
      <c r="W311" s="302"/>
      <c r="X311" s="302"/>
      <c r="Y311" s="302"/>
      <c r="Z311" s="302"/>
      <c r="AA311" s="302"/>
      <c r="AB311" s="302"/>
      <c r="AC311" s="303"/>
    </row>
    <row r="312" ht="13.5" customHeight="1">
      <c r="A312" s="326"/>
      <c r="B312" s="15"/>
      <c r="C312" s="7"/>
      <c r="D312" s="9"/>
      <c r="E312" s="13"/>
      <c r="F312" s="13"/>
      <c r="G312" s="308"/>
      <c r="H312" s="308"/>
      <c r="I312" s="7"/>
      <c r="J312" s="9"/>
      <c r="K312" s="7"/>
      <c r="L312" s="305"/>
      <c r="M312" s="305"/>
      <c r="N312" s="305"/>
      <c r="O312" s="305"/>
      <c r="P312" s="305"/>
      <c r="Q312" s="305"/>
      <c r="R312" s="305"/>
      <c r="S312" s="305"/>
      <c r="T312" s="305"/>
      <c r="U312" s="305"/>
      <c r="V312" s="305"/>
      <c r="W312" s="305"/>
      <c r="X312" s="305"/>
      <c r="Y312" s="305"/>
      <c r="Z312" s="305"/>
      <c r="AA312" s="305"/>
      <c r="AB312" s="305"/>
      <c r="AC312" s="307"/>
    </row>
    <row r="313" ht="13.5" customHeight="1">
      <c r="A313" s="312"/>
      <c r="B313" s="301"/>
      <c r="C313" s="301"/>
      <c r="D313" s="301"/>
      <c r="E313" s="301"/>
      <c r="F313" s="301"/>
      <c r="G313" s="301"/>
      <c r="H313" s="301"/>
      <c r="I313" s="301"/>
      <c r="J313" s="301"/>
      <c r="K313" s="301"/>
      <c r="L313" s="302"/>
      <c r="M313" s="302"/>
      <c r="N313" s="302"/>
      <c r="O313" s="302"/>
      <c r="P313" s="302"/>
      <c r="Q313" s="302"/>
      <c r="R313" s="302"/>
      <c r="S313" s="302"/>
      <c r="T313" s="302"/>
      <c r="U313" s="302"/>
      <c r="V313" s="302"/>
      <c r="W313" s="302"/>
      <c r="X313" s="302"/>
      <c r="Y313" s="302"/>
      <c r="Z313" s="302"/>
      <c r="AA313" s="302"/>
      <c r="AB313" s="302"/>
      <c r="AC313" s="303"/>
    </row>
    <row r="314" ht="13.5" customHeight="1">
      <c r="A314" s="326"/>
      <c r="B314" s="15"/>
      <c r="C314" s="7"/>
      <c r="D314" s="9"/>
      <c r="E314" s="13"/>
      <c r="F314" s="13"/>
      <c r="G314" s="308"/>
      <c r="H314" s="308"/>
      <c r="I314" s="7"/>
      <c r="J314" s="9"/>
      <c r="K314" s="7"/>
      <c r="L314" s="305"/>
      <c r="M314" s="305"/>
      <c r="N314" s="305"/>
      <c r="O314" s="305"/>
      <c r="P314" s="305"/>
      <c r="Q314" s="305"/>
      <c r="R314" s="305"/>
      <c r="S314" s="305"/>
      <c r="T314" s="305"/>
      <c r="U314" s="305"/>
      <c r="V314" s="305"/>
      <c r="W314" s="305"/>
      <c r="X314" s="305"/>
      <c r="Y314" s="305"/>
      <c r="Z314" s="305"/>
      <c r="AA314" s="305"/>
      <c r="AB314" s="305"/>
      <c r="AC314" s="307"/>
    </row>
    <row r="315" ht="13.5" customHeight="1">
      <c r="A315" s="312"/>
      <c r="B315" s="301"/>
      <c r="C315" s="301"/>
      <c r="D315" s="301"/>
      <c r="E315" s="301"/>
      <c r="F315" s="301"/>
      <c r="G315" s="301"/>
      <c r="H315" s="301"/>
      <c r="I315" s="301"/>
      <c r="J315" s="301"/>
      <c r="K315" s="301"/>
      <c r="L315" s="302"/>
      <c r="M315" s="302"/>
      <c r="N315" s="302"/>
      <c r="O315" s="302"/>
      <c r="P315" s="302"/>
      <c r="Q315" s="302"/>
      <c r="R315" s="302"/>
      <c r="S315" s="302"/>
      <c r="T315" s="302"/>
      <c r="U315" s="302"/>
      <c r="V315" s="302"/>
      <c r="W315" s="302"/>
      <c r="X315" s="302"/>
      <c r="Y315" s="302"/>
      <c r="Z315" s="302"/>
      <c r="AA315" s="302"/>
      <c r="AB315" s="302"/>
      <c r="AC315" s="303"/>
    </row>
    <row r="316" ht="13.5" customHeight="1">
      <c r="A316" s="326"/>
      <c r="B316" s="15"/>
      <c r="C316" s="7"/>
      <c r="D316" s="9"/>
      <c r="E316" s="13"/>
      <c r="F316" s="13"/>
      <c r="G316" s="308"/>
      <c r="H316" s="308"/>
      <c r="I316" s="7"/>
      <c r="J316" s="9"/>
      <c r="K316" s="7"/>
      <c r="L316" s="305"/>
      <c r="M316" s="305"/>
      <c r="N316" s="305"/>
      <c r="O316" s="305"/>
      <c r="P316" s="305"/>
      <c r="Q316" s="305"/>
      <c r="R316" s="305"/>
      <c r="S316" s="305"/>
      <c r="T316" s="305"/>
      <c r="U316" s="305"/>
      <c r="V316" s="305"/>
      <c r="W316" s="305"/>
      <c r="X316" s="305"/>
      <c r="Y316" s="305"/>
      <c r="Z316" s="305"/>
      <c r="AA316" s="305"/>
      <c r="AB316" s="305"/>
      <c r="AC316" s="307"/>
    </row>
    <row r="317" ht="13.5" customHeight="1">
      <c r="A317" s="312"/>
      <c r="B317" s="301"/>
      <c r="C317" s="301"/>
      <c r="D317" s="301"/>
      <c r="E317" s="301"/>
      <c r="F317" s="301"/>
      <c r="G317" s="301"/>
      <c r="H317" s="301"/>
      <c r="I317" s="301"/>
      <c r="J317" s="301"/>
      <c r="K317" s="301"/>
      <c r="L317" s="302"/>
      <c r="M317" s="302"/>
      <c r="N317" s="302"/>
      <c r="O317" s="302"/>
      <c r="P317" s="302"/>
      <c r="Q317" s="302"/>
      <c r="R317" s="302"/>
      <c r="S317" s="302"/>
      <c r="T317" s="302"/>
      <c r="U317" s="302"/>
      <c r="V317" s="302"/>
      <c r="W317" s="302"/>
      <c r="X317" s="302"/>
      <c r="Y317" s="302"/>
      <c r="Z317" s="302"/>
      <c r="AA317" s="302"/>
      <c r="AB317" s="302"/>
      <c r="AC317" s="303"/>
    </row>
    <row r="318" ht="13.5" customHeight="1">
      <c r="A318" s="326"/>
      <c r="B318" s="15"/>
      <c r="C318" s="7"/>
      <c r="D318" s="9"/>
      <c r="E318" s="13"/>
      <c r="F318" s="13"/>
      <c r="G318" s="308"/>
      <c r="H318" s="308"/>
      <c r="I318" s="7"/>
      <c r="J318" s="9"/>
      <c r="K318" s="7"/>
      <c r="L318" s="305"/>
      <c r="M318" s="305"/>
      <c r="N318" s="305"/>
      <c r="O318" s="305"/>
      <c r="P318" s="305"/>
      <c r="Q318" s="305"/>
      <c r="R318" s="305"/>
      <c r="S318" s="305"/>
      <c r="T318" s="305"/>
      <c r="U318" s="305"/>
      <c r="V318" s="305"/>
      <c r="W318" s="305"/>
      <c r="X318" s="305"/>
      <c r="Y318" s="305"/>
      <c r="Z318" s="305"/>
      <c r="AA318" s="305"/>
      <c r="AB318" s="305"/>
      <c r="AC318" s="307"/>
    </row>
    <row r="319" ht="13.5" customHeight="1">
      <c r="A319" s="312"/>
      <c r="B319" s="301"/>
      <c r="C319" s="301"/>
      <c r="D319" s="301"/>
      <c r="E319" s="301"/>
      <c r="F319" s="301"/>
      <c r="G319" s="301"/>
      <c r="H319" s="301"/>
      <c r="I319" s="301"/>
      <c r="J319" s="301"/>
      <c r="K319" s="301"/>
      <c r="L319" s="302"/>
      <c r="M319" s="302"/>
      <c r="N319" s="302"/>
      <c r="O319" s="302"/>
      <c r="P319" s="302"/>
      <c r="Q319" s="302"/>
      <c r="R319" s="302"/>
      <c r="S319" s="302"/>
      <c r="T319" s="302"/>
      <c r="U319" s="302"/>
      <c r="V319" s="302"/>
      <c r="W319" s="302"/>
      <c r="X319" s="302"/>
      <c r="Y319" s="302"/>
      <c r="Z319" s="302"/>
      <c r="AA319" s="302"/>
      <c r="AB319" s="302"/>
      <c r="AC319" s="303"/>
    </row>
    <row r="320" ht="13.5" customHeight="1">
      <c r="A320" s="326"/>
      <c r="B320" s="15"/>
      <c r="C320" s="7"/>
      <c r="D320" s="9"/>
      <c r="E320" s="13"/>
      <c r="F320" s="13"/>
      <c r="G320" s="308"/>
      <c r="H320" s="308"/>
      <c r="I320" s="7"/>
      <c r="J320" s="9"/>
      <c r="K320" s="7"/>
      <c r="L320" s="305"/>
      <c r="M320" s="305"/>
      <c r="N320" s="305"/>
      <c r="O320" s="305"/>
      <c r="P320" s="305"/>
      <c r="Q320" s="305"/>
      <c r="R320" s="305"/>
      <c r="S320" s="305"/>
      <c r="T320" s="305"/>
      <c r="U320" s="305"/>
      <c r="V320" s="305"/>
      <c r="W320" s="305"/>
      <c r="X320" s="305"/>
      <c r="Y320" s="305"/>
      <c r="Z320" s="305"/>
      <c r="AA320" s="305"/>
      <c r="AB320" s="305"/>
      <c r="AC320" s="307"/>
    </row>
    <row r="321" ht="13.5" customHeight="1">
      <c r="A321" s="312"/>
      <c r="B321" s="301"/>
      <c r="C321" s="301"/>
      <c r="D321" s="301"/>
      <c r="E321" s="301"/>
      <c r="F321" s="301"/>
      <c r="G321" s="301"/>
      <c r="H321" s="301"/>
      <c r="I321" s="301"/>
      <c r="J321" s="301"/>
      <c r="K321" s="301"/>
      <c r="L321" s="302"/>
      <c r="M321" s="302"/>
      <c r="N321" s="302"/>
      <c r="O321" s="302"/>
      <c r="P321" s="302"/>
      <c r="Q321" s="302"/>
      <c r="R321" s="302"/>
      <c r="S321" s="302"/>
      <c r="T321" s="302"/>
      <c r="U321" s="302"/>
      <c r="V321" s="302"/>
      <c r="W321" s="302"/>
      <c r="X321" s="302"/>
      <c r="Y321" s="302"/>
      <c r="Z321" s="302"/>
      <c r="AA321" s="302"/>
      <c r="AB321" s="302"/>
      <c r="AC321" s="303"/>
    </row>
    <row r="322" ht="13.5" customHeight="1">
      <c r="A322" s="326"/>
      <c r="B322" s="15"/>
      <c r="C322" s="7"/>
      <c r="D322" s="9"/>
      <c r="E322" s="13"/>
      <c r="F322" s="13"/>
      <c r="G322" s="308"/>
      <c r="H322" s="308"/>
      <c r="I322" s="7"/>
      <c r="J322" s="9"/>
      <c r="K322" s="7"/>
      <c r="L322" s="305"/>
      <c r="M322" s="305"/>
      <c r="N322" s="305"/>
      <c r="O322" s="305"/>
      <c r="P322" s="305"/>
      <c r="Q322" s="305"/>
      <c r="R322" s="305"/>
      <c r="S322" s="305"/>
      <c r="T322" s="305"/>
      <c r="U322" s="305"/>
      <c r="V322" s="305"/>
      <c r="W322" s="305"/>
      <c r="X322" s="305"/>
      <c r="Y322" s="305"/>
      <c r="Z322" s="305"/>
      <c r="AA322" s="305"/>
      <c r="AB322" s="305"/>
      <c r="AC322" s="307"/>
    </row>
    <row r="323" ht="13.5" customHeight="1">
      <c r="A323" s="312"/>
      <c r="B323" s="301"/>
      <c r="C323" s="301"/>
      <c r="D323" s="301"/>
      <c r="E323" s="301"/>
      <c r="F323" s="301"/>
      <c r="G323" s="301"/>
      <c r="H323" s="301"/>
      <c r="I323" s="301"/>
      <c r="J323" s="301"/>
      <c r="K323" s="301"/>
      <c r="L323" s="302"/>
      <c r="M323" s="302"/>
      <c r="N323" s="302"/>
      <c r="O323" s="302"/>
      <c r="P323" s="302"/>
      <c r="Q323" s="302"/>
      <c r="R323" s="302"/>
      <c r="S323" s="302"/>
      <c r="T323" s="302"/>
      <c r="U323" s="302"/>
      <c r="V323" s="302"/>
      <c r="W323" s="302"/>
      <c r="X323" s="302"/>
      <c r="Y323" s="302"/>
      <c r="Z323" s="302"/>
      <c r="AA323" s="302"/>
      <c r="AB323" s="302"/>
      <c r="AC323" s="303"/>
    </row>
    <row r="324" ht="13.5" customHeight="1">
      <c r="A324" s="326"/>
      <c r="B324" s="15"/>
      <c r="C324" s="7"/>
      <c r="D324" s="9"/>
      <c r="E324" s="13"/>
      <c r="F324" s="13"/>
      <c r="G324" s="308"/>
      <c r="H324" s="308"/>
      <c r="I324" s="7"/>
      <c r="J324" s="9"/>
      <c r="K324" s="7"/>
      <c r="L324" s="305"/>
      <c r="M324" s="305"/>
      <c r="N324" s="305"/>
      <c r="O324" s="305"/>
      <c r="P324" s="305"/>
      <c r="Q324" s="305"/>
      <c r="R324" s="305"/>
      <c r="S324" s="305"/>
      <c r="T324" s="305"/>
      <c r="U324" s="305"/>
      <c r="V324" s="305"/>
      <c r="W324" s="305"/>
      <c r="X324" s="305"/>
      <c r="Y324" s="305"/>
      <c r="Z324" s="305"/>
      <c r="AA324" s="305"/>
      <c r="AB324" s="305"/>
      <c r="AC324" s="307"/>
    </row>
    <row r="325" ht="13.5" customHeight="1">
      <c r="A325" s="312"/>
      <c r="B325" s="301"/>
      <c r="C325" s="301"/>
      <c r="D325" s="301"/>
      <c r="E325" s="301"/>
      <c r="F325" s="301"/>
      <c r="G325" s="301"/>
      <c r="H325" s="301"/>
      <c r="I325" s="301"/>
      <c r="J325" s="301"/>
      <c r="K325" s="301"/>
      <c r="L325" s="302"/>
      <c r="M325" s="302"/>
      <c r="N325" s="302"/>
      <c r="O325" s="302"/>
      <c r="P325" s="302"/>
      <c r="Q325" s="302"/>
      <c r="R325" s="302"/>
      <c r="S325" s="302"/>
      <c r="T325" s="302"/>
      <c r="U325" s="302"/>
      <c r="V325" s="302"/>
      <c r="W325" s="302"/>
      <c r="X325" s="302"/>
      <c r="Y325" s="302"/>
      <c r="Z325" s="302"/>
      <c r="AA325" s="302"/>
      <c r="AB325" s="302"/>
      <c r="AC325" s="303"/>
    </row>
    <row r="326" ht="13.5" customHeight="1">
      <c r="A326" s="326"/>
      <c r="B326" s="15"/>
      <c r="C326" s="7"/>
      <c r="D326" s="9"/>
      <c r="E326" s="13"/>
      <c r="F326" s="13"/>
      <c r="G326" s="308"/>
      <c r="H326" s="308"/>
      <c r="I326" s="7"/>
      <c r="J326" s="9"/>
      <c r="K326" s="7"/>
      <c r="L326" s="305"/>
      <c r="M326" s="305"/>
      <c r="N326" s="305"/>
      <c r="O326" s="305"/>
      <c r="P326" s="305"/>
      <c r="Q326" s="305"/>
      <c r="R326" s="305"/>
      <c r="S326" s="305"/>
      <c r="T326" s="305"/>
      <c r="U326" s="305"/>
      <c r="V326" s="305"/>
      <c r="W326" s="305"/>
      <c r="X326" s="305"/>
      <c r="Y326" s="305"/>
      <c r="Z326" s="305"/>
      <c r="AA326" s="305"/>
      <c r="AB326" s="305"/>
      <c r="AC326" s="307"/>
    </row>
    <row r="327" ht="13.5" customHeight="1">
      <c r="A327" s="312"/>
      <c r="B327" s="301"/>
      <c r="C327" s="301"/>
      <c r="D327" s="301"/>
      <c r="E327" s="301"/>
      <c r="F327" s="301"/>
      <c r="G327" s="301"/>
      <c r="H327" s="301"/>
      <c r="I327" s="301"/>
      <c r="J327" s="301"/>
      <c r="K327" s="301"/>
      <c r="L327" s="302"/>
      <c r="M327" s="302"/>
      <c r="N327" s="302"/>
      <c r="O327" s="302"/>
      <c r="P327" s="302"/>
      <c r="Q327" s="302"/>
      <c r="R327" s="302"/>
      <c r="S327" s="302"/>
      <c r="T327" s="302"/>
      <c r="U327" s="302"/>
      <c r="V327" s="302"/>
      <c r="W327" s="302"/>
      <c r="X327" s="302"/>
      <c r="Y327" s="302"/>
      <c r="Z327" s="302"/>
      <c r="AA327" s="302"/>
      <c r="AB327" s="302"/>
      <c r="AC327" s="303"/>
    </row>
    <row r="328" ht="13.5" customHeight="1">
      <c r="A328" s="326"/>
      <c r="B328" s="15"/>
      <c r="C328" s="7"/>
      <c r="D328" s="9"/>
      <c r="E328" s="13"/>
      <c r="F328" s="13"/>
      <c r="G328" s="308"/>
      <c r="H328" s="308"/>
      <c r="I328" s="7"/>
      <c r="J328" s="9"/>
      <c r="K328" s="7"/>
      <c r="L328" s="305"/>
      <c r="M328" s="305"/>
      <c r="N328" s="305"/>
      <c r="O328" s="305"/>
      <c r="P328" s="305"/>
      <c r="Q328" s="305"/>
      <c r="R328" s="305"/>
      <c r="S328" s="305"/>
      <c r="T328" s="305"/>
      <c r="U328" s="305"/>
      <c r="V328" s="305"/>
      <c r="W328" s="305"/>
      <c r="X328" s="305"/>
      <c r="Y328" s="305"/>
      <c r="Z328" s="305"/>
      <c r="AA328" s="305"/>
      <c r="AB328" s="305"/>
      <c r="AC328" s="307"/>
    </row>
    <row r="329" ht="13.5" customHeight="1">
      <c r="A329" s="312"/>
      <c r="B329" s="301"/>
      <c r="C329" s="301"/>
      <c r="D329" s="301"/>
      <c r="E329" s="301"/>
      <c r="F329" s="301"/>
      <c r="G329" s="301"/>
      <c r="H329" s="301"/>
      <c r="I329" s="301"/>
      <c r="J329" s="301"/>
      <c r="K329" s="301"/>
      <c r="L329" s="302"/>
      <c r="M329" s="302"/>
      <c r="N329" s="302"/>
      <c r="O329" s="302"/>
      <c r="P329" s="302"/>
      <c r="Q329" s="302"/>
      <c r="R329" s="302"/>
      <c r="S329" s="302"/>
      <c r="T329" s="302"/>
      <c r="U329" s="302"/>
      <c r="V329" s="302"/>
      <c r="W329" s="302"/>
      <c r="X329" s="302"/>
      <c r="Y329" s="302"/>
      <c r="Z329" s="302"/>
      <c r="AA329" s="302"/>
      <c r="AB329" s="302"/>
      <c r="AC329" s="303"/>
    </row>
    <row r="330" ht="13.5" customHeight="1">
      <c r="A330" s="326"/>
      <c r="B330" s="15"/>
      <c r="C330" s="7"/>
      <c r="D330" s="9"/>
      <c r="E330" s="13"/>
      <c r="F330" s="13"/>
      <c r="G330" s="308"/>
      <c r="H330" s="308"/>
      <c r="I330" s="7"/>
      <c r="J330" s="9"/>
      <c r="K330" s="7"/>
      <c r="L330" s="305"/>
      <c r="M330" s="305"/>
      <c r="N330" s="305"/>
      <c r="O330" s="305"/>
      <c r="P330" s="305"/>
      <c r="Q330" s="305"/>
      <c r="R330" s="305"/>
      <c r="S330" s="305"/>
      <c r="T330" s="305"/>
      <c r="U330" s="305"/>
      <c r="V330" s="305"/>
      <c r="W330" s="305"/>
      <c r="X330" s="305"/>
      <c r="Y330" s="305"/>
      <c r="Z330" s="305"/>
      <c r="AA330" s="305"/>
      <c r="AB330" s="305"/>
      <c r="AC330" s="307"/>
    </row>
    <row r="331" ht="13.5" customHeight="1">
      <c r="A331" s="312"/>
      <c r="B331" s="301"/>
      <c r="C331" s="301"/>
      <c r="D331" s="301"/>
      <c r="E331" s="301"/>
      <c r="F331" s="301"/>
      <c r="G331" s="301"/>
      <c r="H331" s="301"/>
      <c r="I331" s="301"/>
      <c r="J331" s="301"/>
      <c r="K331" s="301"/>
      <c r="L331" s="302"/>
      <c r="M331" s="302"/>
      <c r="N331" s="302"/>
      <c r="O331" s="302"/>
      <c r="P331" s="302"/>
      <c r="Q331" s="302"/>
      <c r="R331" s="302"/>
      <c r="S331" s="302"/>
      <c r="T331" s="302"/>
      <c r="U331" s="302"/>
      <c r="V331" s="302"/>
      <c r="W331" s="302"/>
      <c r="X331" s="302"/>
      <c r="Y331" s="302"/>
      <c r="Z331" s="302"/>
      <c r="AA331" s="302"/>
      <c r="AB331" s="302"/>
      <c r="AC331" s="303"/>
    </row>
    <row r="332" ht="13.5" customHeight="1">
      <c r="A332" s="326"/>
      <c r="B332" s="15"/>
      <c r="C332" s="7"/>
      <c r="D332" s="9"/>
      <c r="E332" s="13"/>
      <c r="F332" s="13"/>
      <c r="G332" s="308"/>
      <c r="H332" s="308"/>
      <c r="I332" s="7"/>
      <c r="J332" s="9"/>
      <c r="K332" s="7"/>
      <c r="L332" s="305"/>
      <c r="M332" s="305"/>
      <c r="N332" s="305"/>
      <c r="O332" s="305"/>
      <c r="P332" s="305"/>
      <c r="Q332" s="305"/>
      <c r="R332" s="305"/>
      <c r="S332" s="305"/>
      <c r="T332" s="305"/>
      <c r="U332" s="305"/>
      <c r="V332" s="305"/>
      <c r="W332" s="305"/>
      <c r="X332" s="305"/>
      <c r="Y332" s="305"/>
      <c r="Z332" s="305"/>
      <c r="AA332" s="305"/>
      <c r="AB332" s="305"/>
      <c r="AC332" s="307"/>
    </row>
    <row r="333" ht="13.5" customHeight="1">
      <c r="A333" s="312"/>
      <c r="B333" s="301"/>
      <c r="C333" s="301"/>
      <c r="D333" s="301"/>
      <c r="E333" s="301"/>
      <c r="F333" s="301"/>
      <c r="G333" s="301"/>
      <c r="H333" s="301"/>
      <c r="I333" s="301"/>
      <c r="J333" s="301"/>
      <c r="K333" s="301"/>
      <c r="L333" s="302"/>
      <c r="M333" s="302"/>
      <c r="N333" s="302"/>
      <c r="O333" s="302"/>
      <c r="P333" s="302"/>
      <c r="Q333" s="302"/>
      <c r="R333" s="302"/>
      <c r="S333" s="302"/>
      <c r="T333" s="302"/>
      <c r="U333" s="302"/>
      <c r="V333" s="302"/>
      <c r="W333" s="302"/>
      <c r="X333" s="302"/>
      <c r="Y333" s="302"/>
      <c r="Z333" s="302"/>
      <c r="AA333" s="302"/>
      <c r="AB333" s="302"/>
      <c r="AC333" s="303"/>
    </row>
    <row r="334" ht="13.5" customHeight="1">
      <c r="A334" s="326"/>
      <c r="B334" s="15"/>
      <c r="C334" s="7"/>
      <c r="D334" s="9"/>
      <c r="E334" s="13"/>
      <c r="F334" s="13"/>
      <c r="G334" s="308"/>
      <c r="H334" s="308"/>
      <c r="I334" s="7"/>
      <c r="J334" s="9"/>
      <c r="K334" s="7"/>
      <c r="L334" s="305"/>
      <c r="M334" s="305"/>
      <c r="N334" s="305"/>
      <c r="O334" s="305"/>
      <c r="P334" s="305"/>
      <c r="Q334" s="305"/>
      <c r="R334" s="305"/>
      <c r="S334" s="305"/>
      <c r="T334" s="305"/>
      <c r="U334" s="305"/>
      <c r="V334" s="305"/>
      <c r="W334" s="305"/>
      <c r="X334" s="305"/>
      <c r="Y334" s="305"/>
      <c r="Z334" s="305"/>
      <c r="AA334" s="305"/>
      <c r="AB334" s="305"/>
      <c r="AC334" s="307"/>
    </row>
    <row r="335" ht="13.5" customHeight="1">
      <c r="A335" s="312"/>
      <c r="B335" s="301"/>
      <c r="C335" s="301"/>
      <c r="D335" s="301"/>
      <c r="E335" s="301"/>
      <c r="F335" s="301"/>
      <c r="G335" s="301"/>
      <c r="H335" s="301"/>
      <c r="I335" s="301"/>
      <c r="J335" s="301"/>
      <c r="K335" s="301"/>
      <c r="L335" s="302"/>
      <c r="M335" s="302"/>
      <c r="N335" s="302"/>
      <c r="O335" s="302"/>
      <c r="P335" s="302"/>
      <c r="Q335" s="302"/>
      <c r="R335" s="302"/>
      <c r="S335" s="302"/>
      <c r="T335" s="302"/>
      <c r="U335" s="302"/>
      <c r="V335" s="302"/>
      <c r="W335" s="302"/>
      <c r="X335" s="302"/>
      <c r="Y335" s="302"/>
      <c r="Z335" s="302"/>
      <c r="AA335" s="302"/>
      <c r="AB335" s="302"/>
      <c r="AC335" s="303"/>
    </row>
    <row r="336" ht="13.5" customHeight="1">
      <c r="A336" s="326"/>
      <c r="B336" s="15"/>
      <c r="C336" s="7"/>
      <c r="D336" s="9"/>
      <c r="E336" s="13"/>
      <c r="F336" s="13"/>
      <c r="G336" s="308"/>
      <c r="H336" s="308"/>
      <c r="I336" s="7"/>
      <c r="J336" s="9"/>
      <c r="K336" s="7"/>
      <c r="L336" s="305"/>
      <c r="M336" s="305"/>
      <c r="N336" s="305"/>
      <c r="O336" s="305"/>
      <c r="P336" s="305"/>
      <c r="Q336" s="305"/>
      <c r="R336" s="305"/>
      <c r="S336" s="305"/>
      <c r="T336" s="305"/>
      <c r="U336" s="305"/>
      <c r="V336" s="305"/>
      <c r="W336" s="305"/>
      <c r="X336" s="305"/>
      <c r="Y336" s="305"/>
      <c r="Z336" s="305"/>
      <c r="AA336" s="305"/>
      <c r="AB336" s="305"/>
      <c r="AC336" s="307"/>
    </row>
    <row r="337" ht="13.5" customHeight="1">
      <c r="A337" s="312"/>
      <c r="B337" s="301"/>
      <c r="C337" s="301"/>
      <c r="D337" s="301"/>
      <c r="E337" s="301"/>
      <c r="F337" s="301"/>
      <c r="G337" s="301"/>
      <c r="H337" s="301"/>
      <c r="I337" s="301"/>
      <c r="J337" s="301"/>
      <c r="K337" s="301"/>
      <c r="L337" s="302"/>
      <c r="M337" s="302"/>
      <c r="N337" s="302"/>
      <c r="O337" s="302"/>
      <c r="P337" s="302"/>
      <c r="Q337" s="302"/>
      <c r="R337" s="302"/>
      <c r="S337" s="302"/>
      <c r="T337" s="302"/>
      <c r="U337" s="302"/>
      <c r="V337" s="302"/>
      <c r="W337" s="302"/>
      <c r="X337" s="302"/>
      <c r="Y337" s="302"/>
      <c r="Z337" s="302"/>
      <c r="AA337" s="302"/>
      <c r="AB337" s="302"/>
      <c r="AC337" s="303"/>
    </row>
    <row r="338" ht="13.5" customHeight="1">
      <c r="A338" s="326"/>
      <c r="B338" s="15"/>
      <c r="C338" s="7"/>
      <c r="D338" s="9"/>
      <c r="E338" s="13"/>
      <c r="F338" s="13"/>
      <c r="G338" s="308"/>
      <c r="H338" s="308"/>
      <c r="I338" s="7"/>
      <c r="J338" s="9"/>
      <c r="K338" s="7"/>
      <c r="L338" s="305"/>
      <c r="M338" s="305"/>
      <c r="N338" s="305"/>
      <c r="O338" s="305"/>
      <c r="P338" s="305"/>
      <c r="Q338" s="305"/>
      <c r="R338" s="305"/>
      <c r="S338" s="305"/>
      <c r="T338" s="305"/>
      <c r="U338" s="305"/>
      <c r="V338" s="305"/>
      <c r="W338" s="305"/>
      <c r="X338" s="305"/>
      <c r="Y338" s="305"/>
      <c r="Z338" s="305"/>
      <c r="AA338" s="305"/>
      <c r="AB338" s="305"/>
      <c r="AC338" s="307"/>
    </row>
    <row r="339" ht="13.5" customHeight="1">
      <c r="A339" s="312"/>
      <c r="B339" s="301"/>
      <c r="C339" s="301"/>
      <c r="D339" s="301"/>
      <c r="E339" s="301"/>
      <c r="F339" s="301"/>
      <c r="G339" s="301"/>
      <c r="H339" s="301"/>
      <c r="I339" s="301"/>
      <c r="J339" s="301"/>
      <c r="K339" s="301"/>
      <c r="L339" s="302"/>
      <c r="M339" s="302"/>
      <c r="N339" s="302"/>
      <c r="O339" s="302"/>
      <c r="P339" s="302"/>
      <c r="Q339" s="302"/>
      <c r="R339" s="302"/>
      <c r="S339" s="302"/>
      <c r="T339" s="302"/>
      <c r="U339" s="302"/>
      <c r="V339" s="302"/>
      <c r="W339" s="302"/>
      <c r="X339" s="302"/>
      <c r="Y339" s="302"/>
      <c r="Z339" s="302"/>
      <c r="AA339" s="302"/>
      <c r="AB339" s="302"/>
      <c r="AC339" s="303"/>
    </row>
    <row r="340" ht="13.5" customHeight="1">
      <c r="A340" s="326"/>
      <c r="B340" s="15"/>
      <c r="C340" s="7"/>
      <c r="D340" s="9"/>
      <c r="E340" s="13"/>
      <c r="F340" s="13"/>
      <c r="G340" s="308"/>
      <c r="H340" s="308"/>
      <c r="I340" s="7"/>
      <c r="J340" s="9"/>
      <c r="K340" s="7"/>
      <c r="L340" s="305"/>
      <c r="M340" s="305"/>
      <c r="N340" s="305"/>
      <c r="O340" s="305"/>
      <c r="P340" s="305"/>
      <c r="Q340" s="305"/>
      <c r="R340" s="305"/>
      <c r="S340" s="305"/>
      <c r="T340" s="305"/>
      <c r="U340" s="305"/>
      <c r="V340" s="305"/>
      <c r="W340" s="305"/>
      <c r="X340" s="305"/>
      <c r="Y340" s="305"/>
      <c r="Z340" s="305"/>
      <c r="AA340" s="305"/>
      <c r="AB340" s="305"/>
      <c r="AC340" s="307"/>
    </row>
    <row r="341" ht="13.5" customHeight="1">
      <c r="A341" s="312"/>
      <c r="B341" s="301"/>
      <c r="C341" s="301"/>
      <c r="D341" s="301"/>
      <c r="E341" s="301"/>
      <c r="F341" s="301"/>
      <c r="G341" s="301"/>
      <c r="H341" s="301"/>
      <c r="I341" s="301"/>
      <c r="J341" s="301"/>
      <c r="K341" s="301"/>
      <c r="L341" s="302"/>
      <c r="M341" s="302"/>
      <c r="N341" s="302"/>
      <c r="O341" s="302"/>
      <c r="P341" s="302"/>
      <c r="Q341" s="302"/>
      <c r="R341" s="302"/>
      <c r="S341" s="302"/>
      <c r="T341" s="302"/>
      <c r="U341" s="302"/>
      <c r="V341" s="302"/>
      <c r="W341" s="302"/>
      <c r="X341" s="302"/>
      <c r="Y341" s="302"/>
      <c r="Z341" s="302"/>
      <c r="AA341" s="302"/>
      <c r="AB341" s="302"/>
      <c r="AC341" s="303"/>
    </row>
    <row r="342" ht="13.5" customHeight="1">
      <c r="A342" s="326"/>
      <c r="B342" s="15"/>
      <c r="C342" s="7"/>
      <c r="D342" s="9"/>
      <c r="E342" s="13"/>
      <c r="F342" s="13"/>
      <c r="G342" s="308"/>
      <c r="H342" s="308"/>
      <c r="I342" s="7"/>
      <c r="J342" s="9"/>
      <c r="K342" s="7"/>
      <c r="L342" s="305"/>
      <c r="M342" s="305"/>
      <c r="N342" s="305"/>
      <c r="O342" s="305"/>
      <c r="P342" s="305"/>
      <c r="Q342" s="305"/>
      <c r="R342" s="305"/>
      <c r="S342" s="305"/>
      <c r="T342" s="305"/>
      <c r="U342" s="305"/>
      <c r="V342" s="305"/>
      <c r="W342" s="305"/>
      <c r="X342" s="305"/>
      <c r="Y342" s="305"/>
      <c r="Z342" s="305"/>
      <c r="AA342" s="305"/>
      <c r="AB342" s="305"/>
      <c r="AC342" s="307"/>
    </row>
    <row r="343" ht="13.5" customHeight="1">
      <c r="A343" s="312"/>
      <c r="B343" s="301"/>
      <c r="C343" s="301"/>
      <c r="D343" s="301"/>
      <c r="E343" s="301"/>
      <c r="F343" s="301"/>
      <c r="G343" s="301"/>
      <c r="H343" s="301"/>
      <c r="I343" s="301"/>
      <c r="J343" s="301"/>
      <c r="K343" s="301"/>
      <c r="L343" s="302"/>
      <c r="M343" s="302"/>
      <c r="N343" s="302"/>
      <c r="O343" s="302"/>
      <c r="P343" s="302"/>
      <c r="Q343" s="302"/>
      <c r="R343" s="302"/>
      <c r="S343" s="302"/>
      <c r="T343" s="302"/>
      <c r="U343" s="302"/>
      <c r="V343" s="302"/>
      <c r="W343" s="302"/>
      <c r="X343" s="302"/>
      <c r="Y343" s="302"/>
      <c r="Z343" s="302"/>
      <c r="AA343" s="302"/>
      <c r="AB343" s="302"/>
      <c r="AC343" s="303"/>
    </row>
    <row r="344" ht="13.5" customHeight="1">
      <c r="A344" s="326"/>
      <c r="B344" s="15"/>
      <c r="C344" s="7"/>
      <c r="D344" s="9"/>
      <c r="E344" s="13"/>
      <c r="F344" s="13"/>
      <c r="G344" s="308"/>
      <c r="H344" s="308"/>
      <c r="I344" s="7"/>
      <c r="J344" s="9"/>
      <c r="K344" s="7"/>
      <c r="L344" s="305"/>
      <c r="M344" s="305"/>
      <c r="N344" s="305"/>
      <c r="O344" s="305"/>
      <c r="P344" s="305"/>
      <c r="Q344" s="305"/>
      <c r="R344" s="305"/>
      <c r="S344" s="305"/>
      <c r="T344" s="305"/>
      <c r="U344" s="305"/>
      <c r="V344" s="305"/>
      <c r="W344" s="305"/>
      <c r="X344" s="305"/>
      <c r="Y344" s="305"/>
      <c r="Z344" s="305"/>
      <c r="AA344" s="305"/>
      <c r="AB344" s="305"/>
      <c r="AC344" s="307"/>
    </row>
    <row r="345" ht="13.5" customHeight="1">
      <c r="A345" s="312"/>
      <c r="B345" s="301"/>
      <c r="C345" s="301"/>
      <c r="D345" s="301"/>
      <c r="E345" s="301"/>
      <c r="F345" s="301"/>
      <c r="G345" s="301"/>
      <c r="H345" s="301"/>
      <c r="I345" s="301"/>
      <c r="J345" s="301"/>
      <c r="K345" s="301"/>
      <c r="L345" s="302"/>
      <c r="M345" s="302"/>
      <c r="N345" s="302"/>
      <c r="O345" s="302"/>
      <c r="P345" s="302"/>
      <c r="Q345" s="302"/>
      <c r="R345" s="302"/>
      <c r="S345" s="302"/>
      <c r="T345" s="302"/>
      <c r="U345" s="302"/>
      <c r="V345" s="302"/>
      <c r="W345" s="302"/>
      <c r="X345" s="302"/>
      <c r="Y345" s="302"/>
      <c r="Z345" s="302"/>
      <c r="AA345" s="302"/>
      <c r="AB345" s="302"/>
      <c r="AC345" s="303"/>
    </row>
    <row r="346" ht="13.5" customHeight="1">
      <c r="A346" s="326"/>
      <c r="B346" s="15"/>
      <c r="C346" s="7"/>
      <c r="D346" s="9"/>
      <c r="E346" s="13"/>
      <c r="F346" s="13"/>
      <c r="G346" s="308"/>
      <c r="H346" s="308"/>
      <c r="I346" s="7"/>
      <c r="J346" s="9"/>
      <c r="K346" s="7"/>
      <c r="L346" s="305"/>
      <c r="M346" s="305"/>
      <c r="N346" s="305"/>
      <c r="O346" s="305"/>
      <c r="P346" s="305"/>
      <c r="Q346" s="305"/>
      <c r="R346" s="305"/>
      <c r="S346" s="305"/>
      <c r="T346" s="305"/>
      <c r="U346" s="305"/>
      <c r="V346" s="305"/>
      <c r="W346" s="305"/>
      <c r="X346" s="305"/>
      <c r="Y346" s="305"/>
      <c r="Z346" s="305"/>
      <c r="AA346" s="305"/>
      <c r="AB346" s="305"/>
      <c r="AC346" s="307"/>
    </row>
    <row r="347" ht="13.5" customHeight="1">
      <c r="A347" s="312"/>
      <c r="B347" s="301"/>
      <c r="C347" s="301"/>
      <c r="D347" s="301"/>
      <c r="E347" s="301"/>
      <c r="F347" s="301"/>
      <c r="G347" s="301"/>
      <c r="H347" s="301"/>
      <c r="I347" s="301"/>
      <c r="J347" s="301"/>
      <c r="K347" s="301"/>
      <c r="L347" s="302"/>
      <c r="M347" s="302"/>
      <c r="N347" s="302"/>
      <c r="O347" s="302"/>
      <c r="P347" s="302"/>
      <c r="Q347" s="302"/>
      <c r="R347" s="302"/>
      <c r="S347" s="302"/>
      <c r="T347" s="302"/>
      <c r="U347" s="302"/>
      <c r="V347" s="302"/>
      <c r="W347" s="302"/>
      <c r="X347" s="302"/>
      <c r="Y347" s="302"/>
      <c r="Z347" s="302"/>
      <c r="AA347" s="302"/>
      <c r="AB347" s="302"/>
      <c r="AC347" s="303"/>
    </row>
    <row r="348" ht="13.5" customHeight="1">
      <c r="A348" s="326"/>
      <c r="B348" s="15"/>
      <c r="C348" s="7"/>
      <c r="D348" s="9"/>
      <c r="E348" s="13"/>
      <c r="F348" s="13"/>
      <c r="G348" s="308"/>
      <c r="H348" s="308"/>
      <c r="I348" s="7"/>
      <c r="J348" s="9"/>
      <c r="K348" s="7"/>
      <c r="L348" s="305"/>
      <c r="M348" s="305"/>
      <c r="N348" s="305"/>
      <c r="O348" s="305"/>
      <c r="P348" s="305"/>
      <c r="Q348" s="305"/>
      <c r="R348" s="305"/>
      <c r="S348" s="305"/>
      <c r="T348" s="305"/>
      <c r="U348" s="305"/>
      <c r="V348" s="305"/>
      <c r="W348" s="305"/>
      <c r="X348" s="305"/>
      <c r="Y348" s="305"/>
      <c r="Z348" s="305"/>
      <c r="AA348" s="305"/>
      <c r="AB348" s="305"/>
      <c r="AC348" s="307"/>
    </row>
    <row r="349" ht="13.5" customHeight="1">
      <c r="A349" s="312"/>
      <c r="B349" s="301"/>
      <c r="C349" s="301"/>
      <c r="D349" s="301"/>
      <c r="E349" s="301"/>
      <c r="F349" s="301"/>
      <c r="G349" s="301"/>
      <c r="H349" s="301"/>
      <c r="I349" s="301"/>
      <c r="J349" s="301"/>
      <c r="K349" s="301"/>
      <c r="L349" s="302"/>
      <c r="M349" s="302"/>
      <c r="N349" s="302"/>
      <c r="O349" s="302"/>
      <c r="P349" s="302"/>
      <c r="Q349" s="302"/>
      <c r="R349" s="302"/>
      <c r="S349" s="302"/>
      <c r="T349" s="302"/>
      <c r="U349" s="302"/>
      <c r="V349" s="302"/>
      <c r="W349" s="302"/>
      <c r="X349" s="302"/>
      <c r="Y349" s="302"/>
      <c r="Z349" s="302"/>
      <c r="AA349" s="302"/>
      <c r="AB349" s="302"/>
      <c r="AC349" s="303"/>
    </row>
    <row r="350" ht="13.5" customHeight="1">
      <c r="A350" s="326"/>
      <c r="B350" s="15"/>
      <c r="C350" s="7"/>
      <c r="D350" s="9"/>
      <c r="E350" s="13"/>
      <c r="F350" s="13"/>
      <c r="G350" s="308"/>
      <c r="H350" s="308"/>
      <c r="I350" s="7"/>
      <c r="J350" s="9"/>
      <c r="K350" s="7"/>
      <c r="L350" s="305"/>
      <c r="M350" s="305"/>
      <c r="N350" s="305"/>
      <c r="O350" s="305"/>
      <c r="P350" s="305"/>
      <c r="Q350" s="305"/>
      <c r="R350" s="305"/>
      <c r="S350" s="305"/>
      <c r="T350" s="305"/>
      <c r="U350" s="305"/>
      <c r="V350" s="305"/>
      <c r="W350" s="305"/>
      <c r="X350" s="305"/>
      <c r="Y350" s="305"/>
      <c r="Z350" s="305"/>
      <c r="AA350" s="305"/>
      <c r="AB350" s="305"/>
      <c r="AC350" s="307"/>
    </row>
    <row r="351" ht="13.5" customHeight="1">
      <c r="A351" s="312"/>
      <c r="B351" s="301"/>
      <c r="C351" s="301"/>
      <c r="D351" s="301"/>
      <c r="E351" s="301"/>
      <c r="F351" s="301"/>
      <c r="G351" s="301"/>
      <c r="H351" s="301"/>
      <c r="I351" s="301"/>
      <c r="J351" s="301"/>
      <c r="K351" s="301"/>
      <c r="L351" s="302"/>
      <c r="M351" s="302"/>
      <c r="N351" s="302"/>
      <c r="O351" s="302"/>
      <c r="P351" s="302"/>
      <c r="Q351" s="302"/>
      <c r="R351" s="302"/>
      <c r="S351" s="302"/>
      <c r="T351" s="302"/>
      <c r="U351" s="302"/>
      <c r="V351" s="302"/>
      <c r="W351" s="302"/>
      <c r="X351" s="302"/>
      <c r="Y351" s="302"/>
      <c r="Z351" s="302"/>
      <c r="AA351" s="302"/>
      <c r="AB351" s="302"/>
      <c r="AC351" s="303"/>
    </row>
    <row r="352" ht="13.5" customHeight="1">
      <c r="A352" s="326"/>
      <c r="B352" s="15"/>
      <c r="C352" s="7"/>
      <c r="D352" s="9"/>
      <c r="E352" s="13"/>
      <c r="F352" s="13"/>
      <c r="G352" s="308"/>
      <c r="H352" s="308"/>
      <c r="I352" s="7"/>
      <c r="J352" s="9"/>
      <c r="K352" s="7"/>
      <c r="L352" s="305"/>
      <c r="M352" s="305"/>
      <c r="N352" s="305"/>
      <c r="O352" s="305"/>
      <c r="P352" s="305"/>
      <c r="Q352" s="305"/>
      <c r="R352" s="305"/>
      <c r="S352" s="305"/>
      <c r="T352" s="305"/>
      <c r="U352" s="305"/>
      <c r="V352" s="305"/>
      <c r="W352" s="305"/>
      <c r="X352" s="305"/>
      <c r="Y352" s="305"/>
      <c r="Z352" s="305"/>
      <c r="AA352" s="305"/>
      <c r="AB352" s="305"/>
      <c r="AC352" s="307"/>
    </row>
    <row r="353" ht="13.5" customHeight="1">
      <c r="A353" s="312"/>
      <c r="B353" s="301"/>
      <c r="C353" s="301"/>
      <c r="D353" s="301"/>
      <c r="E353" s="301"/>
      <c r="F353" s="301"/>
      <c r="G353" s="301"/>
      <c r="H353" s="301"/>
      <c r="I353" s="301"/>
      <c r="J353" s="301"/>
      <c r="K353" s="301"/>
      <c r="L353" s="302"/>
      <c r="M353" s="302"/>
      <c r="N353" s="302"/>
      <c r="O353" s="302"/>
      <c r="P353" s="302"/>
      <c r="Q353" s="302"/>
      <c r="R353" s="302"/>
      <c r="S353" s="302"/>
      <c r="T353" s="302"/>
      <c r="U353" s="302"/>
      <c r="V353" s="302"/>
      <c r="W353" s="302"/>
      <c r="X353" s="302"/>
      <c r="Y353" s="302"/>
      <c r="Z353" s="302"/>
      <c r="AA353" s="302"/>
      <c r="AB353" s="302"/>
      <c r="AC353" s="303"/>
    </row>
    <row r="354" ht="13.5" customHeight="1">
      <c r="A354" s="326"/>
      <c r="B354" s="15"/>
      <c r="C354" s="7"/>
      <c r="D354" s="9"/>
      <c r="E354" s="13"/>
      <c r="F354" s="13"/>
      <c r="G354" s="308"/>
      <c r="H354" s="308"/>
      <c r="I354" s="7"/>
      <c r="J354" s="9"/>
      <c r="K354" s="7"/>
      <c r="L354" s="305"/>
      <c r="M354" s="305"/>
      <c r="N354" s="305"/>
      <c r="O354" s="305"/>
      <c r="P354" s="305"/>
      <c r="Q354" s="305"/>
      <c r="R354" s="305"/>
      <c r="S354" s="305"/>
      <c r="T354" s="305"/>
      <c r="U354" s="305"/>
      <c r="V354" s="305"/>
      <c r="W354" s="305"/>
      <c r="X354" s="305"/>
      <c r="Y354" s="305"/>
      <c r="Z354" s="305"/>
      <c r="AA354" s="305"/>
      <c r="AB354" s="305"/>
      <c r="AC354" s="307"/>
    </row>
    <row r="355" ht="13.5" customHeight="1">
      <c r="A355" s="312"/>
      <c r="B355" s="301"/>
      <c r="C355" s="301"/>
      <c r="D355" s="301"/>
      <c r="E355" s="301"/>
      <c r="F355" s="301"/>
      <c r="G355" s="301"/>
      <c r="H355" s="301"/>
      <c r="I355" s="301"/>
      <c r="J355" s="301"/>
      <c r="K355" s="301"/>
      <c r="L355" s="302"/>
      <c r="M355" s="302"/>
      <c r="N355" s="302"/>
      <c r="O355" s="302"/>
      <c r="P355" s="302"/>
      <c r="Q355" s="302"/>
      <c r="R355" s="302"/>
      <c r="S355" s="302"/>
      <c r="T355" s="302"/>
      <c r="U355" s="302"/>
      <c r="V355" s="302"/>
      <c r="W355" s="302"/>
      <c r="X355" s="302"/>
      <c r="Y355" s="302"/>
      <c r="Z355" s="302"/>
      <c r="AA355" s="302"/>
      <c r="AB355" s="302"/>
      <c r="AC355" s="303"/>
    </row>
    <row r="356" ht="13.5" customHeight="1">
      <c r="A356" s="326"/>
      <c r="B356" s="15"/>
      <c r="C356" s="7"/>
      <c r="D356" s="9"/>
      <c r="E356" s="13"/>
      <c r="F356" s="13"/>
      <c r="G356" s="308"/>
      <c r="H356" s="308"/>
      <c r="I356" s="7"/>
      <c r="J356" s="9"/>
      <c r="K356" s="7"/>
      <c r="L356" s="305"/>
      <c r="M356" s="305"/>
      <c r="N356" s="305"/>
      <c r="O356" s="305"/>
      <c r="P356" s="305"/>
      <c r="Q356" s="305"/>
      <c r="R356" s="305"/>
      <c r="S356" s="305"/>
      <c r="T356" s="305"/>
      <c r="U356" s="305"/>
      <c r="V356" s="305"/>
      <c r="W356" s="305"/>
      <c r="X356" s="305"/>
      <c r="Y356" s="305"/>
      <c r="Z356" s="305"/>
      <c r="AA356" s="305"/>
      <c r="AB356" s="305"/>
      <c r="AC356" s="307"/>
    </row>
    <row r="357" ht="13.5" customHeight="1">
      <c r="A357" s="312"/>
      <c r="B357" s="301"/>
      <c r="C357" s="301"/>
      <c r="D357" s="301"/>
      <c r="E357" s="301"/>
      <c r="F357" s="301"/>
      <c r="G357" s="301"/>
      <c r="H357" s="301"/>
      <c r="I357" s="301"/>
      <c r="J357" s="301"/>
      <c r="K357" s="301"/>
      <c r="L357" s="302"/>
      <c r="M357" s="302"/>
      <c r="N357" s="302"/>
      <c r="O357" s="302"/>
      <c r="P357" s="302"/>
      <c r="Q357" s="302"/>
      <c r="R357" s="302"/>
      <c r="S357" s="302"/>
      <c r="T357" s="302"/>
      <c r="U357" s="302"/>
      <c r="V357" s="302"/>
      <c r="W357" s="302"/>
      <c r="X357" s="302"/>
      <c r="Y357" s="302"/>
      <c r="Z357" s="302"/>
      <c r="AA357" s="302"/>
      <c r="AB357" s="302"/>
      <c r="AC357" s="303"/>
    </row>
    <row r="358" ht="13.5" customHeight="1">
      <c r="A358" s="326"/>
      <c r="B358" s="15"/>
      <c r="C358" s="7"/>
      <c r="D358" s="9"/>
      <c r="E358" s="13"/>
      <c r="F358" s="13"/>
      <c r="G358" s="308"/>
      <c r="H358" s="308"/>
      <c r="I358" s="7"/>
      <c r="J358" s="9"/>
      <c r="K358" s="7"/>
      <c r="L358" s="305"/>
      <c r="M358" s="305"/>
      <c r="N358" s="305"/>
      <c r="O358" s="305"/>
      <c r="P358" s="305"/>
      <c r="Q358" s="305"/>
      <c r="R358" s="305"/>
      <c r="S358" s="305"/>
      <c r="T358" s="305"/>
      <c r="U358" s="305"/>
      <c r="V358" s="305"/>
      <c r="W358" s="305"/>
      <c r="X358" s="305"/>
      <c r="Y358" s="305"/>
      <c r="Z358" s="305"/>
      <c r="AA358" s="305"/>
      <c r="AB358" s="305"/>
      <c r="AC358" s="307"/>
    </row>
    <row r="359" ht="13.5" customHeight="1">
      <c r="A359" s="312"/>
      <c r="B359" s="301"/>
      <c r="C359" s="301"/>
      <c r="D359" s="301"/>
      <c r="E359" s="301"/>
      <c r="F359" s="301"/>
      <c r="G359" s="301"/>
      <c r="H359" s="301"/>
      <c r="I359" s="301"/>
      <c r="J359" s="301"/>
      <c r="K359" s="301"/>
      <c r="L359" s="302"/>
      <c r="M359" s="302"/>
      <c r="N359" s="302"/>
      <c r="O359" s="302"/>
      <c r="P359" s="302"/>
      <c r="Q359" s="302"/>
      <c r="R359" s="302"/>
      <c r="S359" s="302"/>
      <c r="T359" s="302"/>
      <c r="U359" s="302"/>
      <c r="V359" s="302"/>
      <c r="W359" s="302"/>
      <c r="X359" s="302"/>
      <c r="Y359" s="302"/>
      <c r="Z359" s="302"/>
      <c r="AA359" s="302"/>
      <c r="AB359" s="302"/>
      <c r="AC359" s="303"/>
    </row>
    <row r="360" ht="13.5" customHeight="1">
      <c r="A360" s="326"/>
      <c r="B360" s="15"/>
      <c r="C360" s="7"/>
      <c r="D360" s="9"/>
      <c r="E360" s="13"/>
      <c r="F360" s="13"/>
      <c r="G360" s="308"/>
      <c r="H360" s="308"/>
      <c r="I360" s="7"/>
      <c r="J360" s="9"/>
      <c r="K360" s="7"/>
      <c r="L360" s="305"/>
      <c r="M360" s="305"/>
      <c r="N360" s="305"/>
      <c r="O360" s="305"/>
      <c r="P360" s="305"/>
      <c r="Q360" s="305"/>
      <c r="R360" s="305"/>
      <c r="S360" s="305"/>
      <c r="T360" s="305"/>
      <c r="U360" s="305"/>
      <c r="V360" s="305"/>
      <c r="W360" s="305"/>
      <c r="X360" s="305"/>
      <c r="Y360" s="305"/>
      <c r="Z360" s="305"/>
      <c r="AA360" s="305"/>
      <c r="AB360" s="305"/>
      <c r="AC360" s="307"/>
    </row>
    <row r="361" ht="13.5" customHeight="1">
      <c r="A361" s="312"/>
      <c r="B361" s="301"/>
      <c r="C361" s="301"/>
      <c r="D361" s="301"/>
      <c r="E361" s="301"/>
      <c r="F361" s="301"/>
      <c r="G361" s="301"/>
      <c r="H361" s="301"/>
      <c r="I361" s="301"/>
      <c r="J361" s="301"/>
      <c r="K361" s="301"/>
      <c r="L361" s="302"/>
      <c r="M361" s="302"/>
      <c r="N361" s="302"/>
      <c r="O361" s="302"/>
      <c r="P361" s="302"/>
      <c r="Q361" s="302"/>
      <c r="R361" s="302"/>
      <c r="S361" s="302"/>
      <c r="T361" s="302"/>
      <c r="U361" s="302"/>
      <c r="V361" s="302"/>
      <c r="W361" s="302"/>
      <c r="X361" s="302"/>
      <c r="Y361" s="302"/>
      <c r="Z361" s="302"/>
      <c r="AA361" s="302"/>
      <c r="AB361" s="302"/>
      <c r="AC361" s="303"/>
    </row>
    <row r="362" ht="13.5" customHeight="1">
      <c r="A362" s="326"/>
      <c r="B362" s="15"/>
      <c r="C362" s="7"/>
      <c r="D362" s="9"/>
      <c r="E362" s="13"/>
      <c r="F362" s="13"/>
      <c r="G362" s="308"/>
      <c r="H362" s="308"/>
      <c r="I362" s="7"/>
      <c r="J362" s="9"/>
      <c r="K362" s="7"/>
      <c r="L362" s="305"/>
      <c r="M362" s="305"/>
      <c r="N362" s="305"/>
      <c r="O362" s="305"/>
      <c r="P362" s="305"/>
      <c r="Q362" s="305"/>
      <c r="R362" s="305"/>
      <c r="S362" s="305"/>
      <c r="T362" s="305"/>
      <c r="U362" s="305"/>
      <c r="V362" s="305"/>
      <c r="W362" s="305"/>
      <c r="X362" s="305"/>
      <c r="Y362" s="305"/>
      <c r="Z362" s="305"/>
      <c r="AA362" s="305"/>
      <c r="AB362" s="305"/>
      <c r="AC362" s="307"/>
    </row>
    <row r="363" ht="13.5" customHeight="1">
      <c r="A363" s="312"/>
      <c r="B363" s="301"/>
      <c r="C363" s="301"/>
      <c r="D363" s="301"/>
      <c r="E363" s="301"/>
      <c r="F363" s="301"/>
      <c r="G363" s="301"/>
      <c r="H363" s="301"/>
      <c r="I363" s="301"/>
      <c r="J363" s="301"/>
      <c r="K363" s="301"/>
      <c r="L363" s="302"/>
      <c r="M363" s="302"/>
      <c r="N363" s="302"/>
      <c r="O363" s="302"/>
      <c r="P363" s="302"/>
      <c r="Q363" s="302"/>
      <c r="R363" s="302"/>
      <c r="S363" s="302"/>
      <c r="T363" s="302"/>
      <c r="U363" s="302"/>
      <c r="V363" s="302"/>
      <c r="W363" s="302"/>
      <c r="X363" s="302"/>
      <c r="Y363" s="302"/>
      <c r="Z363" s="302"/>
      <c r="AA363" s="302"/>
      <c r="AB363" s="302"/>
      <c r="AC363" s="303"/>
    </row>
    <row r="364" ht="13.5" customHeight="1">
      <c r="A364" s="326"/>
      <c r="B364" s="15"/>
      <c r="C364" s="7"/>
      <c r="D364" s="9"/>
      <c r="E364" s="13"/>
      <c r="F364" s="13"/>
      <c r="G364" s="308"/>
      <c r="H364" s="308"/>
      <c r="I364" s="7"/>
      <c r="J364" s="9"/>
      <c r="K364" s="7"/>
      <c r="L364" s="305"/>
      <c r="M364" s="305"/>
      <c r="N364" s="305"/>
      <c r="O364" s="305"/>
      <c r="P364" s="305"/>
      <c r="Q364" s="305"/>
      <c r="R364" s="305"/>
      <c r="S364" s="305"/>
      <c r="T364" s="305"/>
      <c r="U364" s="305"/>
      <c r="V364" s="305"/>
      <c r="W364" s="305"/>
      <c r="X364" s="305"/>
      <c r="Y364" s="305"/>
      <c r="Z364" s="305"/>
      <c r="AA364" s="305"/>
      <c r="AB364" s="305"/>
      <c r="AC364" s="307"/>
    </row>
    <row r="365" ht="13.5" customHeight="1">
      <c r="A365" s="312"/>
      <c r="B365" s="301"/>
      <c r="C365" s="301"/>
      <c r="D365" s="301"/>
      <c r="E365" s="301"/>
      <c r="F365" s="301"/>
      <c r="G365" s="301"/>
      <c r="H365" s="301"/>
      <c r="I365" s="301"/>
      <c r="J365" s="301"/>
      <c r="K365" s="301"/>
      <c r="L365" s="302"/>
      <c r="M365" s="302"/>
      <c r="N365" s="302"/>
      <c r="O365" s="302"/>
      <c r="P365" s="302"/>
      <c r="Q365" s="302"/>
      <c r="R365" s="302"/>
      <c r="S365" s="302"/>
      <c r="T365" s="302"/>
      <c r="U365" s="302"/>
      <c r="V365" s="302"/>
      <c r="W365" s="302"/>
      <c r="X365" s="302"/>
      <c r="Y365" s="302"/>
      <c r="Z365" s="302"/>
      <c r="AA365" s="302"/>
      <c r="AB365" s="302"/>
      <c r="AC365" s="303"/>
    </row>
    <row r="366" ht="13.5" customHeight="1">
      <c r="A366" s="326"/>
      <c r="B366" s="15"/>
      <c r="C366" s="7"/>
      <c r="D366" s="9"/>
      <c r="E366" s="13"/>
      <c r="F366" s="13"/>
      <c r="G366" s="308"/>
      <c r="H366" s="308"/>
      <c r="I366" s="7"/>
      <c r="J366" s="9"/>
      <c r="K366" s="7"/>
      <c r="L366" s="305"/>
      <c r="M366" s="305"/>
      <c r="N366" s="305"/>
      <c r="O366" s="305"/>
      <c r="P366" s="305"/>
      <c r="Q366" s="305"/>
      <c r="R366" s="305"/>
      <c r="S366" s="305"/>
      <c r="T366" s="305"/>
      <c r="U366" s="305"/>
      <c r="V366" s="305"/>
      <c r="W366" s="305"/>
      <c r="X366" s="305"/>
      <c r="Y366" s="305"/>
      <c r="Z366" s="305"/>
      <c r="AA366" s="305"/>
      <c r="AB366" s="305"/>
      <c r="AC366" s="307"/>
    </row>
    <row r="367" ht="13.5" customHeight="1">
      <c r="A367" s="312"/>
      <c r="B367" s="301"/>
      <c r="C367" s="301"/>
      <c r="D367" s="301"/>
      <c r="E367" s="301"/>
      <c r="F367" s="301"/>
      <c r="G367" s="301"/>
      <c r="H367" s="301"/>
      <c r="I367" s="301"/>
      <c r="J367" s="301"/>
      <c r="K367" s="301"/>
      <c r="L367" s="302"/>
      <c r="M367" s="302"/>
      <c r="N367" s="302"/>
      <c r="O367" s="302"/>
      <c r="P367" s="302"/>
      <c r="Q367" s="302"/>
      <c r="R367" s="302"/>
      <c r="S367" s="302"/>
      <c r="T367" s="302"/>
      <c r="U367" s="302"/>
      <c r="V367" s="302"/>
      <c r="W367" s="302"/>
      <c r="X367" s="302"/>
      <c r="Y367" s="302"/>
      <c r="Z367" s="302"/>
      <c r="AA367" s="302"/>
      <c r="AB367" s="302"/>
      <c r="AC367" s="303"/>
    </row>
    <row r="368" ht="13.5" customHeight="1">
      <c r="A368" s="326"/>
      <c r="B368" s="15"/>
      <c r="C368" s="7"/>
      <c r="D368" s="9"/>
      <c r="E368" s="13"/>
      <c r="F368" s="13"/>
      <c r="G368" s="308"/>
      <c r="H368" s="308"/>
      <c r="I368" s="7"/>
      <c r="J368" s="9"/>
      <c r="K368" s="7"/>
      <c r="L368" s="305"/>
      <c r="M368" s="305"/>
      <c r="N368" s="305"/>
      <c r="O368" s="305"/>
      <c r="P368" s="305"/>
      <c r="Q368" s="305"/>
      <c r="R368" s="305"/>
      <c r="S368" s="305"/>
      <c r="T368" s="305"/>
      <c r="U368" s="305"/>
      <c r="V368" s="305"/>
      <c r="W368" s="305"/>
      <c r="X368" s="305"/>
      <c r="Y368" s="305"/>
      <c r="Z368" s="305"/>
      <c r="AA368" s="305"/>
      <c r="AB368" s="305"/>
      <c r="AC368" s="307"/>
    </row>
    <row r="369" ht="13.5" customHeight="1">
      <c r="A369" s="312"/>
      <c r="B369" s="301"/>
      <c r="C369" s="301"/>
      <c r="D369" s="301"/>
      <c r="E369" s="301"/>
      <c r="F369" s="301"/>
      <c r="G369" s="301"/>
      <c r="H369" s="301"/>
      <c r="I369" s="301"/>
      <c r="J369" s="301"/>
      <c r="K369" s="301"/>
      <c r="L369" s="302"/>
      <c r="M369" s="302"/>
      <c r="N369" s="302"/>
      <c r="O369" s="302"/>
      <c r="P369" s="302"/>
      <c r="Q369" s="302"/>
      <c r="R369" s="302"/>
      <c r="S369" s="302"/>
      <c r="T369" s="302"/>
      <c r="U369" s="302"/>
      <c r="V369" s="302"/>
      <c r="W369" s="302"/>
      <c r="X369" s="302"/>
      <c r="Y369" s="302"/>
      <c r="Z369" s="302"/>
      <c r="AA369" s="302"/>
      <c r="AB369" s="302"/>
      <c r="AC369" s="303"/>
    </row>
    <row r="370" ht="13.5" customHeight="1">
      <c r="A370" s="326"/>
      <c r="B370" s="15"/>
      <c r="C370" s="7"/>
      <c r="D370" s="9"/>
      <c r="E370" s="13"/>
      <c r="F370" s="13"/>
      <c r="G370" s="308"/>
      <c r="H370" s="308"/>
      <c r="I370" s="7"/>
      <c r="J370" s="9"/>
      <c r="K370" s="7"/>
      <c r="L370" s="305"/>
      <c r="M370" s="305"/>
      <c r="N370" s="305"/>
      <c r="O370" s="305"/>
      <c r="P370" s="305"/>
      <c r="Q370" s="305"/>
      <c r="R370" s="305"/>
      <c r="S370" s="305"/>
      <c r="T370" s="305"/>
      <c r="U370" s="305"/>
      <c r="V370" s="305"/>
      <c r="W370" s="305"/>
      <c r="X370" s="305"/>
      <c r="Y370" s="305"/>
      <c r="Z370" s="305"/>
      <c r="AA370" s="305"/>
      <c r="AB370" s="305"/>
      <c r="AC370" s="307"/>
    </row>
    <row r="371" ht="13.5" customHeight="1">
      <c r="A371" s="312"/>
      <c r="B371" s="301"/>
      <c r="C371" s="301"/>
      <c r="D371" s="301"/>
      <c r="E371" s="301"/>
      <c r="F371" s="301"/>
      <c r="G371" s="301"/>
      <c r="H371" s="301"/>
      <c r="I371" s="301"/>
      <c r="J371" s="301"/>
      <c r="K371" s="301"/>
      <c r="L371" s="302"/>
      <c r="M371" s="302"/>
      <c r="N371" s="302"/>
      <c r="O371" s="302"/>
      <c r="P371" s="302"/>
      <c r="Q371" s="302"/>
      <c r="R371" s="302"/>
      <c r="S371" s="302"/>
      <c r="T371" s="302"/>
      <c r="U371" s="302"/>
      <c r="V371" s="302"/>
      <c r="W371" s="302"/>
      <c r="X371" s="302"/>
      <c r="Y371" s="302"/>
      <c r="Z371" s="302"/>
      <c r="AA371" s="302"/>
      <c r="AB371" s="302"/>
      <c r="AC371" s="303"/>
    </row>
    <row r="372" ht="13.5" customHeight="1">
      <c r="A372" s="326"/>
      <c r="B372" s="15"/>
      <c r="C372" s="7"/>
      <c r="D372" s="9"/>
      <c r="E372" s="13"/>
      <c r="F372" s="13"/>
      <c r="G372" s="308"/>
      <c r="H372" s="308"/>
      <c r="I372" s="7"/>
      <c r="J372" s="9"/>
      <c r="K372" s="7"/>
      <c r="L372" s="305"/>
      <c r="M372" s="305"/>
      <c r="N372" s="305"/>
      <c r="O372" s="305"/>
      <c r="P372" s="305"/>
      <c r="Q372" s="305"/>
      <c r="R372" s="305"/>
      <c r="S372" s="305"/>
      <c r="T372" s="305"/>
      <c r="U372" s="305"/>
      <c r="V372" s="305"/>
      <c r="W372" s="305"/>
      <c r="X372" s="305"/>
      <c r="Y372" s="305"/>
      <c r="Z372" s="305"/>
      <c r="AA372" s="305"/>
      <c r="AB372" s="305"/>
      <c r="AC372" s="307"/>
    </row>
    <row r="373" ht="13.5" customHeight="1">
      <c r="A373" s="312"/>
      <c r="B373" s="301"/>
      <c r="C373" s="301"/>
      <c r="D373" s="301"/>
      <c r="E373" s="301"/>
      <c r="F373" s="301"/>
      <c r="G373" s="301"/>
      <c r="H373" s="301"/>
      <c r="I373" s="301"/>
      <c r="J373" s="301"/>
      <c r="K373" s="301"/>
      <c r="L373" s="302"/>
      <c r="M373" s="302"/>
      <c r="N373" s="302"/>
      <c r="O373" s="302"/>
      <c r="P373" s="302"/>
      <c r="Q373" s="302"/>
      <c r="R373" s="302"/>
      <c r="S373" s="302"/>
      <c r="T373" s="302"/>
      <c r="U373" s="302"/>
      <c r="V373" s="302"/>
      <c r="W373" s="302"/>
      <c r="X373" s="302"/>
      <c r="Y373" s="302"/>
      <c r="Z373" s="302"/>
      <c r="AA373" s="302"/>
      <c r="AB373" s="302"/>
      <c r="AC373" s="303"/>
    </row>
    <row r="374" ht="13.5" customHeight="1">
      <c r="A374" s="326"/>
      <c r="B374" s="15"/>
      <c r="C374" s="7"/>
      <c r="D374" s="9"/>
      <c r="E374" s="13"/>
      <c r="F374" s="13"/>
      <c r="G374" s="308"/>
      <c r="H374" s="308"/>
      <c r="I374" s="7"/>
      <c r="J374" s="9"/>
      <c r="K374" s="7"/>
      <c r="L374" s="305"/>
      <c r="M374" s="305"/>
      <c r="N374" s="305"/>
      <c r="O374" s="305"/>
      <c r="P374" s="305"/>
      <c r="Q374" s="305"/>
      <c r="R374" s="305"/>
      <c r="S374" s="305"/>
      <c r="T374" s="305"/>
      <c r="U374" s="305"/>
      <c r="V374" s="305"/>
      <c r="W374" s="305"/>
      <c r="X374" s="305"/>
      <c r="Y374" s="305"/>
      <c r="Z374" s="305"/>
      <c r="AA374" s="305"/>
      <c r="AB374" s="305"/>
      <c r="AC374" s="307"/>
    </row>
    <row r="375" ht="13.5" customHeight="1">
      <c r="A375" s="312"/>
      <c r="B375" s="301"/>
      <c r="C375" s="301"/>
      <c r="D375" s="301"/>
      <c r="E375" s="301"/>
      <c r="F375" s="301"/>
      <c r="G375" s="301"/>
      <c r="H375" s="301"/>
      <c r="I375" s="301"/>
      <c r="J375" s="301"/>
      <c r="K375" s="301"/>
      <c r="L375" s="302"/>
      <c r="M375" s="302"/>
      <c r="N375" s="302"/>
      <c r="O375" s="302"/>
      <c r="P375" s="302"/>
      <c r="Q375" s="302"/>
      <c r="R375" s="302"/>
      <c r="S375" s="302"/>
      <c r="T375" s="302"/>
      <c r="U375" s="302"/>
      <c r="V375" s="302"/>
      <c r="W375" s="302"/>
      <c r="X375" s="302"/>
      <c r="Y375" s="302"/>
      <c r="Z375" s="302"/>
      <c r="AA375" s="302"/>
      <c r="AB375" s="302"/>
      <c r="AC375" s="303"/>
    </row>
    <row r="376" ht="13.5" customHeight="1">
      <c r="A376" s="326"/>
      <c r="B376" s="15"/>
      <c r="C376" s="7"/>
      <c r="D376" s="9"/>
      <c r="E376" s="13"/>
      <c r="F376" s="13"/>
      <c r="G376" s="308"/>
      <c r="H376" s="308"/>
      <c r="I376" s="7"/>
      <c r="J376" s="9"/>
      <c r="K376" s="7"/>
      <c r="L376" s="305"/>
      <c r="M376" s="305"/>
      <c r="N376" s="305"/>
      <c r="O376" s="305"/>
      <c r="P376" s="305"/>
      <c r="Q376" s="305"/>
      <c r="R376" s="305"/>
      <c r="S376" s="305"/>
      <c r="T376" s="305"/>
      <c r="U376" s="305"/>
      <c r="V376" s="305"/>
      <c r="W376" s="305"/>
      <c r="X376" s="305"/>
      <c r="Y376" s="305"/>
      <c r="Z376" s="305"/>
      <c r="AA376" s="305"/>
      <c r="AB376" s="305"/>
      <c r="AC376" s="307"/>
    </row>
    <row r="377" ht="13.5" customHeight="1">
      <c r="A377" s="312"/>
      <c r="B377" s="301"/>
      <c r="C377" s="301"/>
      <c r="D377" s="301"/>
      <c r="E377" s="301"/>
      <c r="F377" s="301"/>
      <c r="G377" s="301"/>
      <c r="H377" s="301"/>
      <c r="I377" s="301"/>
      <c r="J377" s="301"/>
      <c r="K377" s="301"/>
      <c r="L377" s="302"/>
      <c r="M377" s="302"/>
      <c r="N377" s="302"/>
      <c r="O377" s="302"/>
      <c r="P377" s="302"/>
      <c r="Q377" s="302"/>
      <c r="R377" s="302"/>
      <c r="S377" s="302"/>
      <c r="T377" s="302"/>
      <c r="U377" s="302"/>
      <c r="V377" s="302"/>
      <c r="W377" s="302"/>
      <c r="X377" s="302"/>
      <c r="Y377" s="302"/>
      <c r="Z377" s="302"/>
      <c r="AA377" s="302"/>
      <c r="AB377" s="302"/>
      <c r="AC377" s="303"/>
    </row>
    <row r="378" ht="13.5" customHeight="1">
      <c r="A378" s="326"/>
      <c r="B378" s="15"/>
      <c r="C378" s="7"/>
      <c r="D378" s="9"/>
      <c r="E378" s="13"/>
      <c r="F378" s="13"/>
      <c r="G378" s="308"/>
      <c r="H378" s="308"/>
      <c r="I378" s="7"/>
      <c r="J378" s="9"/>
      <c r="K378" s="7"/>
      <c r="L378" s="305"/>
      <c r="M378" s="305"/>
      <c r="N378" s="305"/>
      <c r="O378" s="305"/>
      <c r="P378" s="305"/>
      <c r="Q378" s="305"/>
      <c r="R378" s="305"/>
      <c r="S378" s="305"/>
      <c r="T378" s="305"/>
      <c r="U378" s="305"/>
      <c r="V378" s="305"/>
      <c r="W378" s="305"/>
      <c r="X378" s="305"/>
      <c r="Y378" s="305"/>
      <c r="Z378" s="305"/>
      <c r="AA378" s="305"/>
      <c r="AB378" s="305"/>
      <c r="AC378" s="307"/>
    </row>
    <row r="379" ht="13.5" customHeight="1">
      <c r="A379" s="312"/>
      <c r="B379" s="301"/>
      <c r="C379" s="301"/>
      <c r="D379" s="301"/>
      <c r="E379" s="301"/>
      <c r="F379" s="301"/>
      <c r="G379" s="301"/>
      <c r="H379" s="301"/>
      <c r="I379" s="301"/>
      <c r="J379" s="301"/>
      <c r="K379" s="301"/>
      <c r="L379" s="302"/>
      <c r="M379" s="302"/>
      <c r="N379" s="302"/>
      <c r="O379" s="302"/>
      <c r="P379" s="302"/>
      <c r="Q379" s="302"/>
      <c r="R379" s="302"/>
      <c r="S379" s="302"/>
      <c r="T379" s="302"/>
      <c r="U379" s="302"/>
      <c r="V379" s="302"/>
      <c r="W379" s="302"/>
      <c r="X379" s="302"/>
      <c r="Y379" s="302"/>
      <c r="Z379" s="302"/>
      <c r="AA379" s="302"/>
      <c r="AB379" s="302"/>
      <c r="AC379" s="303"/>
    </row>
    <row r="380" ht="13.5" customHeight="1">
      <c r="A380" s="326"/>
      <c r="B380" s="15"/>
      <c r="C380" s="7"/>
      <c r="D380" s="9"/>
      <c r="E380" s="13"/>
      <c r="F380" s="13"/>
      <c r="G380" s="308"/>
      <c r="H380" s="308"/>
      <c r="I380" s="7"/>
      <c r="J380" s="9"/>
      <c r="K380" s="7"/>
      <c r="L380" s="305"/>
      <c r="M380" s="305"/>
      <c r="N380" s="305"/>
      <c r="O380" s="305"/>
      <c r="P380" s="305"/>
      <c r="Q380" s="305"/>
      <c r="R380" s="305"/>
      <c r="S380" s="305"/>
      <c r="T380" s="305"/>
      <c r="U380" s="305"/>
      <c r="V380" s="305"/>
      <c r="W380" s="305"/>
      <c r="X380" s="305"/>
      <c r="Y380" s="305"/>
      <c r="Z380" s="305"/>
      <c r="AA380" s="305"/>
      <c r="AB380" s="305"/>
      <c r="AC380" s="307"/>
    </row>
    <row r="381" ht="13.5" customHeight="1">
      <c r="A381" s="312"/>
      <c r="B381" s="301"/>
      <c r="C381" s="301"/>
      <c r="D381" s="301"/>
      <c r="E381" s="301"/>
      <c r="F381" s="301"/>
      <c r="G381" s="301"/>
      <c r="H381" s="301"/>
      <c r="I381" s="301"/>
      <c r="J381" s="301"/>
      <c r="K381" s="301"/>
      <c r="L381" s="302"/>
      <c r="M381" s="302"/>
      <c r="N381" s="302"/>
      <c r="O381" s="302"/>
      <c r="P381" s="302"/>
      <c r="Q381" s="302"/>
      <c r="R381" s="302"/>
      <c r="S381" s="302"/>
      <c r="T381" s="302"/>
      <c r="U381" s="302"/>
      <c r="V381" s="302"/>
      <c r="W381" s="302"/>
      <c r="X381" s="302"/>
      <c r="Y381" s="302"/>
      <c r="Z381" s="302"/>
      <c r="AA381" s="302"/>
      <c r="AB381" s="302"/>
      <c r="AC381" s="303"/>
    </row>
    <row r="382" ht="13.5" customHeight="1">
      <c r="A382" s="326"/>
      <c r="B382" s="15"/>
      <c r="C382" s="7"/>
      <c r="D382" s="9"/>
      <c r="E382" s="13"/>
      <c r="F382" s="13"/>
      <c r="G382" s="308"/>
      <c r="H382" s="308"/>
      <c r="I382" s="7"/>
      <c r="J382" s="9"/>
      <c r="K382" s="7"/>
      <c r="L382" s="305"/>
      <c r="M382" s="305"/>
      <c r="N382" s="305"/>
      <c r="O382" s="305"/>
      <c r="P382" s="305"/>
      <c r="Q382" s="305"/>
      <c r="R382" s="305"/>
      <c r="S382" s="305"/>
      <c r="T382" s="305"/>
      <c r="U382" s="305"/>
      <c r="V382" s="305"/>
      <c r="W382" s="305"/>
      <c r="X382" s="305"/>
      <c r="Y382" s="305"/>
      <c r="Z382" s="305"/>
      <c r="AA382" s="305"/>
      <c r="AB382" s="305"/>
      <c r="AC382" s="307"/>
    </row>
    <row r="383" ht="13.5" customHeight="1">
      <c r="A383" s="312"/>
      <c r="B383" s="301"/>
      <c r="C383" s="301"/>
      <c r="D383" s="301"/>
      <c r="E383" s="301"/>
      <c r="F383" s="301"/>
      <c r="G383" s="301"/>
      <c r="H383" s="301"/>
      <c r="I383" s="301"/>
      <c r="J383" s="301"/>
      <c r="K383" s="301"/>
      <c r="L383" s="302"/>
      <c r="M383" s="302"/>
      <c r="N383" s="302"/>
      <c r="O383" s="302"/>
      <c r="P383" s="302"/>
      <c r="Q383" s="302"/>
      <c r="R383" s="302"/>
      <c r="S383" s="302"/>
      <c r="T383" s="302"/>
      <c r="U383" s="302"/>
      <c r="V383" s="302"/>
      <c r="W383" s="302"/>
      <c r="X383" s="302"/>
      <c r="Y383" s="302"/>
      <c r="Z383" s="302"/>
      <c r="AA383" s="302"/>
      <c r="AB383" s="302"/>
      <c r="AC383" s="303"/>
    </row>
    <row r="384" ht="13.5" customHeight="1">
      <c r="A384" s="326"/>
      <c r="B384" s="15"/>
      <c r="C384" s="7"/>
      <c r="D384" s="9"/>
      <c r="E384" s="13"/>
      <c r="F384" s="13"/>
      <c r="G384" s="308"/>
      <c r="H384" s="308"/>
      <c r="I384" s="7"/>
      <c r="J384" s="9"/>
      <c r="K384" s="7"/>
      <c r="L384" s="305"/>
      <c r="M384" s="305"/>
      <c r="N384" s="305"/>
      <c r="O384" s="305"/>
      <c r="P384" s="305"/>
      <c r="Q384" s="305"/>
      <c r="R384" s="305"/>
      <c r="S384" s="305"/>
      <c r="T384" s="305"/>
      <c r="U384" s="305"/>
      <c r="V384" s="305"/>
      <c r="W384" s="305"/>
      <c r="X384" s="305"/>
      <c r="Y384" s="305"/>
      <c r="Z384" s="305"/>
      <c r="AA384" s="305"/>
      <c r="AB384" s="305"/>
      <c r="AC384" s="307"/>
    </row>
    <row r="385" ht="13.5" customHeight="1">
      <c r="A385" s="312"/>
      <c r="B385" s="301"/>
      <c r="C385" s="301"/>
      <c r="D385" s="301"/>
      <c r="E385" s="301"/>
      <c r="F385" s="301"/>
      <c r="G385" s="301"/>
      <c r="H385" s="301"/>
      <c r="I385" s="301"/>
      <c r="J385" s="301"/>
      <c r="K385" s="301"/>
      <c r="L385" s="302"/>
      <c r="M385" s="302"/>
      <c r="N385" s="302"/>
      <c r="O385" s="302"/>
      <c r="P385" s="302"/>
      <c r="Q385" s="302"/>
      <c r="R385" s="302"/>
      <c r="S385" s="302"/>
      <c r="T385" s="302"/>
      <c r="U385" s="302"/>
      <c r="V385" s="302"/>
      <c r="W385" s="302"/>
      <c r="X385" s="302"/>
      <c r="Y385" s="302"/>
      <c r="Z385" s="302"/>
      <c r="AA385" s="302"/>
      <c r="AB385" s="302"/>
      <c r="AC385" s="303"/>
    </row>
    <row r="386" ht="13.5" customHeight="1">
      <c r="A386" s="326"/>
      <c r="B386" s="15"/>
      <c r="C386" s="7"/>
      <c r="D386" s="9"/>
      <c r="E386" s="13"/>
      <c r="F386" s="13"/>
      <c r="G386" s="308"/>
      <c r="H386" s="308"/>
      <c r="I386" s="7"/>
      <c r="J386" s="9"/>
      <c r="K386" s="7"/>
      <c r="L386" s="305"/>
      <c r="M386" s="305"/>
      <c r="N386" s="305"/>
      <c r="O386" s="305"/>
      <c r="P386" s="305"/>
      <c r="Q386" s="305"/>
      <c r="R386" s="305"/>
      <c r="S386" s="305"/>
      <c r="T386" s="305"/>
      <c r="U386" s="305"/>
      <c r="V386" s="305"/>
      <c r="W386" s="305"/>
      <c r="X386" s="305"/>
      <c r="Y386" s="305"/>
      <c r="Z386" s="305"/>
      <c r="AA386" s="305"/>
      <c r="AB386" s="305"/>
      <c r="AC386" s="307"/>
    </row>
    <row r="387" ht="13.5" customHeight="1">
      <c r="A387" s="312"/>
      <c r="B387" s="301"/>
      <c r="C387" s="301"/>
      <c r="D387" s="301"/>
      <c r="E387" s="301"/>
      <c r="F387" s="301"/>
      <c r="G387" s="301"/>
      <c r="H387" s="301"/>
      <c r="I387" s="301"/>
      <c r="J387" s="301"/>
      <c r="K387" s="301"/>
      <c r="L387" s="302"/>
      <c r="M387" s="302"/>
      <c r="N387" s="302"/>
      <c r="O387" s="302"/>
      <c r="P387" s="302"/>
      <c r="Q387" s="302"/>
      <c r="R387" s="302"/>
      <c r="S387" s="302"/>
      <c r="T387" s="302"/>
      <c r="U387" s="302"/>
      <c r="V387" s="302"/>
      <c r="W387" s="302"/>
      <c r="X387" s="302"/>
      <c r="Y387" s="302"/>
      <c r="Z387" s="302"/>
      <c r="AA387" s="302"/>
      <c r="AB387" s="302"/>
      <c r="AC387" s="303"/>
    </row>
    <row r="388" ht="13.5" customHeight="1">
      <c r="A388" s="326"/>
      <c r="B388" s="15"/>
      <c r="C388" s="7"/>
      <c r="D388" s="9"/>
      <c r="E388" s="13"/>
      <c r="F388" s="13"/>
      <c r="G388" s="308"/>
      <c r="H388" s="308"/>
      <c r="I388" s="7"/>
      <c r="J388" s="9"/>
      <c r="K388" s="7"/>
      <c r="L388" s="305"/>
      <c r="M388" s="305"/>
      <c r="N388" s="305"/>
      <c r="O388" s="305"/>
      <c r="P388" s="305"/>
      <c r="Q388" s="305"/>
      <c r="R388" s="305"/>
      <c r="S388" s="305"/>
      <c r="T388" s="305"/>
      <c r="U388" s="305"/>
      <c r="V388" s="305"/>
      <c r="W388" s="305"/>
      <c r="X388" s="305"/>
      <c r="Y388" s="305"/>
      <c r="Z388" s="305"/>
      <c r="AA388" s="305"/>
      <c r="AB388" s="305"/>
      <c r="AC388" s="307"/>
    </row>
    <row r="389" ht="13.5" customHeight="1">
      <c r="A389" s="312"/>
      <c r="B389" s="301"/>
      <c r="C389" s="301"/>
      <c r="D389" s="301"/>
      <c r="E389" s="301"/>
      <c r="F389" s="301"/>
      <c r="G389" s="301"/>
      <c r="H389" s="301"/>
      <c r="I389" s="301"/>
      <c r="J389" s="301"/>
      <c r="K389" s="301"/>
      <c r="L389" s="302"/>
      <c r="M389" s="302"/>
      <c r="N389" s="302"/>
      <c r="O389" s="302"/>
      <c r="P389" s="302"/>
      <c r="Q389" s="302"/>
      <c r="R389" s="302"/>
      <c r="S389" s="302"/>
      <c r="T389" s="302"/>
      <c r="U389" s="302"/>
      <c r="V389" s="302"/>
      <c r="W389" s="302"/>
      <c r="X389" s="302"/>
      <c r="Y389" s="302"/>
      <c r="Z389" s="302"/>
      <c r="AA389" s="302"/>
      <c r="AB389" s="302"/>
      <c r="AC389" s="303"/>
    </row>
    <row r="390" ht="13.5" customHeight="1">
      <c r="A390" s="326"/>
      <c r="B390" s="15"/>
      <c r="C390" s="7"/>
      <c r="D390" s="9"/>
      <c r="E390" s="13"/>
      <c r="F390" s="13"/>
      <c r="G390" s="308"/>
      <c r="H390" s="308"/>
      <c r="I390" s="7"/>
      <c r="J390" s="9"/>
      <c r="K390" s="7"/>
      <c r="L390" s="305"/>
      <c r="M390" s="305"/>
      <c r="N390" s="305"/>
      <c r="O390" s="305"/>
      <c r="P390" s="305"/>
      <c r="Q390" s="305"/>
      <c r="R390" s="305"/>
      <c r="S390" s="305"/>
      <c r="T390" s="305"/>
      <c r="U390" s="305"/>
      <c r="V390" s="305"/>
      <c r="W390" s="305"/>
      <c r="X390" s="305"/>
      <c r="Y390" s="305"/>
      <c r="Z390" s="305"/>
      <c r="AA390" s="305"/>
      <c r="AB390" s="305"/>
      <c r="AC390" s="307"/>
    </row>
    <row r="391" ht="13.5" customHeight="1">
      <c r="A391" s="312"/>
      <c r="B391" s="301"/>
      <c r="C391" s="301"/>
      <c r="D391" s="301"/>
      <c r="E391" s="301"/>
      <c r="F391" s="301"/>
      <c r="G391" s="301"/>
      <c r="H391" s="301"/>
      <c r="I391" s="301"/>
      <c r="J391" s="301"/>
      <c r="K391" s="301"/>
      <c r="L391" s="302"/>
      <c r="M391" s="302"/>
      <c r="N391" s="302"/>
      <c r="O391" s="302"/>
      <c r="P391" s="302"/>
      <c r="Q391" s="302"/>
      <c r="R391" s="302"/>
      <c r="S391" s="302"/>
      <c r="T391" s="302"/>
      <c r="U391" s="302"/>
      <c r="V391" s="302"/>
      <c r="W391" s="302"/>
      <c r="X391" s="302"/>
      <c r="Y391" s="302"/>
      <c r="Z391" s="302"/>
      <c r="AA391" s="302"/>
      <c r="AB391" s="302"/>
      <c r="AC391" s="303"/>
    </row>
    <row r="392" ht="13.5" customHeight="1">
      <c r="A392" s="326"/>
      <c r="B392" s="15"/>
      <c r="C392" s="7"/>
      <c r="D392" s="9"/>
      <c r="E392" s="13"/>
      <c r="F392" s="13"/>
      <c r="G392" s="308"/>
      <c r="H392" s="308"/>
      <c r="I392" s="7"/>
      <c r="J392" s="9"/>
      <c r="K392" s="7"/>
      <c r="L392" s="305"/>
      <c r="M392" s="305"/>
      <c r="N392" s="305"/>
      <c r="O392" s="305"/>
      <c r="P392" s="305"/>
      <c r="Q392" s="305"/>
      <c r="R392" s="305"/>
      <c r="S392" s="305"/>
      <c r="T392" s="305"/>
      <c r="U392" s="305"/>
      <c r="V392" s="305"/>
      <c r="W392" s="305"/>
      <c r="X392" s="305"/>
      <c r="Y392" s="305"/>
      <c r="Z392" s="305"/>
      <c r="AA392" s="305"/>
      <c r="AB392" s="305"/>
      <c r="AC392" s="307"/>
    </row>
    <row r="393" ht="13.5" customHeight="1">
      <c r="A393" s="312"/>
      <c r="B393" s="301"/>
      <c r="C393" s="301"/>
      <c r="D393" s="301"/>
      <c r="E393" s="301"/>
      <c r="F393" s="301"/>
      <c r="G393" s="301"/>
      <c r="H393" s="301"/>
      <c r="I393" s="301"/>
      <c r="J393" s="301"/>
      <c r="K393" s="301"/>
      <c r="L393" s="302"/>
      <c r="M393" s="302"/>
      <c r="N393" s="302"/>
      <c r="O393" s="302"/>
      <c r="P393" s="302"/>
      <c r="Q393" s="302"/>
      <c r="R393" s="302"/>
      <c r="S393" s="302"/>
      <c r="T393" s="302"/>
      <c r="U393" s="302"/>
      <c r="V393" s="302"/>
      <c r="W393" s="302"/>
      <c r="X393" s="302"/>
      <c r="Y393" s="302"/>
      <c r="Z393" s="302"/>
      <c r="AA393" s="302"/>
      <c r="AB393" s="302"/>
      <c r="AC393" s="303"/>
    </row>
    <row r="394" ht="13.5" customHeight="1">
      <c r="A394" s="326"/>
      <c r="B394" s="15"/>
      <c r="C394" s="7"/>
      <c r="D394" s="9"/>
      <c r="E394" s="13"/>
      <c r="F394" s="13"/>
      <c r="G394" s="308"/>
      <c r="H394" s="308"/>
      <c r="I394" s="7"/>
      <c r="J394" s="9"/>
      <c r="K394" s="7"/>
      <c r="L394" s="305"/>
      <c r="M394" s="305"/>
      <c r="N394" s="305"/>
      <c r="O394" s="305"/>
      <c r="P394" s="305"/>
      <c r="Q394" s="305"/>
      <c r="R394" s="305"/>
      <c r="S394" s="305"/>
      <c r="T394" s="305"/>
      <c r="U394" s="305"/>
      <c r="V394" s="305"/>
      <c r="W394" s="305"/>
      <c r="X394" s="305"/>
      <c r="Y394" s="305"/>
      <c r="Z394" s="305"/>
      <c r="AA394" s="305"/>
      <c r="AB394" s="305"/>
      <c r="AC394" s="307"/>
    </row>
    <row r="395" ht="13.5" customHeight="1">
      <c r="A395" s="312"/>
      <c r="B395" s="301"/>
      <c r="C395" s="301"/>
      <c r="D395" s="301"/>
      <c r="E395" s="301"/>
      <c r="F395" s="301"/>
      <c r="G395" s="301"/>
      <c r="H395" s="301"/>
      <c r="I395" s="301"/>
      <c r="J395" s="301"/>
      <c r="K395" s="301"/>
      <c r="L395" s="302"/>
      <c r="M395" s="302"/>
      <c r="N395" s="302"/>
      <c r="O395" s="302"/>
      <c r="P395" s="302"/>
      <c r="Q395" s="302"/>
      <c r="R395" s="302"/>
      <c r="S395" s="302"/>
      <c r="T395" s="302"/>
      <c r="U395" s="302"/>
      <c r="V395" s="302"/>
      <c r="W395" s="302"/>
      <c r="X395" s="302"/>
      <c r="Y395" s="302"/>
      <c r="Z395" s="302"/>
      <c r="AA395" s="302"/>
      <c r="AB395" s="302"/>
      <c r="AC395" s="303"/>
    </row>
    <row r="396" ht="13.5" customHeight="1">
      <c r="A396" s="326"/>
      <c r="B396" s="15"/>
      <c r="C396" s="7"/>
      <c r="D396" s="9"/>
      <c r="E396" s="13"/>
      <c r="F396" s="13"/>
      <c r="G396" s="308"/>
      <c r="H396" s="308"/>
      <c r="I396" s="7"/>
      <c r="J396" s="9"/>
      <c r="K396" s="7"/>
      <c r="L396" s="305"/>
      <c r="M396" s="305"/>
      <c r="N396" s="305"/>
      <c r="O396" s="305"/>
      <c r="P396" s="305"/>
      <c r="Q396" s="305"/>
      <c r="R396" s="305"/>
      <c r="S396" s="305"/>
      <c r="T396" s="305"/>
      <c r="U396" s="305"/>
      <c r="V396" s="305"/>
      <c r="W396" s="305"/>
      <c r="X396" s="305"/>
      <c r="Y396" s="305"/>
      <c r="Z396" s="305"/>
      <c r="AA396" s="305"/>
      <c r="AB396" s="305"/>
      <c r="AC396" s="307"/>
    </row>
    <row r="397" ht="13.5" customHeight="1">
      <c r="A397" s="312"/>
      <c r="B397" s="301"/>
      <c r="C397" s="301"/>
      <c r="D397" s="301"/>
      <c r="E397" s="301"/>
      <c r="F397" s="301"/>
      <c r="G397" s="301"/>
      <c r="H397" s="301"/>
      <c r="I397" s="301"/>
      <c r="J397" s="301"/>
      <c r="K397" s="301"/>
      <c r="L397" s="302"/>
      <c r="M397" s="302"/>
      <c r="N397" s="302"/>
      <c r="O397" s="302"/>
      <c r="P397" s="302"/>
      <c r="Q397" s="302"/>
      <c r="R397" s="302"/>
      <c r="S397" s="302"/>
      <c r="T397" s="302"/>
      <c r="U397" s="302"/>
      <c r="V397" s="302"/>
      <c r="W397" s="302"/>
      <c r="X397" s="302"/>
      <c r="Y397" s="302"/>
      <c r="Z397" s="302"/>
      <c r="AA397" s="302"/>
      <c r="AB397" s="302"/>
      <c r="AC397" s="303"/>
    </row>
    <row r="398" ht="13.5" customHeight="1">
      <c r="A398" s="326"/>
      <c r="B398" s="15"/>
      <c r="C398" s="7"/>
      <c r="D398" s="9"/>
      <c r="E398" s="13"/>
      <c r="F398" s="13"/>
      <c r="G398" s="308"/>
      <c r="H398" s="308"/>
      <c r="I398" s="7"/>
      <c r="J398" s="9"/>
      <c r="K398" s="7"/>
      <c r="L398" s="305"/>
      <c r="M398" s="305"/>
      <c r="N398" s="305"/>
      <c r="O398" s="305"/>
      <c r="P398" s="305"/>
      <c r="Q398" s="305"/>
      <c r="R398" s="305"/>
      <c r="S398" s="305"/>
      <c r="T398" s="305"/>
      <c r="U398" s="305"/>
      <c r="V398" s="305"/>
      <c r="W398" s="305"/>
      <c r="X398" s="305"/>
      <c r="Y398" s="305"/>
      <c r="Z398" s="305"/>
      <c r="AA398" s="305"/>
      <c r="AB398" s="305"/>
      <c r="AC398" s="307"/>
    </row>
    <row r="399" ht="13.5" customHeight="1">
      <c r="A399" s="312"/>
      <c r="B399" s="301"/>
      <c r="C399" s="301"/>
      <c r="D399" s="301"/>
      <c r="E399" s="301"/>
      <c r="F399" s="301"/>
      <c r="G399" s="301"/>
      <c r="H399" s="301"/>
      <c r="I399" s="301"/>
      <c r="J399" s="301"/>
      <c r="K399" s="301"/>
      <c r="L399" s="302"/>
      <c r="M399" s="302"/>
      <c r="N399" s="302"/>
      <c r="O399" s="302"/>
      <c r="P399" s="302"/>
      <c r="Q399" s="302"/>
      <c r="R399" s="302"/>
      <c r="S399" s="302"/>
      <c r="T399" s="302"/>
      <c r="U399" s="302"/>
      <c r="V399" s="302"/>
      <c r="W399" s="302"/>
      <c r="X399" s="302"/>
      <c r="Y399" s="302"/>
      <c r="Z399" s="302"/>
      <c r="AA399" s="302"/>
      <c r="AB399" s="302"/>
      <c r="AC399" s="303"/>
    </row>
    <row r="400" ht="13.5" customHeight="1">
      <c r="A400" s="326"/>
      <c r="B400" s="15"/>
      <c r="C400" s="7"/>
      <c r="D400" s="9"/>
      <c r="E400" s="13"/>
      <c r="F400" s="13"/>
      <c r="G400" s="308"/>
      <c r="H400" s="308"/>
      <c r="I400" s="7"/>
      <c r="J400" s="9"/>
      <c r="K400" s="7"/>
      <c r="L400" s="305"/>
      <c r="M400" s="305"/>
      <c r="N400" s="305"/>
      <c r="O400" s="305"/>
      <c r="P400" s="305"/>
      <c r="Q400" s="305"/>
      <c r="R400" s="305"/>
      <c r="S400" s="305"/>
      <c r="T400" s="305"/>
      <c r="U400" s="305"/>
      <c r="V400" s="305"/>
      <c r="W400" s="305"/>
      <c r="X400" s="305"/>
      <c r="Y400" s="305"/>
      <c r="Z400" s="305"/>
      <c r="AA400" s="305"/>
      <c r="AB400" s="305"/>
      <c r="AC400" s="307"/>
    </row>
    <row r="401" ht="13.5" customHeight="1">
      <c r="A401" s="312"/>
      <c r="B401" s="301"/>
      <c r="C401" s="301"/>
      <c r="D401" s="301"/>
      <c r="E401" s="301"/>
      <c r="F401" s="301"/>
      <c r="G401" s="301"/>
      <c r="H401" s="301"/>
      <c r="I401" s="301"/>
      <c r="J401" s="301"/>
      <c r="K401" s="301"/>
      <c r="L401" s="302"/>
      <c r="M401" s="302"/>
      <c r="N401" s="302"/>
      <c r="O401" s="302"/>
      <c r="P401" s="302"/>
      <c r="Q401" s="302"/>
      <c r="R401" s="302"/>
      <c r="S401" s="302"/>
      <c r="T401" s="302"/>
      <c r="U401" s="302"/>
      <c r="V401" s="302"/>
      <c r="W401" s="302"/>
      <c r="X401" s="302"/>
      <c r="Y401" s="302"/>
      <c r="Z401" s="302"/>
      <c r="AA401" s="302"/>
      <c r="AB401" s="302"/>
      <c r="AC401" s="303"/>
    </row>
    <row r="402" ht="13.5" customHeight="1">
      <c r="A402" s="326"/>
      <c r="B402" s="15"/>
      <c r="C402" s="7"/>
      <c r="D402" s="9"/>
      <c r="E402" s="13"/>
      <c r="F402" s="13"/>
      <c r="G402" s="308"/>
      <c r="H402" s="308"/>
      <c r="I402" s="7"/>
      <c r="J402" s="9"/>
      <c r="K402" s="7"/>
      <c r="L402" s="305"/>
      <c r="M402" s="305"/>
      <c r="N402" s="305"/>
      <c r="O402" s="305"/>
      <c r="P402" s="305"/>
      <c r="Q402" s="305"/>
      <c r="R402" s="305"/>
      <c r="S402" s="305"/>
      <c r="T402" s="305"/>
      <c r="U402" s="305"/>
      <c r="V402" s="305"/>
      <c r="W402" s="305"/>
      <c r="X402" s="305"/>
      <c r="Y402" s="305"/>
      <c r="Z402" s="305"/>
      <c r="AA402" s="305"/>
      <c r="AB402" s="305"/>
      <c r="AC402" s="307"/>
    </row>
    <row r="403" ht="13.5" customHeight="1">
      <c r="A403" s="312"/>
      <c r="B403" s="301"/>
      <c r="C403" s="301"/>
      <c r="D403" s="301"/>
      <c r="E403" s="301"/>
      <c r="F403" s="301"/>
      <c r="G403" s="301"/>
      <c r="H403" s="301"/>
      <c r="I403" s="301"/>
      <c r="J403" s="301"/>
      <c r="K403" s="301"/>
      <c r="L403" s="302"/>
      <c r="M403" s="302"/>
      <c r="N403" s="302"/>
      <c r="O403" s="302"/>
      <c r="P403" s="302"/>
      <c r="Q403" s="302"/>
      <c r="R403" s="302"/>
      <c r="S403" s="302"/>
      <c r="T403" s="302"/>
      <c r="U403" s="302"/>
      <c r="V403" s="302"/>
      <c r="W403" s="302"/>
      <c r="X403" s="302"/>
      <c r="Y403" s="302"/>
      <c r="Z403" s="302"/>
      <c r="AA403" s="302"/>
      <c r="AB403" s="302"/>
      <c r="AC403" s="303"/>
    </row>
    <row r="404" ht="13.5" customHeight="1">
      <c r="A404" s="326"/>
      <c r="B404" s="15"/>
      <c r="C404" s="7"/>
      <c r="D404" s="9"/>
      <c r="E404" s="13"/>
      <c r="F404" s="13"/>
      <c r="G404" s="308"/>
      <c r="H404" s="308"/>
      <c r="I404" s="7"/>
      <c r="J404" s="9"/>
      <c r="K404" s="7"/>
      <c r="L404" s="305"/>
      <c r="M404" s="305"/>
      <c r="N404" s="305"/>
      <c r="O404" s="305"/>
      <c r="P404" s="305"/>
      <c r="Q404" s="305"/>
      <c r="R404" s="305"/>
      <c r="S404" s="305"/>
      <c r="T404" s="305"/>
      <c r="U404" s="305"/>
      <c r="V404" s="305"/>
      <c r="W404" s="305"/>
      <c r="X404" s="305"/>
      <c r="Y404" s="305"/>
      <c r="Z404" s="305"/>
      <c r="AA404" s="305"/>
      <c r="AB404" s="305"/>
      <c r="AC404" s="307"/>
    </row>
    <row r="405" ht="13.5" customHeight="1">
      <c r="A405" s="312"/>
      <c r="B405" s="301"/>
      <c r="C405" s="301"/>
      <c r="D405" s="301"/>
      <c r="E405" s="301"/>
      <c r="F405" s="301"/>
      <c r="G405" s="301"/>
      <c r="H405" s="301"/>
      <c r="I405" s="301"/>
      <c r="J405" s="301"/>
      <c r="K405" s="301"/>
      <c r="L405" s="302"/>
      <c r="M405" s="302"/>
      <c r="N405" s="302"/>
      <c r="O405" s="302"/>
      <c r="P405" s="302"/>
      <c r="Q405" s="302"/>
      <c r="R405" s="302"/>
      <c r="S405" s="302"/>
      <c r="T405" s="302"/>
      <c r="U405" s="302"/>
      <c r="V405" s="302"/>
      <c r="W405" s="302"/>
      <c r="X405" s="302"/>
      <c r="Y405" s="302"/>
      <c r="Z405" s="302"/>
      <c r="AA405" s="302"/>
      <c r="AB405" s="302"/>
      <c r="AC405" s="303"/>
    </row>
    <row r="406" ht="13.5" customHeight="1">
      <c r="A406" s="326"/>
      <c r="B406" s="15"/>
      <c r="C406" s="7"/>
      <c r="D406" s="9"/>
      <c r="E406" s="13"/>
      <c r="F406" s="13"/>
      <c r="G406" s="308"/>
      <c r="H406" s="308"/>
      <c r="I406" s="7"/>
      <c r="J406" s="9"/>
      <c r="K406" s="7"/>
      <c r="L406" s="305"/>
      <c r="M406" s="305"/>
      <c r="N406" s="305"/>
      <c r="O406" s="305"/>
      <c r="P406" s="305"/>
      <c r="Q406" s="305"/>
      <c r="R406" s="305"/>
      <c r="S406" s="305"/>
      <c r="T406" s="305"/>
      <c r="U406" s="305"/>
      <c r="V406" s="305"/>
      <c r="W406" s="305"/>
      <c r="X406" s="305"/>
      <c r="Y406" s="305"/>
      <c r="Z406" s="305"/>
      <c r="AA406" s="305"/>
      <c r="AB406" s="305"/>
      <c r="AC406" s="307"/>
    </row>
    <row r="407" ht="13.5" customHeight="1">
      <c r="A407" s="312"/>
      <c r="B407" s="301"/>
      <c r="C407" s="301"/>
      <c r="D407" s="301"/>
      <c r="E407" s="301"/>
      <c r="F407" s="301"/>
      <c r="G407" s="301"/>
      <c r="H407" s="301"/>
      <c r="I407" s="301"/>
      <c r="J407" s="301"/>
      <c r="K407" s="301"/>
      <c r="L407" s="302"/>
      <c r="M407" s="302"/>
      <c r="N407" s="302"/>
      <c r="O407" s="302"/>
      <c r="P407" s="302"/>
      <c r="Q407" s="302"/>
      <c r="R407" s="302"/>
      <c r="S407" s="302"/>
      <c r="T407" s="302"/>
      <c r="U407" s="302"/>
      <c r="V407" s="302"/>
      <c r="W407" s="302"/>
      <c r="X407" s="302"/>
      <c r="Y407" s="302"/>
      <c r="Z407" s="302"/>
      <c r="AA407" s="302"/>
      <c r="AB407" s="302"/>
      <c r="AC407" s="303"/>
    </row>
    <row r="408" ht="13.5" customHeight="1">
      <c r="A408" s="326"/>
      <c r="B408" s="15"/>
      <c r="C408" s="7"/>
      <c r="D408" s="9"/>
      <c r="E408" s="13"/>
      <c r="F408" s="13"/>
      <c r="G408" s="308"/>
      <c r="H408" s="308"/>
      <c r="I408" s="7"/>
      <c r="J408" s="9"/>
      <c r="K408" s="7"/>
      <c r="L408" s="305"/>
      <c r="M408" s="305"/>
      <c r="N408" s="305"/>
      <c r="O408" s="305"/>
      <c r="P408" s="305"/>
      <c r="Q408" s="305"/>
      <c r="R408" s="305"/>
      <c r="S408" s="305"/>
      <c r="T408" s="305"/>
      <c r="U408" s="305"/>
      <c r="V408" s="305"/>
      <c r="W408" s="305"/>
      <c r="X408" s="305"/>
      <c r="Y408" s="305"/>
      <c r="Z408" s="305"/>
      <c r="AA408" s="305"/>
      <c r="AB408" s="305"/>
      <c r="AC408" s="307"/>
    </row>
    <row r="409" ht="13.5" customHeight="1">
      <c r="A409" s="312"/>
      <c r="B409" s="301"/>
      <c r="C409" s="301"/>
      <c r="D409" s="301"/>
      <c r="E409" s="301"/>
      <c r="F409" s="301"/>
      <c r="G409" s="301"/>
      <c r="H409" s="301"/>
      <c r="I409" s="301"/>
      <c r="J409" s="301"/>
      <c r="K409" s="301"/>
      <c r="L409" s="302"/>
      <c r="M409" s="302"/>
      <c r="N409" s="302"/>
      <c r="O409" s="302"/>
      <c r="P409" s="302"/>
      <c r="Q409" s="302"/>
      <c r="R409" s="302"/>
      <c r="S409" s="302"/>
      <c r="T409" s="302"/>
      <c r="U409" s="302"/>
      <c r="V409" s="302"/>
      <c r="W409" s="302"/>
      <c r="X409" s="302"/>
      <c r="Y409" s="302"/>
      <c r="Z409" s="302"/>
      <c r="AA409" s="302"/>
      <c r="AB409" s="302"/>
      <c r="AC409" s="303"/>
    </row>
    <row r="410" ht="13.5" customHeight="1">
      <c r="A410" s="326"/>
      <c r="B410" s="15"/>
      <c r="C410" s="7"/>
      <c r="D410" s="9"/>
      <c r="E410" s="13"/>
      <c r="F410" s="13"/>
      <c r="G410" s="308"/>
      <c r="H410" s="308"/>
      <c r="I410" s="7"/>
      <c r="J410" s="9"/>
      <c r="K410" s="7"/>
      <c r="L410" s="305"/>
      <c r="M410" s="305"/>
      <c r="N410" s="305"/>
      <c r="O410" s="305"/>
      <c r="P410" s="305"/>
      <c r="Q410" s="305"/>
      <c r="R410" s="305"/>
      <c r="S410" s="305"/>
      <c r="T410" s="305"/>
      <c r="U410" s="305"/>
      <c r="V410" s="305"/>
      <c r="W410" s="305"/>
      <c r="X410" s="305"/>
      <c r="Y410" s="305"/>
      <c r="Z410" s="305"/>
      <c r="AA410" s="305"/>
      <c r="AB410" s="305"/>
      <c r="AC410" s="307"/>
    </row>
    <row r="411" ht="13.5" customHeight="1">
      <c r="A411" s="312"/>
      <c r="B411" s="301"/>
      <c r="C411" s="301"/>
      <c r="D411" s="301"/>
      <c r="E411" s="301"/>
      <c r="F411" s="301"/>
      <c r="G411" s="301"/>
      <c r="H411" s="301"/>
      <c r="I411" s="301"/>
      <c r="J411" s="301"/>
      <c r="K411" s="301"/>
      <c r="L411" s="302"/>
      <c r="M411" s="302"/>
      <c r="N411" s="302"/>
      <c r="O411" s="302"/>
      <c r="P411" s="302"/>
      <c r="Q411" s="302"/>
      <c r="R411" s="302"/>
      <c r="S411" s="302"/>
      <c r="T411" s="302"/>
      <c r="U411" s="302"/>
      <c r="V411" s="302"/>
      <c r="W411" s="302"/>
      <c r="X411" s="302"/>
      <c r="Y411" s="302"/>
      <c r="Z411" s="302"/>
      <c r="AA411" s="302"/>
      <c r="AB411" s="302"/>
      <c r="AC411" s="303"/>
    </row>
    <row r="412" ht="13.5" customHeight="1">
      <c r="A412" s="326"/>
      <c r="B412" s="15"/>
      <c r="C412" s="7"/>
      <c r="D412" s="9"/>
      <c r="E412" s="13"/>
      <c r="F412" s="13"/>
      <c r="G412" s="308"/>
      <c r="H412" s="308"/>
      <c r="I412" s="7"/>
      <c r="J412" s="9"/>
      <c r="K412" s="7"/>
      <c r="L412" s="305"/>
      <c r="M412" s="305"/>
      <c r="N412" s="305"/>
      <c r="O412" s="305"/>
      <c r="P412" s="305"/>
      <c r="Q412" s="305"/>
      <c r="R412" s="305"/>
      <c r="S412" s="305"/>
      <c r="T412" s="305"/>
      <c r="U412" s="305"/>
      <c r="V412" s="305"/>
      <c r="W412" s="305"/>
      <c r="X412" s="305"/>
      <c r="Y412" s="305"/>
      <c r="Z412" s="305"/>
      <c r="AA412" s="305"/>
      <c r="AB412" s="305"/>
      <c r="AC412" s="307"/>
    </row>
    <row r="413" ht="13.5" customHeight="1">
      <c r="A413" s="312"/>
      <c r="B413" s="301"/>
      <c r="C413" s="301"/>
      <c r="D413" s="301"/>
      <c r="E413" s="301"/>
      <c r="F413" s="301"/>
      <c r="G413" s="301"/>
      <c r="H413" s="301"/>
      <c r="I413" s="301"/>
      <c r="J413" s="301"/>
      <c r="K413" s="301"/>
      <c r="L413" s="302"/>
      <c r="M413" s="302"/>
      <c r="N413" s="302"/>
      <c r="O413" s="302"/>
      <c r="P413" s="302"/>
      <c r="Q413" s="302"/>
      <c r="R413" s="302"/>
      <c r="S413" s="302"/>
      <c r="T413" s="302"/>
      <c r="U413" s="302"/>
      <c r="V413" s="302"/>
      <c r="W413" s="302"/>
      <c r="X413" s="302"/>
      <c r="Y413" s="302"/>
      <c r="Z413" s="302"/>
      <c r="AA413" s="302"/>
      <c r="AB413" s="302"/>
      <c r="AC413" s="303"/>
    </row>
    <row r="414" ht="13.5" customHeight="1">
      <c r="A414" s="326"/>
      <c r="B414" s="15"/>
      <c r="C414" s="7"/>
      <c r="D414" s="9"/>
      <c r="E414" s="13"/>
      <c r="F414" s="13"/>
      <c r="G414" s="308"/>
      <c r="H414" s="308"/>
      <c r="I414" s="7"/>
      <c r="J414" s="9"/>
      <c r="K414" s="7"/>
      <c r="L414" s="305"/>
      <c r="M414" s="305"/>
      <c r="N414" s="305"/>
      <c r="O414" s="305"/>
      <c r="P414" s="305"/>
      <c r="Q414" s="305"/>
      <c r="R414" s="305"/>
      <c r="S414" s="305"/>
      <c r="T414" s="305"/>
      <c r="U414" s="305"/>
      <c r="V414" s="305"/>
      <c r="W414" s="305"/>
      <c r="X414" s="305"/>
      <c r="Y414" s="305"/>
      <c r="Z414" s="305"/>
      <c r="AA414" s="305"/>
      <c r="AB414" s="305"/>
      <c r="AC414" s="307"/>
    </row>
    <row r="415" ht="13.5" customHeight="1">
      <c r="A415" s="312"/>
      <c r="B415" s="301"/>
      <c r="C415" s="301"/>
      <c r="D415" s="301"/>
      <c r="E415" s="301"/>
      <c r="F415" s="301"/>
      <c r="G415" s="301"/>
      <c r="H415" s="301"/>
      <c r="I415" s="301"/>
      <c r="J415" s="301"/>
      <c r="K415" s="301"/>
      <c r="L415" s="302"/>
      <c r="M415" s="302"/>
      <c r="N415" s="302"/>
      <c r="O415" s="302"/>
      <c r="P415" s="302"/>
      <c r="Q415" s="302"/>
      <c r="R415" s="302"/>
      <c r="S415" s="302"/>
      <c r="T415" s="302"/>
      <c r="U415" s="302"/>
      <c r="V415" s="302"/>
      <c r="W415" s="302"/>
      <c r="X415" s="302"/>
      <c r="Y415" s="302"/>
      <c r="Z415" s="302"/>
      <c r="AA415" s="302"/>
      <c r="AB415" s="302"/>
      <c r="AC415" s="303"/>
    </row>
    <row r="416" ht="13.5" customHeight="1">
      <c r="A416" s="326"/>
      <c r="B416" s="15"/>
      <c r="C416" s="7"/>
      <c r="D416" s="9"/>
      <c r="E416" s="13"/>
      <c r="F416" s="13"/>
      <c r="G416" s="308"/>
      <c r="H416" s="308"/>
      <c r="I416" s="7"/>
      <c r="J416" s="9"/>
      <c r="K416" s="7"/>
      <c r="L416" s="305"/>
      <c r="M416" s="305"/>
      <c r="N416" s="305"/>
      <c r="O416" s="305"/>
      <c r="P416" s="305"/>
      <c r="Q416" s="305"/>
      <c r="R416" s="305"/>
      <c r="S416" s="305"/>
      <c r="T416" s="305"/>
      <c r="U416" s="305"/>
      <c r="V416" s="305"/>
      <c r="W416" s="305"/>
      <c r="X416" s="305"/>
      <c r="Y416" s="305"/>
      <c r="Z416" s="305"/>
      <c r="AA416" s="305"/>
      <c r="AB416" s="305"/>
      <c r="AC416" s="307"/>
    </row>
    <row r="417" ht="13.5" customHeight="1">
      <c r="A417" s="312"/>
      <c r="B417" s="301"/>
      <c r="C417" s="301"/>
      <c r="D417" s="301"/>
      <c r="E417" s="301"/>
      <c r="F417" s="301"/>
      <c r="G417" s="301"/>
      <c r="H417" s="301"/>
      <c r="I417" s="301"/>
      <c r="J417" s="301"/>
      <c r="K417" s="301"/>
      <c r="L417" s="302"/>
      <c r="M417" s="302"/>
      <c r="N417" s="302"/>
      <c r="O417" s="302"/>
      <c r="P417" s="302"/>
      <c r="Q417" s="302"/>
      <c r="R417" s="302"/>
      <c r="S417" s="302"/>
      <c r="T417" s="302"/>
      <c r="U417" s="302"/>
      <c r="V417" s="302"/>
      <c r="W417" s="302"/>
      <c r="X417" s="302"/>
      <c r="Y417" s="302"/>
      <c r="Z417" s="302"/>
      <c r="AA417" s="302"/>
      <c r="AB417" s="302"/>
      <c r="AC417" s="303"/>
    </row>
    <row r="418" ht="13.5" customHeight="1">
      <c r="A418" s="326"/>
      <c r="B418" s="15"/>
      <c r="C418" s="7"/>
      <c r="D418" s="9"/>
      <c r="E418" s="13"/>
      <c r="F418" s="13"/>
      <c r="G418" s="308"/>
      <c r="H418" s="308"/>
      <c r="I418" s="7"/>
      <c r="J418" s="9"/>
      <c r="K418" s="7"/>
      <c r="L418" s="305"/>
      <c r="M418" s="305"/>
      <c r="N418" s="305"/>
      <c r="O418" s="305"/>
      <c r="P418" s="305"/>
      <c r="Q418" s="305"/>
      <c r="R418" s="305"/>
      <c r="S418" s="305"/>
      <c r="T418" s="305"/>
      <c r="U418" s="305"/>
      <c r="V418" s="305"/>
      <c r="W418" s="305"/>
      <c r="X418" s="305"/>
      <c r="Y418" s="305"/>
      <c r="Z418" s="305"/>
      <c r="AA418" s="305"/>
      <c r="AB418" s="305"/>
      <c r="AC418" s="307"/>
    </row>
    <row r="419" ht="13.5" customHeight="1">
      <c r="A419" s="312"/>
      <c r="B419" s="301"/>
      <c r="C419" s="301"/>
      <c r="D419" s="301"/>
      <c r="E419" s="301"/>
      <c r="F419" s="301"/>
      <c r="G419" s="301"/>
      <c r="H419" s="301"/>
      <c r="I419" s="301"/>
      <c r="J419" s="301"/>
      <c r="K419" s="301"/>
      <c r="L419" s="302"/>
      <c r="M419" s="302"/>
      <c r="N419" s="302"/>
      <c r="O419" s="302"/>
      <c r="P419" s="302"/>
      <c r="Q419" s="302"/>
      <c r="R419" s="302"/>
      <c r="S419" s="302"/>
      <c r="T419" s="302"/>
      <c r="U419" s="302"/>
      <c r="V419" s="302"/>
      <c r="W419" s="302"/>
      <c r="X419" s="302"/>
      <c r="Y419" s="302"/>
      <c r="Z419" s="302"/>
      <c r="AA419" s="302"/>
      <c r="AB419" s="302"/>
      <c r="AC419" s="303"/>
    </row>
    <row r="420" ht="13.5" customHeight="1">
      <c r="A420" s="326"/>
      <c r="B420" s="15"/>
      <c r="C420" s="7"/>
      <c r="D420" s="9"/>
      <c r="E420" s="13"/>
      <c r="F420" s="13"/>
      <c r="G420" s="308"/>
      <c r="H420" s="308"/>
      <c r="I420" s="7"/>
      <c r="J420" s="9"/>
      <c r="K420" s="7"/>
      <c r="L420" s="305"/>
      <c r="M420" s="305"/>
      <c r="N420" s="305"/>
      <c r="O420" s="305"/>
      <c r="P420" s="305"/>
      <c r="Q420" s="305"/>
      <c r="R420" s="305"/>
      <c r="S420" s="305"/>
      <c r="T420" s="305"/>
      <c r="U420" s="305"/>
      <c r="V420" s="305"/>
      <c r="W420" s="305"/>
      <c r="X420" s="305"/>
      <c r="Y420" s="305"/>
      <c r="Z420" s="305"/>
      <c r="AA420" s="305"/>
      <c r="AB420" s="305"/>
      <c r="AC420" s="307"/>
    </row>
    <row r="421" ht="13.5" customHeight="1">
      <c r="A421" s="312"/>
      <c r="B421" s="301"/>
      <c r="C421" s="301"/>
      <c r="D421" s="301"/>
      <c r="E421" s="301"/>
      <c r="F421" s="301"/>
      <c r="G421" s="301"/>
      <c r="H421" s="301"/>
      <c r="I421" s="301"/>
      <c r="J421" s="301"/>
      <c r="K421" s="301"/>
      <c r="L421" s="302"/>
      <c r="M421" s="302"/>
      <c r="N421" s="302"/>
      <c r="O421" s="302"/>
      <c r="P421" s="302"/>
      <c r="Q421" s="302"/>
      <c r="R421" s="302"/>
      <c r="S421" s="302"/>
      <c r="T421" s="302"/>
      <c r="U421" s="302"/>
      <c r="V421" s="302"/>
      <c r="W421" s="302"/>
      <c r="X421" s="302"/>
      <c r="Y421" s="302"/>
      <c r="Z421" s="302"/>
      <c r="AA421" s="302"/>
      <c r="AB421" s="302"/>
      <c r="AC421" s="303"/>
    </row>
    <row r="422" ht="13.5" customHeight="1">
      <c r="A422" s="326"/>
      <c r="B422" s="15"/>
      <c r="C422" s="7"/>
      <c r="D422" s="9"/>
      <c r="E422" s="13"/>
      <c r="F422" s="13"/>
      <c r="G422" s="308"/>
      <c r="H422" s="308"/>
      <c r="I422" s="7"/>
      <c r="J422" s="9"/>
      <c r="K422" s="7"/>
      <c r="L422" s="305"/>
      <c r="M422" s="305"/>
      <c r="N422" s="305"/>
      <c r="O422" s="305"/>
      <c r="P422" s="305"/>
      <c r="Q422" s="305"/>
      <c r="R422" s="305"/>
      <c r="S422" s="305"/>
      <c r="T422" s="305"/>
      <c r="U422" s="305"/>
      <c r="V422" s="305"/>
      <c r="W422" s="305"/>
      <c r="X422" s="305"/>
      <c r="Y422" s="305"/>
      <c r="Z422" s="305"/>
      <c r="AA422" s="305"/>
      <c r="AB422" s="305"/>
      <c r="AC422" s="307"/>
    </row>
    <row r="423" ht="13.5" customHeight="1">
      <c r="A423" s="312"/>
      <c r="B423" s="301"/>
      <c r="C423" s="301"/>
      <c r="D423" s="301"/>
      <c r="E423" s="301"/>
      <c r="F423" s="301"/>
      <c r="G423" s="301"/>
      <c r="H423" s="301"/>
      <c r="I423" s="301"/>
      <c r="J423" s="301"/>
      <c r="K423" s="301"/>
      <c r="L423" s="302"/>
      <c r="M423" s="302"/>
      <c r="N423" s="302"/>
      <c r="O423" s="302"/>
      <c r="P423" s="302"/>
      <c r="Q423" s="302"/>
      <c r="R423" s="302"/>
      <c r="S423" s="302"/>
      <c r="T423" s="302"/>
      <c r="U423" s="302"/>
      <c r="V423" s="302"/>
      <c r="W423" s="302"/>
      <c r="X423" s="302"/>
      <c r="Y423" s="302"/>
      <c r="Z423" s="302"/>
      <c r="AA423" s="302"/>
      <c r="AB423" s="302"/>
      <c r="AC423" s="303"/>
    </row>
    <row r="424" ht="13.5" customHeight="1">
      <c r="A424" s="326"/>
      <c r="B424" s="15"/>
      <c r="C424" s="7"/>
      <c r="D424" s="9"/>
      <c r="E424" s="13"/>
      <c r="F424" s="13"/>
      <c r="G424" s="308"/>
      <c r="H424" s="308"/>
      <c r="I424" s="7"/>
      <c r="J424" s="9"/>
      <c r="K424" s="7"/>
      <c r="L424" s="305"/>
      <c r="M424" s="305"/>
      <c r="N424" s="305"/>
      <c r="O424" s="305"/>
      <c r="P424" s="305"/>
      <c r="Q424" s="305"/>
      <c r="R424" s="305"/>
      <c r="S424" s="305"/>
      <c r="T424" s="305"/>
      <c r="U424" s="305"/>
      <c r="V424" s="305"/>
      <c r="W424" s="305"/>
      <c r="X424" s="305"/>
      <c r="Y424" s="305"/>
      <c r="Z424" s="305"/>
      <c r="AA424" s="305"/>
      <c r="AB424" s="305"/>
      <c r="AC424" s="307"/>
    </row>
    <row r="425" ht="13.5" customHeight="1">
      <c r="A425" s="312"/>
      <c r="B425" s="301"/>
      <c r="C425" s="301"/>
      <c r="D425" s="301"/>
      <c r="E425" s="301"/>
      <c r="F425" s="301"/>
      <c r="G425" s="301"/>
      <c r="H425" s="301"/>
      <c r="I425" s="301"/>
      <c r="J425" s="301"/>
      <c r="K425" s="301"/>
      <c r="L425" s="302"/>
      <c r="M425" s="302"/>
      <c r="N425" s="302"/>
      <c r="O425" s="302"/>
      <c r="P425" s="302"/>
      <c r="Q425" s="302"/>
      <c r="R425" s="302"/>
      <c r="S425" s="302"/>
      <c r="T425" s="302"/>
      <c r="U425" s="302"/>
      <c r="V425" s="302"/>
      <c r="W425" s="302"/>
      <c r="X425" s="302"/>
      <c r="Y425" s="302"/>
      <c r="Z425" s="302"/>
      <c r="AA425" s="302"/>
      <c r="AB425" s="302"/>
      <c r="AC425" s="303"/>
    </row>
    <row r="426" ht="13.5" customHeight="1">
      <c r="A426" s="326"/>
      <c r="B426" s="15"/>
      <c r="C426" s="7"/>
      <c r="D426" s="9"/>
      <c r="E426" s="13"/>
      <c r="F426" s="13"/>
      <c r="G426" s="308"/>
      <c r="H426" s="308"/>
      <c r="I426" s="7"/>
      <c r="J426" s="9"/>
      <c r="K426" s="7"/>
      <c r="L426" s="305"/>
      <c r="M426" s="305"/>
      <c r="N426" s="305"/>
      <c r="O426" s="305"/>
      <c r="P426" s="305"/>
      <c r="Q426" s="305"/>
      <c r="R426" s="305"/>
      <c r="S426" s="305"/>
      <c r="T426" s="305"/>
      <c r="U426" s="305"/>
      <c r="V426" s="305"/>
      <c r="W426" s="305"/>
      <c r="X426" s="305"/>
      <c r="Y426" s="305"/>
      <c r="Z426" s="305"/>
      <c r="AA426" s="305"/>
      <c r="AB426" s="305"/>
      <c r="AC426" s="307"/>
    </row>
    <row r="427" ht="13.5" customHeight="1">
      <c r="A427" s="312"/>
      <c r="B427" s="301"/>
      <c r="C427" s="301"/>
      <c r="D427" s="301"/>
      <c r="E427" s="301"/>
      <c r="F427" s="301"/>
      <c r="G427" s="301"/>
      <c r="H427" s="301"/>
      <c r="I427" s="301"/>
      <c r="J427" s="301"/>
      <c r="K427" s="301"/>
      <c r="L427" s="302"/>
      <c r="M427" s="302"/>
      <c r="N427" s="302"/>
      <c r="O427" s="302"/>
      <c r="P427" s="302"/>
      <c r="Q427" s="302"/>
      <c r="R427" s="302"/>
      <c r="S427" s="302"/>
      <c r="T427" s="302"/>
      <c r="U427" s="302"/>
      <c r="V427" s="302"/>
      <c r="W427" s="302"/>
      <c r="X427" s="302"/>
      <c r="Y427" s="302"/>
      <c r="Z427" s="302"/>
      <c r="AA427" s="302"/>
      <c r="AB427" s="302"/>
      <c r="AC427" s="303"/>
    </row>
    <row r="428" ht="13.5" customHeight="1">
      <c r="A428" s="326"/>
      <c r="B428" s="15"/>
      <c r="C428" s="7"/>
      <c r="D428" s="9"/>
      <c r="E428" s="13"/>
      <c r="F428" s="13"/>
      <c r="G428" s="308"/>
      <c r="H428" s="308"/>
      <c r="I428" s="7"/>
      <c r="J428" s="9"/>
      <c r="K428" s="7"/>
      <c r="L428" s="305"/>
      <c r="M428" s="305"/>
      <c r="N428" s="305"/>
      <c r="O428" s="305"/>
      <c r="P428" s="305"/>
      <c r="Q428" s="305"/>
      <c r="R428" s="305"/>
      <c r="S428" s="305"/>
      <c r="T428" s="305"/>
      <c r="U428" s="305"/>
      <c r="V428" s="305"/>
      <c r="W428" s="305"/>
      <c r="X428" s="305"/>
      <c r="Y428" s="305"/>
      <c r="Z428" s="305"/>
      <c r="AA428" s="305"/>
      <c r="AB428" s="305"/>
      <c r="AC428" s="307"/>
    </row>
    <row r="429" ht="13.5" customHeight="1">
      <c r="A429" s="312"/>
      <c r="B429" s="301"/>
      <c r="C429" s="301"/>
      <c r="D429" s="301"/>
      <c r="E429" s="301"/>
      <c r="F429" s="301"/>
      <c r="G429" s="301"/>
      <c r="H429" s="301"/>
      <c r="I429" s="301"/>
      <c r="J429" s="301"/>
      <c r="K429" s="301"/>
      <c r="L429" s="302"/>
      <c r="M429" s="302"/>
      <c r="N429" s="302"/>
      <c r="O429" s="302"/>
      <c r="P429" s="302"/>
      <c r="Q429" s="302"/>
      <c r="R429" s="302"/>
      <c r="S429" s="302"/>
      <c r="T429" s="302"/>
      <c r="U429" s="302"/>
      <c r="V429" s="302"/>
      <c r="W429" s="302"/>
      <c r="X429" s="302"/>
      <c r="Y429" s="302"/>
      <c r="Z429" s="302"/>
      <c r="AA429" s="302"/>
      <c r="AB429" s="302"/>
      <c r="AC429" s="303"/>
    </row>
    <row r="430" ht="13.5" customHeight="1">
      <c r="A430" s="326"/>
      <c r="B430" s="15"/>
      <c r="C430" s="7"/>
      <c r="D430" s="9"/>
      <c r="E430" s="13"/>
      <c r="F430" s="13"/>
      <c r="G430" s="308"/>
      <c r="H430" s="308"/>
      <c r="I430" s="7"/>
      <c r="J430" s="9"/>
      <c r="K430" s="7"/>
      <c r="L430" s="305"/>
      <c r="M430" s="305"/>
      <c r="N430" s="305"/>
      <c r="O430" s="305"/>
      <c r="P430" s="305"/>
      <c r="Q430" s="305"/>
      <c r="R430" s="305"/>
      <c r="S430" s="305"/>
      <c r="T430" s="305"/>
      <c r="U430" s="305"/>
      <c r="V430" s="305"/>
      <c r="W430" s="305"/>
      <c r="X430" s="305"/>
      <c r="Y430" s="305"/>
      <c r="Z430" s="305"/>
      <c r="AA430" s="305"/>
      <c r="AB430" s="305"/>
      <c r="AC430" s="307"/>
    </row>
    <row r="431" ht="13.5" customHeight="1">
      <c r="A431" s="312"/>
      <c r="B431" s="301"/>
      <c r="C431" s="301"/>
      <c r="D431" s="301"/>
      <c r="E431" s="301"/>
      <c r="F431" s="301"/>
      <c r="G431" s="301"/>
      <c r="H431" s="301"/>
      <c r="I431" s="301"/>
      <c r="J431" s="301"/>
      <c r="K431" s="301"/>
      <c r="L431" s="302"/>
      <c r="M431" s="302"/>
      <c r="N431" s="302"/>
      <c r="O431" s="302"/>
      <c r="P431" s="302"/>
      <c r="Q431" s="302"/>
      <c r="R431" s="302"/>
      <c r="S431" s="302"/>
      <c r="T431" s="302"/>
      <c r="U431" s="302"/>
      <c r="V431" s="302"/>
      <c r="W431" s="302"/>
      <c r="X431" s="302"/>
      <c r="Y431" s="302"/>
      <c r="Z431" s="302"/>
      <c r="AA431" s="302"/>
      <c r="AB431" s="302"/>
      <c r="AC431" s="303"/>
    </row>
    <row r="432" ht="13.5" customHeight="1">
      <c r="A432" s="326"/>
      <c r="B432" s="15"/>
      <c r="C432" s="7"/>
      <c r="D432" s="9"/>
      <c r="E432" s="13"/>
      <c r="F432" s="13"/>
      <c r="G432" s="308"/>
      <c r="H432" s="308"/>
      <c r="I432" s="7"/>
      <c r="J432" s="9"/>
      <c r="K432" s="7"/>
      <c r="L432" s="305"/>
      <c r="M432" s="305"/>
      <c r="N432" s="305"/>
      <c r="O432" s="305"/>
      <c r="P432" s="305"/>
      <c r="Q432" s="305"/>
      <c r="R432" s="305"/>
      <c r="S432" s="305"/>
      <c r="T432" s="305"/>
      <c r="U432" s="305"/>
      <c r="V432" s="305"/>
      <c r="W432" s="305"/>
      <c r="X432" s="305"/>
      <c r="Y432" s="305"/>
      <c r="Z432" s="305"/>
      <c r="AA432" s="305"/>
      <c r="AB432" s="305"/>
      <c r="AC432" s="307"/>
    </row>
    <row r="433" ht="13.5" customHeight="1">
      <c r="A433" s="312"/>
      <c r="B433" s="301"/>
      <c r="C433" s="301"/>
      <c r="D433" s="301"/>
      <c r="E433" s="301"/>
      <c r="F433" s="301"/>
      <c r="G433" s="301"/>
      <c r="H433" s="301"/>
      <c r="I433" s="301"/>
      <c r="J433" s="301"/>
      <c r="K433" s="301"/>
      <c r="L433" s="302"/>
      <c r="M433" s="302"/>
      <c r="N433" s="302"/>
      <c r="O433" s="302"/>
      <c r="P433" s="302"/>
      <c r="Q433" s="302"/>
      <c r="R433" s="302"/>
      <c r="S433" s="302"/>
      <c r="T433" s="302"/>
      <c r="U433" s="302"/>
      <c r="V433" s="302"/>
      <c r="W433" s="302"/>
      <c r="X433" s="302"/>
      <c r="Y433" s="302"/>
      <c r="Z433" s="302"/>
      <c r="AA433" s="302"/>
      <c r="AB433" s="302"/>
      <c r="AC433" s="303"/>
    </row>
    <row r="434" ht="13.5" customHeight="1">
      <c r="A434" s="326"/>
      <c r="B434" s="15"/>
      <c r="C434" s="7"/>
      <c r="D434" s="9"/>
      <c r="E434" s="13"/>
      <c r="F434" s="13"/>
      <c r="G434" s="308"/>
      <c r="H434" s="308"/>
      <c r="I434" s="7"/>
      <c r="J434" s="9"/>
      <c r="K434" s="7"/>
      <c r="L434" s="305"/>
      <c r="M434" s="305"/>
      <c r="N434" s="305"/>
      <c r="O434" s="305"/>
      <c r="P434" s="305"/>
      <c r="Q434" s="305"/>
      <c r="R434" s="305"/>
      <c r="S434" s="305"/>
      <c r="T434" s="305"/>
      <c r="U434" s="305"/>
      <c r="V434" s="305"/>
      <c r="W434" s="305"/>
      <c r="X434" s="305"/>
      <c r="Y434" s="305"/>
      <c r="Z434" s="305"/>
      <c r="AA434" s="305"/>
      <c r="AB434" s="305"/>
      <c r="AC434" s="307"/>
    </row>
    <row r="435" ht="13.5" customHeight="1">
      <c r="A435" s="312"/>
      <c r="B435" s="301"/>
      <c r="C435" s="301"/>
      <c r="D435" s="301"/>
      <c r="E435" s="301"/>
      <c r="F435" s="301"/>
      <c r="G435" s="301"/>
      <c r="H435" s="301"/>
      <c r="I435" s="301"/>
      <c r="J435" s="301"/>
      <c r="K435" s="301"/>
      <c r="L435" s="302"/>
      <c r="M435" s="302"/>
      <c r="N435" s="302"/>
      <c r="O435" s="302"/>
      <c r="P435" s="302"/>
      <c r="Q435" s="302"/>
      <c r="R435" s="302"/>
      <c r="S435" s="302"/>
      <c r="T435" s="302"/>
      <c r="U435" s="302"/>
      <c r="V435" s="302"/>
      <c r="W435" s="302"/>
      <c r="X435" s="302"/>
      <c r="Y435" s="302"/>
      <c r="Z435" s="302"/>
      <c r="AA435" s="302"/>
      <c r="AB435" s="302"/>
      <c r="AC435" s="303"/>
    </row>
    <row r="436" ht="13.5" customHeight="1">
      <c r="A436" s="326"/>
      <c r="B436" s="15"/>
      <c r="C436" s="7"/>
      <c r="D436" s="9"/>
      <c r="E436" s="13"/>
      <c r="F436" s="13"/>
      <c r="G436" s="308"/>
      <c r="H436" s="308"/>
      <c r="I436" s="7"/>
      <c r="J436" s="9"/>
      <c r="K436" s="7"/>
      <c r="L436" s="305"/>
      <c r="M436" s="305"/>
      <c r="N436" s="305"/>
      <c r="O436" s="305"/>
      <c r="P436" s="305"/>
      <c r="Q436" s="305"/>
      <c r="R436" s="305"/>
      <c r="S436" s="305"/>
      <c r="T436" s="305"/>
      <c r="U436" s="305"/>
      <c r="V436" s="305"/>
      <c r="W436" s="305"/>
      <c r="X436" s="305"/>
      <c r="Y436" s="305"/>
      <c r="Z436" s="305"/>
      <c r="AA436" s="305"/>
      <c r="AB436" s="305"/>
      <c r="AC436" s="307"/>
    </row>
    <row r="437" ht="13.5" customHeight="1">
      <c r="A437" s="312"/>
      <c r="B437" s="301"/>
      <c r="C437" s="301"/>
      <c r="D437" s="301"/>
      <c r="E437" s="301"/>
      <c r="F437" s="301"/>
      <c r="G437" s="301"/>
      <c r="H437" s="301"/>
      <c r="I437" s="301"/>
      <c r="J437" s="301"/>
      <c r="K437" s="301"/>
      <c r="L437" s="302"/>
      <c r="M437" s="302"/>
      <c r="N437" s="302"/>
      <c r="O437" s="302"/>
      <c r="P437" s="302"/>
      <c r="Q437" s="302"/>
      <c r="R437" s="302"/>
      <c r="S437" s="302"/>
      <c r="T437" s="302"/>
      <c r="U437" s="302"/>
      <c r="V437" s="302"/>
      <c r="W437" s="302"/>
      <c r="X437" s="302"/>
      <c r="Y437" s="302"/>
      <c r="Z437" s="302"/>
      <c r="AA437" s="302"/>
      <c r="AB437" s="302"/>
      <c r="AC437" s="303"/>
    </row>
    <row r="438" ht="13.5" customHeight="1">
      <c r="A438" s="326"/>
      <c r="B438" s="15"/>
      <c r="C438" s="7"/>
      <c r="D438" s="9"/>
      <c r="E438" s="13"/>
      <c r="F438" s="13"/>
      <c r="G438" s="308"/>
      <c r="H438" s="308"/>
      <c r="I438" s="7"/>
      <c r="J438" s="9"/>
      <c r="K438" s="7"/>
      <c r="L438" s="305"/>
      <c r="M438" s="305"/>
      <c r="N438" s="305"/>
      <c r="O438" s="305"/>
      <c r="P438" s="305"/>
      <c r="Q438" s="305"/>
      <c r="R438" s="305"/>
      <c r="S438" s="305"/>
      <c r="T438" s="305"/>
      <c r="U438" s="305"/>
      <c r="V438" s="305"/>
      <c r="W438" s="305"/>
      <c r="X438" s="305"/>
      <c r="Y438" s="305"/>
      <c r="Z438" s="305"/>
      <c r="AA438" s="305"/>
      <c r="AB438" s="305"/>
      <c r="AC438" s="307"/>
    </row>
    <row r="439" ht="13.5" customHeight="1">
      <c r="A439" s="312"/>
      <c r="B439" s="301"/>
      <c r="C439" s="301"/>
      <c r="D439" s="301"/>
      <c r="E439" s="301"/>
      <c r="F439" s="301"/>
      <c r="G439" s="301"/>
      <c r="H439" s="301"/>
      <c r="I439" s="301"/>
      <c r="J439" s="301"/>
      <c r="K439" s="301"/>
      <c r="L439" s="302"/>
      <c r="M439" s="302"/>
      <c r="N439" s="302"/>
      <c r="O439" s="302"/>
      <c r="P439" s="302"/>
      <c r="Q439" s="302"/>
      <c r="R439" s="302"/>
      <c r="S439" s="302"/>
      <c r="T439" s="302"/>
      <c r="U439" s="302"/>
      <c r="V439" s="302"/>
      <c r="W439" s="302"/>
      <c r="X439" s="302"/>
      <c r="Y439" s="302"/>
      <c r="Z439" s="302"/>
      <c r="AA439" s="302"/>
      <c r="AB439" s="302"/>
      <c r="AC439" s="303"/>
    </row>
    <row r="440" ht="13.5" customHeight="1">
      <c r="A440" s="326"/>
      <c r="B440" s="15"/>
      <c r="C440" s="7"/>
      <c r="D440" s="9"/>
      <c r="E440" s="13"/>
      <c r="F440" s="13"/>
      <c r="G440" s="308"/>
      <c r="H440" s="308"/>
      <c r="I440" s="7"/>
      <c r="J440" s="9"/>
      <c r="K440" s="7"/>
      <c r="L440" s="305"/>
      <c r="M440" s="305"/>
      <c r="N440" s="305"/>
      <c r="O440" s="305"/>
      <c r="P440" s="305"/>
      <c r="Q440" s="305"/>
      <c r="R440" s="305"/>
      <c r="S440" s="305"/>
      <c r="T440" s="305"/>
      <c r="U440" s="305"/>
      <c r="V440" s="305"/>
      <c r="W440" s="305"/>
      <c r="X440" s="305"/>
      <c r="Y440" s="305"/>
      <c r="Z440" s="305"/>
      <c r="AA440" s="305"/>
      <c r="AB440" s="305"/>
      <c r="AC440" s="307"/>
    </row>
    <row r="441" ht="13.5" customHeight="1">
      <c r="A441" s="312"/>
      <c r="B441" s="301"/>
      <c r="C441" s="301"/>
      <c r="D441" s="301"/>
      <c r="E441" s="301"/>
      <c r="F441" s="301"/>
      <c r="G441" s="301"/>
      <c r="H441" s="301"/>
      <c r="I441" s="301"/>
      <c r="J441" s="301"/>
      <c r="K441" s="301"/>
      <c r="L441" s="302"/>
      <c r="M441" s="302"/>
      <c r="N441" s="302"/>
      <c r="O441" s="302"/>
      <c r="P441" s="302"/>
      <c r="Q441" s="302"/>
      <c r="R441" s="302"/>
      <c r="S441" s="302"/>
      <c r="T441" s="302"/>
      <c r="U441" s="302"/>
      <c r="V441" s="302"/>
      <c r="W441" s="302"/>
      <c r="X441" s="302"/>
      <c r="Y441" s="302"/>
      <c r="Z441" s="302"/>
      <c r="AA441" s="302"/>
      <c r="AB441" s="302"/>
      <c r="AC441" s="303"/>
    </row>
    <row r="442" ht="13.5" customHeight="1">
      <c r="A442" s="326"/>
      <c r="B442" s="15"/>
      <c r="C442" s="7"/>
      <c r="D442" s="9"/>
      <c r="E442" s="13"/>
      <c r="F442" s="13"/>
      <c r="G442" s="308"/>
      <c r="H442" s="308"/>
      <c r="I442" s="7"/>
      <c r="J442" s="9"/>
      <c r="K442" s="7"/>
      <c r="L442" s="305"/>
      <c r="M442" s="305"/>
      <c r="N442" s="305"/>
      <c r="O442" s="305"/>
      <c r="P442" s="305"/>
      <c r="Q442" s="305"/>
      <c r="R442" s="305"/>
      <c r="S442" s="305"/>
      <c r="T442" s="305"/>
      <c r="U442" s="305"/>
      <c r="V442" s="305"/>
      <c r="W442" s="305"/>
      <c r="X442" s="305"/>
      <c r="Y442" s="305"/>
      <c r="Z442" s="305"/>
      <c r="AA442" s="305"/>
      <c r="AB442" s="305"/>
      <c r="AC442" s="307"/>
    </row>
    <row r="443" ht="13.5" customHeight="1">
      <c r="A443" s="312"/>
      <c r="B443" s="301"/>
      <c r="C443" s="301"/>
      <c r="D443" s="301"/>
      <c r="E443" s="301"/>
      <c r="F443" s="301"/>
      <c r="G443" s="301"/>
      <c r="H443" s="301"/>
      <c r="I443" s="301"/>
      <c r="J443" s="301"/>
      <c r="K443" s="301"/>
      <c r="L443" s="302"/>
      <c r="M443" s="302"/>
      <c r="N443" s="302"/>
      <c r="O443" s="302"/>
      <c r="P443" s="302"/>
      <c r="Q443" s="302"/>
      <c r="R443" s="302"/>
      <c r="S443" s="302"/>
      <c r="T443" s="302"/>
      <c r="U443" s="302"/>
      <c r="V443" s="302"/>
      <c r="W443" s="302"/>
      <c r="X443" s="302"/>
      <c r="Y443" s="302"/>
      <c r="Z443" s="302"/>
      <c r="AA443" s="302"/>
      <c r="AB443" s="302"/>
      <c r="AC443" s="303"/>
    </row>
    <row r="444" ht="13.5" customHeight="1">
      <c r="A444" s="326"/>
      <c r="B444" s="15"/>
      <c r="C444" s="7"/>
      <c r="D444" s="9"/>
      <c r="E444" s="13"/>
      <c r="F444" s="13"/>
      <c r="G444" s="308"/>
      <c r="H444" s="308"/>
      <c r="I444" s="7"/>
      <c r="J444" s="9"/>
      <c r="K444" s="7"/>
      <c r="L444" s="305"/>
      <c r="M444" s="305"/>
      <c r="N444" s="305"/>
      <c r="O444" s="305"/>
      <c r="P444" s="305"/>
      <c r="Q444" s="305"/>
      <c r="R444" s="305"/>
      <c r="S444" s="305"/>
      <c r="T444" s="305"/>
      <c r="U444" s="305"/>
      <c r="V444" s="305"/>
      <c r="W444" s="305"/>
      <c r="X444" s="305"/>
      <c r="Y444" s="305"/>
      <c r="Z444" s="305"/>
      <c r="AA444" s="305"/>
      <c r="AB444" s="305"/>
      <c r="AC444" s="307"/>
    </row>
    <row r="445" ht="13.5" customHeight="1">
      <c r="A445" s="312"/>
      <c r="B445" s="301"/>
      <c r="C445" s="301"/>
      <c r="D445" s="301"/>
      <c r="E445" s="301"/>
      <c r="F445" s="301"/>
      <c r="G445" s="301"/>
      <c r="H445" s="301"/>
      <c r="I445" s="301"/>
      <c r="J445" s="301"/>
      <c r="K445" s="301"/>
      <c r="L445" s="302"/>
      <c r="M445" s="302"/>
      <c r="N445" s="302"/>
      <c r="O445" s="302"/>
      <c r="P445" s="302"/>
      <c r="Q445" s="302"/>
      <c r="R445" s="302"/>
      <c r="S445" s="302"/>
      <c r="T445" s="302"/>
      <c r="U445" s="302"/>
      <c r="V445" s="302"/>
      <c r="W445" s="302"/>
      <c r="X445" s="302"/>
      <c r="Y445" s="302"/>
      <c r="Z445" s="302"/>
      <c r="AA445" s="302"/>
      <c r="AB445" s="302"/>
      <c r="AC445" s="303"/>
    </row>
    <row r="446" ht="13.5" customHeight="1">
      <c r="A446" s="326"/>
      <c r="B446" s="15"/>
      <c r="C446" s="7"/>
      <c r="D446" s="9"/>
      <c r="E446" s="13"/>
      <c r="F446" s="13"/>
      <c r="G446" s="308"/>
      <c r="H446" s="308"/>
      <c r="I446" s="7"/>
      <c r="J446" s="9"/>
      <c r="K446" s="7"/>
      <c r="L446" s="305"/>
      <c r="M446" s="305"/>
      <c r="N446" s="305"/>
      <c r="O446" s="305"/>
      <c r="P446" s="305"/>
      <c r="Q446" s="305"/>
      <c r="R446" s="305"/>
      <c r="S446" s="305"/>
      <c r="T446" s="305"/>
      <c r="U446" s="305"/>
      <c r="V446" s="305"/>
      <c r="W446" s="305"/>
      <c r="X446" s="305"/>
      <c r="Y446" s="305"/>
      <c r="Z446" s="305"/>
      <c r="AA446" s="305"/>
      <c r="AB446" s="305"/>
      <c r="AC446" s="307"/>
    </row>
    <row r="447" ht="13.5" customHeight="1">
      <c r="A447" s="312"/>
      <c r="B447" s="301"/>
      <c r="C447" s="301"/>
      <c r="D447" s="301"/>
      <c r="E447" s="301"/>
      <c r="F447" s="301"/>
      <c r="G447" s="301"/>
      <c r="H447" s="301"/>
      <c r="I447" s="301"/>
      <c r="J447" s="301"/>
      <c r="K447" s="301"/>
      <c r="L447" s="302"/>
      <c r="M447" s="302"/>
      <c r="N447" s="302"/>
      <c r="O447" s="302"/>
      <c r="P447" s="302"/>
      <c r="Q447" s="302"/>
      <c r="R447" s="302"/>
      <c r="S447" s="302"/>
      <c r="T447" s="302"/>
      <c r="U447" s="302"/>
      <c r="V447" s="302"/>
      <c r="W447" s="302"/>
      <c r="X447" s="302"/>
      <c r="Y447" s="302"/>
      <c r="Z447" s="302"/>
      <c r="AA447" s="302"/>
      <c r="AB447" s="302"/>
      <c r="AC447" s="303"/>
    </row>
    <row r="448" ht="13.5" customHeight="1">
      <c r="A448" s="326"/>
      <c r="B448" s="15"/>
      <c r="C448" s="7"/>
      <c r="D448" s="9"/>
      <c r="E448" s="13"/>
      <c r="F448" s="13"/>
      <c r="G448" s="308"/>
      <c r="H448" s="308"/>
      <c r="I448" s="7"/>
      <c r="J448" s="9"/>
      <c r="K448" s="7"/>
      <c r="L448" s="305"/>
      <c r="M448" s="305"/>
      <c r="N448" s="305"/>
      <c r="O448" s="305"/>
      <c r="P448" s="305"/>
      <c r="Q448" s="305"/>
      <c r="R448" s="305"/>
      <c r="S448" s="305"/>
      <c r="T448" s="305"/>
      <c r="U448" s="305"/>
      <c r="V448" s="305"/>
      <c r="W448" s="305"/>
      <c r="X448" s="305"/>
      <c r="Y448" s="305"/>
      <c r="Z448" s="305"/>
      <c r="AA448" s="305"/>
      <c r="AB448" s="305"/>
      <c r="AC448" s="307"/>
    </row>
    <row r="449" ht="13.5" customHeight="1">
      <c r="A449" s="312"/>
      <c r="B449" s="301"/>
      <c r="C449" s="301"/>
      <c r="D449" s="301"/>
      <c r="E449" s="301"/>
      <c r="F449" s="301"/>
      <c r="G449" s="301"/>
      <c r="H449" s="301"/>
      <c r="I449" s="301"/>
      <c r="J449" s="301"/>
      <c r="K449" s="301"/>
      <c r="L449" s="302"/>
      <c r="M449" s="302"/>
      <c r="N449" s="302"/>
      <c r="O449" s="302"/>
      <c r="P449" s="302"/>
      <c r="Q449" s="302"/>
      <c r="R449" s="302"/>
      <c r="S449" s="302"/>
      <c r="T449" s="302"/>
      <c r="U449" s="302"/>
      <c r="V449" s="302"/>
      <c r="W449" s="302"/>
      <c r="X449" s="302"/>
      <c r="Y449" s="302"/>
      <c r="Z449" s="302"/>
      <c r="AA449" s="302"/>
      <c r="AB449" s="302"/>
      <c r="AC449" s="303"/>
    </row>
    <row r="450" ht="13.5" customHeight="1">
      <c r="A450" s="326"/>
      <c r="B450" s="15"/>
      <c r="C450" s="7"/>
      <c r="D450" s="9"/>
      <c r="E450" s="13"/>
      <c r="F450" s="13"/>
      <c r="G450" s="308"/>
      <c r="H450" s="308"/>
      <c r="I450" s="7"/>
      <c r="J450" s="9"/>
      <c r="K450" s="7"/>
      <c r="L450" s="305"/>
      <c r="M450" s="305"/>
      <c r="N450" s="305"/>
      <c r="O450" s="305"/>
      <c r="P450" s="305"/>
      <c r="Q450" s="305"/>
      <c r="R450" s="305"/>
      <c r="S450" s="305"/>
      <c r="T450" s="305"/>
      <c r="U450" s="305"/>
      <c r="V450" s="305"/>
      <c r="W450" s="305"/>
      <c r="X450" s="305"/>
      <c r="Y450" s="305"/>
      <c r="Z450" s="305"/>
      <c r="AA450" s="305"/>
      <c r="AB450" s="305"/>
      <c r="AC450" s="307"/>
    </row>
    <row r="451" ht="13.5" customHeight="1">
      <c r="A451" s="312"/>
      <c r="B451" s="301"/>
      <c r="C451" s="301"/>
      <c r="D451" s="301"/>
      <c r="E451" s="301"/>
      <c r="F451" s="301"/>
      <c r="G451" s="301"/>
      <c r="H451" s="301"/>
      <c r="I451" s="301"/>
      <c r="J451" s="301"/>
      <c r="K451" s="301"/>
      <c r="L451" s="302"/>
      <c r="M451" s="302"/>
      <c r="N451" s="302"/>
      <c r="O451" s="302"/>
      <c r="P451" s="302"/>
      <c r="Q451" s="302"/>
      <c r="R451" s="302"/>
      <c r="S451" s="302"/>
      <c r="T451" s="302"/>
      <c r="U451" s="302"/>
      <c r="V451" s="302"/>
      <c r="W451" s="302"/>
      <c r="X451" s="302"/>
      <c r="Y451" s="302"/>
      <c r="Z451" s="302"/>
      <c r="AA451" s="302"/>
      <c r="AB451" s="302"/>
      <c r="AC451" s="303"/>
    </row>
    <row r="452" ht="13.5" customHeight="1">
      <c r="A452" s="326"/>
      <c r="B452" s="15"/>
      <c r="C452" s="7"/>
      <c r="D452" s="9"/>
      <c r="E452" s="13"/>
      <c r="F452" s="13"/>
      <c r="G452" s="308"/>
      <c r="H452" s="308"/>
      <c r="I452" s="7"/>
      <c r="J452" s="9"/>
      <c r="K452" s="7"/>
      <c r="L452" s="305"/>
      <c r="M452" s="305"/>
      <c r="N452" s="305"/>
      <c r="O452" s="305"/>
      <c r="P452" s="305"/>
      <c r="Q452" s="305"/>
      <c r="R452" s="305"/>
      <c r="S452" s="305"/>
      <c r="T452" s="305"/>
      <c r="U452" s="305"/>
      <c r="V452" s="305"/>
      <c r="W452" s="305"/>
      <c r="X452" s="305"/>
      <c r="Y452" s="305"/>
      <c r="Z452" s="305"/>
      <c r="AA452" s="305"/>
      <c r="AB452" s="305"/>
      <c r="AC452" s="307"/>
    </row>
    <row r="453" ht="13.5" customHeight="1">
      <c r="A453" s="312"/>
      <c r="B453" s="301"/>
      <c r="C453" s="301"/>
      <c r="D453" s="301"/>
      <c r="E453" s="301"/>
      <c r="F453" s="301"/>
      <c r="G453" s="301"/>
      <c r="H453" s="301"/>
      <c r="I453" s="301"/>
      <c r="J453" s="301"/>
      <c r="K453" s="301"/>
      <c r="L453" s="302"/>
      <c r="M453" s="302"/>
      <c r="N453" s="302"/>
      <c r="O453" s="302"/>
      <c r="P453" s="302"/>
      <c r="Q453" s="302"/>
      <c r="R453" s="302"/>
      <c r="S453" s="302"/>
      <c r="T453" s="302"/>
      <c r="U453" s="302"/>
      <c r="V453" s="302"/>
      <c r="W453" s="302"/>
      <c r="X453" s="302"/>
      <c r="Y453" s="302"/>
      <c r="Z453" s="302"/>
      <c r="AA453" s="302"/>
      <c r="AB453" s="302"/>
      <c r="AC453" s="303"/>
    </row>
    <row r="454" ht="13.5" customHeight="1">
      <c r="A454" s="326"/>
      <c r="B454" s="15"/>
      <c r="C454" s="7"/>
      <c r="D454" s="9"/>
      <c r="E454" s="13"/>
      <c r="F454" s="13"/>
      <c r="G454" s="308"/>
      <c r="H454" s="308"/>
      <c r="I454" s="7"/>
      <c r="J454" s="9"/>
      <c r="K454" s="7"/>
      <c r="L454" s="305"/>
      <c r="M454" s="305"/>
      <c r="N454" s="305"/>
      <c r="O454" s="305"/>
      <c r="P454" s="305"/>
      <c r="Q454" s="305"/>
      <c r="R454" s="305"/>
      <c r="S454" s="305"/>
      <c r="T454" s="305"/>
      <c r="U454" s="305"/>
      <c r="V454" s="305"/>
      <c r="W454" s="305"/>
      <c r="X454" s="305"/>
      <c r="Y454" s="305"/>
      <c r="Z454" s="305"/>
      <c r="AA454" s="305"/>
      <c r="AB454" s="305"/>
      <c r="AC454" s="307"/>
    </row>
    <row r="455" ht="13.5" customHeight="1">
      <c r="A455" s="312"/>
      <c r="B455" s="301"/>
      <c r="C455" s="301"/>
      <c r="D455" s="301"/>
      <c r="E455" s="301"/>
      <c r="F455" s="301"/>
      <c r="G455" s="301"/>
      <c r="H455" s="301"/>
      <c r="I455" s="301"/>
      <c r="J455" s="301"/>
      <c r="K455" s="301"/>
      <c r="L455" s="302"/>
      <c r="M455" s="302"/>
      <c r="N455" s="302"/>
      <c r="O455" s="302"/>
      <c r="P455" s="302"/>
      <c r="Q455" s="302"/>
      <c r="R455" s="302"/>
      <c r="S455" s="302"/>
      <c r="T455" s="302"/>
      <c r="U455" s="302"/>
      <c r="V455" s="302"/>
      <c r="W455" s="302"/>
      <c r="X455" s="302"/>
      <c r="Y455" s="302"/>
      <c r="Z455" s="302"/>
      <c r="AA455" s="302"/>
      <c r="AB455" s="302"/>
      <c r="AC455" s="303"/>
    </row>
    <row r="456" ht="13.5" customHeight="1">
      <c r="A456" s="326"/>
      <c r="B456" s="15"/>
      <c r="C456" s="7"/>
      <c r="D456" s="9"/>
      <c r="E456" s="13"/>
      <c r="F456" s="13"/>
      <c r="G456" s="308"/>
      <c r="H456" s="308"/>
      <c r="I456" s="7"/>
      <c r="J456" s="9"/>
      <c r="K456" s="7"/>
      <c r="L456" s="305"/>
      <c r="M456" s="305"/>
      <c r="N456" s="305"/>
      <c r="O456" s="305"/>
      <c r="P456" s="305"/>
      <c r="Q456" s="305"/>
      <c r="R456" s="305"/>
      <c r="S456" s="305"/>
      <c r="T456" s="305"/>
      <c r="U456" s="305"/>
      <c r="V456" s="305"/>
      <c r="W456" s="305"/>
      <c r="X456" s="305"/>
      <c r="Y456" s="305"/>
      <c r="Z456" s="305"/>
      <c r="AA456" s="305"/>
      <c r="AB456" s="305"/>
      <c r="AC456" s="307"/>
    </row>
    <row r="457" ht="13.5" customHeight="1">
      <c r="A457" s="312"/>
      <c r="B457" s="301"/>
      <c r="C457" s="301"/>
      <c r="D457" s="301"/>
      <c r="E457" s="301"/>
      <c r="F457" s="301"/>
      <c r="G457" s="301"/>
      <c r="H457" s="301"/>
      <c r="I457" s="301"/>
      <c r="J457" s="301"/>
      <c r="K457" s="301"/>
      <c r="L457" s="302"/>
      <c r="M457" s="302"/>
      <c r="N457" s="302"/>
      <c r="O457" s="302"/>
      <c r="P457" s="302"/>
      <c r="Q457" s="302"/>
      <c r="R457" s="302"/>
      <c r="S457" s="302"/>
      <c r="T457" s="302"/>
      <c r="U457" s="302"/>
      <c r="V457" s="302"/>
      <c r="W457" s="302"/>
      <c r="X457" s="302"/>
      <c r="Y457" s="302"/>
      <c r="Z457" s="302"/>
      <c r="AA457" s="302"/>
      <c r="AB457" s="302"/>
      <c r="AC457" s="303"/>
    </row>
    <row r="458" ht="13.5" customHeight="1">
      <c r="A458" s="326"/>
      <c r="B458" s="15"/>
      <c r="C458" s="7"/>
      <c r="D458" s="9"/>
      <c r="E458" s="13"/>
      <c r="F458" s="13"/>
      <c r="G458" s="308"/>
      <c r="H458" s="308"/>
      <c r="I458" s="7"/>
      <c r="J458" s="9"/>
      <c r="K458" s="7"/>
      <c r="L458" s="305"/>
      <c r="M458" s="305"/>
      <c r="N458" s="305"/>
      <c r="O458" s="305"/>
      <c r="P458" s="305"/>
      <c r="Q458" s="305"/>
      <c r="R458" s="305"/>
      <c r="S458" s="305"/>
      <c r="T458" s="305"/>
      <c r="U458" s="305"/>
      <c r="V458" s="305"/>
      <c r="W458" s="305"/>
      <c r="X458" s="305"/>
      <c r="Y458" s="305"/>
      <c r="Z458" s="305"/>
      <c r="AA458" s="305"/>
      <c r="AB458" s="305"/>
      <c r="AC458" s="307"/>
    </row>
    <row r="459" ht="13.5" customHeight="1">
      <c r="A459" s="312"/>
      <c r="B459" s="301"/>
      <c r="C459" s="301"/>
      <c r="D459" s="301"/>
      <c r="E459" s="301"/>
      <c r="F459" s="301"/>
      <c r="G459" s="301"/>
      <c r="H459" s="301"/>
      <c r="I459" s="301"/>
      <c r="J459" s="301"/>
      <c r="K459" s="301"/>
      <c r="L459" s="302"/>
      <c r="M459" s="302"/>
      <c r="N459" s="302"/>
      <c r="O459" s="302"/>
      <c r="P459" s="302"/>
      <c r="Q459" s="302"/>
      <c r="R459" s="302"/>
      <c r="S459" s="302"/>
      <c r="T459" s="302"/>
      <c r="U459" s="302"/>
      <c r="V459" s="302"/>
      <c r="W459" s="302"/>
      <c r="X459" s="302"/>
      <c r="Y459" s="302"/>
      <c r="Z459" s="302"/>
      <c r="AA459" s="302"/>
      <c r="AB459" s="302"/>
      <c r="AC459" s="303"/>
    </row>
    <row r="460" ht="13.5" customHeight="1">
      <c r="A460" s="326"/>
      <c r="B460" s="15"/>
      <c r="C460" s="7"/>
      <c r="D460" s="9"/>
      <c r="E460" s="13"/>
      <c r="F460" s="13"/>
      <c r="G460" s="308"/>
      <c r="H460" s="308"/>
      <c r="I460" s="7"/>
      <c r="J460" s="9"/>
      <c r="K460" s="7"/>
      <c r="L460" s="305"/>
      <c r="M460" s="305"/>
      <c r="N460" s="305"/>
      <c r="O460" s="305"/>
      <c r="P460" s="305"/>
      <c r="Q460" s="305"/>
      <c r="R460" s="305"/>
      <c r="S460" s="305"/>
      <c r="T460" s="305"/>
      <c r="U460" s="305"/>
      <c r="V460" s="305"/>
      <c r="W460" s="305"/>
      <c r="X460" s="305"/>
      <c r="Y460" s="305"/>
      <c r="Z460" s="305"/>
      <c r="AA460" s="305"/>
      <c r="AB460" s="305"/>
      <c r="AC460" s="307"/>
    </row>
    <row r="461" ht="13.5" customHeight="1">
      <c r="A461" s="312"/>
      <c r="B461" s="301"/>
      <c r="C461" s="301"/>
      <c r="D461" s="301"/>
      <c r="E461" s="301"/>
      <c r="F461" s="301"/>
      <c r="G461" s="301"/>
      <c r="H461" s="301"/>
      <c r="I461" s="301"/>
      <c r="J461" s="301"/>
      <c r="K461" s="301"/>
      <c r="L461" s="302"/>
      <c r="M461" s="302"/>
      <c r="N461" s="302"/>
      <c r="O461" s="302"/>
      <c r="P461" s="302"/>
      <c r="Q461" s="302"/>
      <c r="R461" s="302"/>
      <c r="S461" s="302"/>
      <c r="T461" s="302"/>
      <c r="U461" s="302"/>
      <c r="V461" s="302"/>
      <c r="W461" s="302"/>
      <c r="X461" s="302"/>
      <c r="Y461" s="302"/>
      <c r="Z461" s="302"/>
      <c r="AA461" s="302"/>
      <c r="AB461" s="302"/>
      <c r="AC461" s="303"/>
    </row>
    <row r="462" ht="13.5" customHeight="1">
      <c r="A462" s="326"/>
      <c r="B462" s="15"/>
      <c r="C462" s="7"/>
      <c r="D462" s="9"/>
      <c r="E462" s="13"/>
      <c r="F462" s="13"/>
      <c r="G462" s="308"/>
      <c r="H462" s="308"/>
      <c r="I462" s="7"/>
      <c r="J462" s="9"/>
      <c r="K462" s="7"/>
      <c r="L462" s="305"/>
      <c r="M462" s="305"/>
      <c r="N462" s="305"/>
      <c r="O462" s="305"/>
      <c r="P462" s="305"/>
      <c r="Q462" s="305"/>
      <c r="R462" s="305"/>
      <c r="S462" s="305"/>
      <c r="T462" s="305"/>
      <c r="U462" s="305"/>
      <c r="V462" s="305"/>
      <c r="W462" s="305"/>
      <c r="X462" s="305"/>
      <c r="Y462" s="305"/>
      <c r="Z462" s="305"/>
      <c r="AA462" s="305"/>
      <c r="AB462" s="305"/>
      <c r="AC462" s="307"/>
    </row>
    <row r="463" ht="13.5" customHeight="1">
      <c r="A463" s="312"/>
      <c r="B463" s="301"/>
      <c r="C463" s="301"/>
      <c r="D463" s="301"/>
      <c r="E463" s="301"/>
      <c r="F463" s="301"/>
      <c r="G463" s="301"/>
      <c r="H463" s="301"/>
      <c r="I463" s="301"/>
      <c r="J463" s="301"/>
      <c r="K463" s="301"/>
      <c r="L463" s="302"/>
      <c r="M463" s="302"/>
      <c r="N463" s="302"/>
      <c r="O463" s="302"/>
      <c r="P463" s="302"/>
      <c r="Q463" s="302"/>
      <c r="R463" s="302"/>
      <c r="S463" s="302"/>
      <c r="T463" s="302"/>
      <c r="U463" s="302"/>
      <c r="V463" s="302"/>
      <c r="W463" s="302"/>
      <c r="X463" s="302"/>
      <c r="Y463" s="302"/>
      <c r="Z463" s="302"/>
      <c r="AA463" s="302"/>
      <c r="AB463" s="302"/>
      <c r="AC463" s="303"/>
    </row>
    <row r="464" ht="13.5" customHeight="1">
      <c r="A464" s="326"/>
      <c r="B464" s="15"/>
      <c r="C464" s="7"/>
      <c r="D464" s="9"/>
      <c r="E464" s="13"/>
      <c r="F464" s="13"/>
      <c r="G464" s="308"/>
      <c r="H464" s="308"/>
      <c r="I464" s="7"/>
      <c r="J464" s="9"/>
      <c r="K464" s="7"/>
      <c r="L464" s="305"/>
      <c r="M464" s="305"/>
      <c r="N464" s="305"/>
      <c r="O464" s="305"/>
      <c r="P464" s="305"/>
      <c r="Q464" s="305"/>
      <c r="R464" s="305"/>
      <c r="S464" s="305"/>
      <c r="T464" s="305"/>
      <c r="U464" s="305"/>
      <c r="V464" s="305"/>
      <c r="W464" s="305"/>
      <c r="X464" s="305"/>
      <c r="Y464" s="305"/>
      <c r="Z464" s="305"/>
      <c r="AA464" s="305"/>
      <c r="AB464" s="305"/>
      <c r="AC464" s="307"/>
    </row>
    <row r="465" ht="13.5" customHeight="1">
      <c r="A465" s="312"/>
      <c r="B465" s="301"/>
      <c r="C465" s="301"/>
      <c r="D465" s="301"/>
      <c r="E465" s="301"/>
      <c r="F465" s="301"/>
      <c r="G465" s="301"/>
      <c r="H465" s="301"/>
      <c r="I465" s="301"/>
      <c r="J465" s="301"/>
      <c r="K465" s="301"/>
      <c r="L465" s="302"/>
      <c r="M465" s="302"/>
      <c r="N465" s="302"/>
      <c r="O465" s="302"/>
      <c r="P465" s="302"/>
      <c r="Q465" s="302"/>
      <c r="R465" s="302"/>
      <c r="S465" s="302"/>
      <c r="T465" s="302"/>
      <c r="U465" s="302"/>
      <c r="V465" s="302"/>
      <c r="W465" s="302"/>
      <c r="X465" s="302"/>
      <c r="Y465" s="302"/>
      <c r="Z465" s="302"/>
      <c r="AA465" s="302"/>
      <c r="AB465" s="302"/>
      <c r="AC465" s="303"/>
    </row>
    <row r="466" ht="13.5" customHeight="1">
      <c r="A466" s="326"/>
      <c r="B466" s="15"/>
      <c r="C466" s="7"/>
      <c r="D466" s="9"/>
      <c r="E466" s="13"/>
      <c r="F466" s="13"/>
      <c r="G466" s="308"/>
      <c r="H466" s="308"/>
      <c r="I466" s="7"/>
      <c r="J466" s="9"/>
      <c r="K466" s="7"/>
      <c r="L466" s="305"/>
      <c r="M466" s="305"/>
      <c r="N466" s="305"/>
      <c r="O466" s="305"/>
      <c r="P466" s="305"/>
      <c r="Q466" s="305"/>
      <c r="R466" s="305"/>
      <c r="S466" s="305"/>
      <c r="T466" s="305"/>
      <c r="U466" s="305"/>
      <c r="V466" s="305"/>
      <c r="W466" s="305"/>
      <c r="X466" s="305"/>
      <c r="Y466" s="305"/>
      <c r="Z466" s="305"/>
      <c r="AA466" s="305"/>
      <c r="AB466" s="305"/>
      <c r="AC466" s="307"/>
    </row>
    <row r="467" ht="13.5" customHeight="1">
      <c r="A467" s="312"/>
      <c r="B467" s="301"/>
      <c r="C467" s="301"/>
      <c r="D467" s="301"/>
      <c r="E467" s="301"/>
      <c r="F467" s="301"/>
      <c r="G467" s="301"/>
      <c r="H467" s="301"/>
      <c r="I467" s="301"/>
      <c r="J467" s="301"/>
      <c r="K467" s="301"/>
      <c r="L467" s="302"/>
      <c r="M467" s="302"/>
      <c r="N467" s="302"/>
      <c r="O467" s="302"/>
      <c r="P467" s="302"/>
      <c r="Q467" s="302"/>
      <c r="R467" s="302"/>
      <c r="S467" s="302"/>
      <c r="T467" s="302"/>
      <c r="U467" s="302"/>
      <c r="V467" s="302"/>
      <c r="W467" s="302"/>
      <c r="X467" s="302"/>
      <c r="Y467" s="302"/>
      <c r="Z467" s="302"/>
      <c r="AA467" s="302"/>
      <c r="AB467" s="302"/>
      <c r="AC467" s="303"/>
    </row>
    <row r="468" ht="13.5" customHeight="1">
      <c r="A468" s="326"/>
      <c r="B468" s="15"/>
      <c r="C468" s="7"/>
      <c r="D468" s="9"/>
      <c r="E468" s="13"/>
      <c r="F468" s="13"/>
      <c r="G468" s="308"/>
      <c r="H468" s="308"/>
      <c r="I468" s="7"/>
      <c r="J468" s="9"/>
      <c r="K468" s="7"/>
      <c r="L468" s="305"/>
      <c r="M468" s="305"/>
      <c r="N468" s="305"/>
      <c r="O468" s="305"/>
      <c r="P468" s="305"/>
      <c r="Q468" s="305"/>
      <c r="R468" s="305"/>
      <c r="S468" s="305"/>
      <c r="T468" s="305"/>
      <c r="U468" s="305"/>
      <c r="V468" s="305"/>
      <c r="W468" s="305"/>
      <c r="X468" s="305"/>
      <c r="Y468" s="305"/>
      <c r="Z468" s="305"/>
      <c r="AA468" s="305"/>
      <c r="AB468" s="305"/>
      <c r="AC468" s="307"/>
    </row>
    <row r="469" ht="13.5" customHeight="1">
      <c r="A469" s="312"/>
      <c r="B469" s="301"/>
      <c r="C469" s="301"/>
      <c r="D469" s="301"/>
      <c r="E469" s="301"/>
      <c r="F469" s="301"/>
      <c r="G469" s="301"/>
      <c r="H469" s="301"/>
      <c r="I469" s="301"/>
      <c r="J469" s="301"/>
      <c r="K469" s="301"/>
      <c r="L469" s="302"/>
      <c r="M469" s="302"/>
      <c r="N469" s="302"/>
      <c r="O469" s="302"/>
      <c r="P469" s="302"/>
      <c r="Q469" s="302"/>
      <c r="R469" s="302"/>
      <c r="S469" s="302"/>
      <c r="T469" s="302"/>
      <c r="U469" s="302"/>
      <c r="V469" s="302"/>
      <c r="W469" s="302"/>
      <c r="X469" s="302"/>
      <c r="Y469" s="302"/>
      <c r="Z469" s="302"/>
      <c r="AA469" s="302"/>
      <c r="AB469" s="302"/>
      <c r="AC469" s="303"/>
    </row>
    <row r="470" ht="13.5" customHeight="1">
      <c r="A470" s="326"/>
      <c r="B470" s="15"/>
      <c r="C470" s="7"/>
      <c r="D470" s="9"/>
      <c r="E470" s="13"/>
      <c r="F470" s="13"/>
      <c r="G470" s="308"/>
      <c r="H470" s="308"/>
      <c r="I470" s="7"/>
      <c r="J470" s="9"/>
      <c r="K470" s="7"/>
      <c r="L470" s="305"/>
      <c r="M470" s="305"/>
      <c r="N470" s="305"/>
      <c r="O470" s="305"/>
      <c r="P470" s="305"/>
      <c r="Q470" s="305"/>
      <c r="R470" s="305"/>
      <c r="S470" s="305"/>
      <c r="T470" s="305"/>
      <c r="U470" s="305"/>
      <c r="V470" s="305"/>
      <c r="W470" s="305"/>
      <c r="X470" s="305"/>
      <c r="Y470" s="305"/>
      <c r="Z470" s="305"/>
      <c r="AA470" s="305"/>
      <c r="AB470" s="305"/>
      <c r="AC470" s="307"/>
    </row>
    <row r="471" ht="13.5" customHeight="1">
      <c r="A471" s="312"/>
      <c r="B471" s="301"/>
      <c r="C471" s="301"/>
      <c r="D471" s="301"/>
      <c r="E471" s="301"/>
      <c r="F471" s="301"/>
      <c r="G471" s="301"/>
      <c r="H471" s="301"/>
      <c r="I471" s="301"/>
      <c r="J471" s="301"/>
      <c r="K471" s="301"/>
      <c r="L471" s="302"/>
      <c r="M471" s="302"/>
      <c r="N471" s="302"/>
      <c r="O471" s="302"/>
      <c r="P471" s="302"/>
      <c r="Q471" s="302"/>
      <c r="R471" s="302"/>
      <c r="S471" s="302"/>
      <c r="T471" s="302"/>
      <c r="U471" s="302"/>
      <c r="V471" s="302"/>
      <c r="W471" s="302"/>
      <c r="X471" s="302"/>
      <c r="Y471" s="302"/>
      <c r="Z471" s="302"/>
      <c r="AA471" s="302"/>
      <c r="AB471" s="302"/>
      <c r="AC471" s="303"/>
    </row>
    <row r="472" ht="13.5" customHeight="1">
      <c r="A472" s="326"/>
      <c r="B472" s="15"/>
      <c r="C472" s="7"/>
      <c r="D472" s="9"/>
      <c r="E472" s="13"/>
      <c r="F472" s="13"/>
      <c r="G472" s="308"/>
      <c r="H472" s="308"/>
      <c r="I472" s="7"/>
      <c r="J472" s="9"/>
      <c r="K472" s="7"/>
      <c r="L472" s="305"/>
      <c r="M472" s="305"/>
      <c r="N472" s="305"/>
      <c r="O472" s="305"/>
      <c r="P472" s="305"/>
      <c r="Q472" s="305"/>
      <c r="R472" s="305"/>
      <c r="S472" s="305"/>
      <c r="T472" s="305"/>
      <c r="U472" s="305"/>
      <c r="V472" s="305"/>
      <c r="W472" s="305"/>
      <c r="X472" s="305"/>
      <c r="Y472" s="305"/>
      <c r="Z472" s="305"/>
      <c r="AA472" s="305"/>
      <c r="AB472" s="305"/>
      <c r="AC472" s="307"/>
    </row>
    <row r="473" ht="13.5" customHeight="1">
      <c r="A473" s="312"/>
      <c r="B473" s="301"/>
      <c r="C473" s="301"/>
      <c r="D473" s="301"/>
      <c r="E473" s="301"/>
      <c r="F473" s="301"/>
      <c r="G473" s="301"/>
      <c r="H473" s="301"/>
      <c r="I473" s="301"/>
      <c r="J473" s="301"/>
      <c r="K473" s="301"/>
      <c r="L473" s="302"/>
      <c r="M473" s="302"/>
      <c r="N473" s="302"/>
      <c r="O473" s="302"/>
      <c r="P473" s="302"/>
      <c r="Q473" s="302"/>
      <c r="R473" s="302"/>
      <c r="S473" s="302"/>
      <c r="T473" s="302"/>
      <c r="U473" s="302"/>
      <c r="V473" s="302"/>
      <c r="W473" s="302"/>
      <c r="X473" s="302"/>
      <c r="Y473" s="302"/>
      <c r="Z473" s="302"/>
      <c r="AA473" s="302"/>
      <c r="AB473" s="302"/>
      <c r="AC473" s="303"/>
    </row>
    <row r="474" ht="13.5" customHeight="1">
      <c r="A474" s="326"/>
      <c r="B474" s="15"/>
      <c r="C474" s="7"/>
      <c r="D474" s="9"/>
      <c r="E474" s="13"/>
      <c r="F474" s="13"/>
      <c r="G474" s="308"/>
      <c r="H474" s="308"/>
      <c r="I474" s="7"/>
      <c r="J474" s="9"/>
      <c r="K474" s="7"/>
      <c r="L474" s="305"/>
      <c r="M474" s="305"/>
      <c r="N474" s="305"/>
      <c r="O474" s="305"/>
      <c r="P474" s="305"/>
      <c r="Q474" s="305"/>
      <c r="R474" s="305"/>
      <c r="S474" s="305"/>
      <c r="T474" s="305"/>
      <c r="U474" s="305"/>
      <c r="V474" s="305"/>
      <c r="W474" s="305"/>
      <c r="X474" s="305"/>
      <c r="Y474" s="305"/>
      <c r="Z474" s="305"/>
      <c r="AA474" s="305"/>
      <c r="AB474" s="305"/>
      <c r="AC474" s="307"/>
    </row>
    <row r="475" ht="13.5" customHeight="1">
      <c r="A475" s="312"/>
      <c r="B475" s="301"/>
      <c r="C475" s="301"/>
      <c r="D475" s="301"/>
      <c r="E475" s="301"/>
      <c r="F475" s="301"/>
      <c r="G475" s="301"/>
      <c r="H475" s="301"/>
      <c r="I475" s="301"/>
      <c r="J475" s="301"/>
      <c r="K475" s="301"/>
      <c r="L475" s="302"/>
      <c r="M475" s="302"/>
      <c r="N475" s="302"/>
      <c r="O475" s="302"/>
      <c r="P475" s="302"/>
      <c r="Q475" s="302"/>
      <c r="R475" s="302"/>
      <c r="S475" s="302"/>
      <c r="T475" s="302"/>
      <c r="U475" s="302"/>
      <c r="V475" s="302"/>
      <c r="W475" s="302"/>
      <c r="X475" s="302"/>
      <c r="Y475" s="302"/>
      <c r="Z475" s="302"/>
      <c r="AA475" s="302"/>
      <c r="AB475" s="302"/>
      <c r="AC475" s="303"/>
    </row>
    <row r="476" ht="13.5" customHeight="1">
      <c r="A476" s="326"/>
      <c r="B476" s="15"/>
      <c r="C476" s="7"/>
      <c r="D476" s="9"/>
      <c r="E476" s="13"/>
      <c r="F476" s="13"/>
      <c r="G476" s="308"/>
      <c r="H476" s="308"/>
      <c r="I476" s="7"/>
      <c r="J476" s="9"/>
      <c r="K476" s="7"/>
      <c r="L476" s="305"/>
      <c r="M476" s="305"/>
      <c r="N476" s="305"/>
      <c r="O476" s="305"/>
      <c r="P476" s="305"/>
      <c r="Q476" s="305"/>
      <c r="R476" s="305"/>
      <c r="S476" s="305"/>
      <c r="T476" s="305"/>
      <c r="U476" s="305"/>
      <c r="V476" s="305"/>
      <c r="W476" s="305"/>
      <c r="X476" s="305"/>
      <c r="Y476" s="305"/>
      <c r="Z476" s="305"/>
      <c r="AA476" s="305"/>
      <c r="AB476" s="305"/>
      <c r="AC476" s="307"/>
    </row>
    <row r="477" ht="13.5" customHeight="1">
      <c r="A477" s="312"/>
      <c r="B477" s="301"/>
      <c r="C477" s="301"/>
      <c r="D477" s="301"/>
      <c r="E477" s="301"/>
      <c r="F477" s="301"/>
      <c r="G477" s="301"/>
      <c r="H477" s="301"/>
      <c r="I477" s="301"/>
      <c r="J477" s="301"/>
      <c r="K477" s="301"/>
      <c r="L477" s="302"/>
      <c r="M477" s="302"/>
      <c r="N477" s="302"/>
      <c r="O477" s="302"/>
      <c r="P477" s="302"/>
      <c r="Q477" s="302"/>
      <c r="R477" s="302"/>
      <c r="S477" s="302"/>
      <c r="T477" s="302"/>
      <c r="U477" s="302"/>
      <c r="V477" s="302"/>
      <c r="W477" s="302"/>
      <c r="X477" s="302"/>
      <c r="Y477" s="302"/>
      <c r="Z477" s="302"/>
      <c r="AA477" s="302"/>
      <c r="AB477" s="302"/>
      <c r="AC477" s="303"/>
    </row>
    <row r="478" ht="13.5" customHeight="1">
      <c r="A478" s="326"/>
      <c r="B478" s="15"/>
      <c r="C478" s="7"/>
      <c r="D478" s="9"/>
      <c r="E478" s="13"/>
      <c r="F478" s="13"/>
      <c r="G478" s="308"/>
      <c r="H478" s="308"/>
      <c r="I478" s="7"/>
      <c r="J478" s="9"/>
      <c r="K478" s="7"/>
      <c r="L478" s="305"/>
      <c r="M478" s="305"/>
      <c r="N478" s="305"/>
      <c r="O478" s="305"/>
      <c r="P478" s="305"/>
      <c r="Q478" s="305"/>
      <c r="R478" s="305"/>
      <c r="S478" s="305"/>
      <c r="T478" s="305"/>
      <c r="U478" s="305"/>
      <c r="V478" s="305"/>
      <c r="W478" s="305"/>
      <c r="X478" s="305"/>
      <c r="Y478" s="305"/>
      <c r="Z478" s="305"/>
      <c r="AA478" s="305"/>
      <c r="AB478" s="305"/>
      <c r="AC478" s="307"/>
    </row>
    <row r="479" ht="13.5" customHeight="1">
      <c r="A479" s="312"/>
      <c r="B479" s="301"/>
      <c r="C479" s="301"/>
      <c r="D479" s="301"/>
      <c r="E479" s="301"/>
      <c r="F479" s="301"/>
      <c r="G479" s="301"/>
      <c r="H479" s="301"/>
      <c r="I479" s="301"/>
      <c r="J479" s="301"/>
      <c r="K479" s="301"/>
      <c r="L479" s="302"/>
      <c r="M479" s="302"/>
      <c r="N479" s="302"/>
      <c r="O479" s="302"/>
      <c r="P479" s="302"/>
      <c r="Q479" s="302"/>
      <c r="R479" s="302"/>
      <c r="S479" s="302"/>
      <c r="T479" s="302"/>
      <c r="U479" s="302"/>
      <c r="V479" s="302"/>
      <c r="W479" s="302"/>
      <c r="X479" s="302"/>
      <c r="Y479" s="302"/>
      <c r="Z479" s="302"/>
      <c r="AA479" s="302"/>
      <c r="AB479" s="302"/>
      <c r="AC479" s="303"/>
    </row>
    <row r="480" ht="13.5" customHeight="1">
      <c r="A480" s="326"/>
      <c r="B480" s="15"/>
      <c r="C480" s="7"/>
      <c r="D480" s="9"/>
      <c r="E480" s="13"/>
      <c r="F480" s="13"/>
      <c r="G480" s="308"/>
      <c r="H480" s="308"/>
      <c r="I480" s="7"/>
      <c r="J480" s="9"/>
      <c r="K480" s="7"/>
      <c r="L480" s="305"/>
      <c r="M480" s="305"/>
      <c r="N480" s="305"/>
      <c r="O480" s="305"/>
      <c r="P480" s="305"/>
      <c r="Q480" s="305"/>
      <c r="R480" s="305"/>
      <c r="S480" s="305"/>
      <c r="T480" s="305"/>
      <c r="U480" s="305"/>
      <c r="V480" s="305"/>
      <c r="W480" s="305"/>
      <c r="X480" s="305"/>
      <c r="Y480" s="305"/>
      <c r="Z480" s="305"/>
      <c r="AA480" s="305"/>
      <c r="AB480" s="305"/>
      <c r="AC480" s="307"/>
    </row>
    <row r="481" ht="13.5" customHeight="1">
      <c r="A481" s="312"/>
      <c r="B481" s="301"/>
      <c r="C481" s="301"/>
      <c r="D481" s="301"/>
      <c r="E481" s="301"/>
      <c r="F481" s="301"/>
      <c r="G481" s="301"/>
      <c r="H481" s="301"/>
      <c r="I481" s="301"/>
      <c r="J481" s="301"/>
      <c r="K481" s="301"/>
      <c r="L481" s="302"/>
      <c r="M481" s="302"/>
      <c r="N481" s="302"/>
      <c r="O481" s="302"/>
      <c r="P481" s="302"/>
      <c r="Q481" s="302"/>
      <c r="R481" s="302"/>
      <c r="S481" s="302"/>
      <c r="T481" s="302"/>
      <c r="U481" s="302"/>
      <c r="V481" s="302"/>
      <c r="W481" s="302"/>
      <c r="X481" s="302"/>
      <c r="Y481" s="302"/>
      <c r="Z481" s="302"/>
      <c r="AA481" s="302"/>
      <c r="AB481" s="302"/>
      <c r="AC481" s="303"/>
    </row>
    <row r="482" ht="13.5" customHeight="1">
      <c r="A482" s="326"/>
      <c r="B482" s="15"/>
      <c r="C482" s="7"/>
      <c r="D482" s="9"/>
      <c r="E482" s="13"/>
      <c r="F482" s="13"/>
      <c r="G482" s="308"/>
      <c r="H482" s="308"/>
      <c r="I482" s="7"/>
      <c r="J482" s="9"/>
      <c r="K482" s="7"/>
      <c r="L482" s="305"/>
      <c r="M482" s="305"/>
      <c r="N482" s="305"/>
      <c r="O482" s="305"/>
      <c r="P482" s="305"/>
      <c r="Q482" s="305"/>
      <c r="R482" s="305"/>
      <c r="S482" s="305"/>
      <c r="T482" s="305"/>
      <c r="U482" s="305"/>
      <c r="V482" s="305"/>
      <c r="W482" s="305"/>
      <c r="X482" s="305"/>
      <c r="Y482" s="305"/>
      <c r="Z482" s="305"/>
      <c r="AA482" s="305"/>
      <c r="AB482" s="305"/>
      <c r="AC482" s="307"/>
    </row>
    <row r="483" ht="13.5" customHeight="1">
      <c r="A483" s="312"/>
      <c r="B483" s="301"/>
      <c r="C483" s="301"/>
      <c r="D483" s="301"/>
      <c r="E483" s="301"/>
      <c r="F483" s="301"/>
      <c r="G483" s="301"/>
      <c r="H483" s="301"/>
      <c r="I483" s="301"/>
      <c r="J483" s="301"/>
      <c r="K483" s="301"/>
      <c r="L483" s="302"/>
      <c r="M483" s="302"/>
      <c r="N483" s="302"/>
      <c r="O483" s="302"/>
      <c r="P483" s="302"/>
      <c r="Q483" s="302"/>
      <c r="R483" s="302"/>
      <c r="S483" s="302"/>
      <c r="T483" s="302"/>
      <c r="U483" s="302"/>
      <c r="V483" s="302"/>
      <c r="W483" s="302"/>
      <c r="X483" s="302"/>
      <c r="Y483" s="302"/>
      <c r="Z483" s="302"/>
      <c r="AA483" s="302"/>
      <c r="AB483" s="302"/>
      <c r="AC483" s="303"/>
    </row>
    <row r="484" ht="13.5" customHeight="1">
      <c r="A484" s="326"/>
      <c r="B484" s="15"/>
      <c r="C484" s="7"/>
      <c r="D484" s="9"/>
      <c r="E484" s="13"/>
      <c r="F484" s="13"/>
      <c r="G484" s="308"/>
      <c r="H484" s="308"/>
      <c r="I484" s="7"/>
      <c r="J484" s="9"/>
      <c r="K484" s="7"/>
      <c r="L484" s="305"/>
      <c r="M484" s="305"/>
      <c r="N484" s="305"/>
      <c r="O484" s="305"/>
      <c r="P484" s="305"/>
      <c r="Q484" s="305"/>
      <c r="R484" s="305"/>
      <c r="S484" s="305"/>
      <c r="T484" s="305"/>
      <c r="U484" s="305"/>
      <c r="V484" s="305"/>
      <c r="W484" s="305"/>
      <c r="X484" s="305"/>
      <c r="Y484" s="305"/>
      <c r="Z484" s="305"/>
      <c r="AA484" s="305"/>
      <c r="AB484" s="305"/>
      <c r="AC484" s="307"/>
    </row>
    <row r="485" ht="13.5" customHeight="1">
      <c r="A485" s="312"/>
      <c r="B485" s="301"/>
      <c r="C485" s="301"/>
      <c r="D485" s="301"/>
      <c r="E485" s="301"/>
      <c r="F485" s="301"/>
      <c r="G485" s="301"/>
      <c r="H485" s="301"/>
      <c r="I485" s="301"/>
      <c r="J485" s="301"/>
      <c r="K485" s="301"/>
      <c r="L485" s="302"/>
      <c r="M485" s="302"/>
      <c r="N485" s="302"/>
      <c r="O485" s="302"/>
      <c r="P485" s="302"/>
      <c r="Q485" s="302"/>
      <c r="R485" s="302"/>
      <c r="S485" s="302"/>
      <c r="T485" s="302"/>
      <c r="U485" s="302"/>
      <c r="V485" s="302"/>
      <c r="W485" s="302"/>
      <c r="X485" s="302"/>
      <c r="Y485" s="302"/>
      <c r="Z485" s="302"/>
      <c r="AA485" s="302"/>
      <c r="AB485" s="302"/>
      <c r="AC485" s="303"/>
    </row>
    <row r="486" ht="13.5" customHeight="1">
      <c r="A486" s="326"/>
      <c r="B486" s="15"/>
      <c r="C486" s="7"/>
      <c r="D486" s="9"/>
      <c r="E486" s="13"/>
      <c r="F486" s="13"/>
      <c r="G486" s="308"/>
      <c r="H486" s="308"/>
      <c r="I486" s="7"/>
      <c r="J486" s="9"/>
      <c r="K486" s="7"/>
      <c r="L486" s="305"/>
      <c r="M486" s="305"/>
      <c r="N486" s="305"/>
      <c r="O486" s="305"/>
      <c r="P486" s="305"/>
      <c r="Q486" s="305"/>
      <c r="R486" s="305"/>
      <c r="S486" s="305"/>
      <c r="T486" s="305"/>
      <c r="U486" s="305"/>
      <c r="V486" s="305"/>
      <c r="W486" s="305"/>
      <c r="X486" s="305"/>
      <c r="Y486" s="305"/>
      <c r="Z486" s="305"/>
      <c r="AA486" s="305"/>
      <c r="AB486" s="305"/>
      <c r="AC486" s="307"/>
    </row>
    <row r="487" ht="13.5" customHeight="1">
      <c r="A487" s="312"/>
      <c r="B487" s="301"/>
      <c r="C487" s="301"/>
      <c r="D487" s="301"/>
      <c r="E487" s="301"/>
      <c r="F487" s="301"/>
      <c r="G487" s="301"/>
      <c r="H487" s="301"/>
      <c r="I487" s="301"/>
      <c r="J487" s="301"/>
      <c r="K487" s="301"/>
      <c r="L487" s="302"/>
      <c r="M487" s="302"/>
      <c r="N487" s="302"/>
      <c r="O487" s="302"/>
      <c r="P487" s="302"/>
      <c r="Q487" s="302"/>
      <c r="R487" s="302"/>
      <c r="S487" s="302"/>
      <c r="T487" s="302"/>
      <c r="U487" s="302"/>
      <c r="V487" s="302"/>
      <c r="W487" s="302"/>
      <c r="X487" s="302"/>
      <c r="Y487" s="302"/>
      <c r="Z487" s="302"/>
      <c r="AA487" s="302"/>
      <c r="AB487" s="302"/>
      <c r="AC487" s="303"/>
    </row>
    <row r="488" ht="13.5" customHeight="1">
      <c r="A488" s="326"/>
      <c r="B488" s="15"/>
      <c r="C488" s="7"/>
      <c r="D488" s="9"/>
      <c r="E488" s="13"/>
      <c r="F488" s="13"/>
      <c r="G488" s="308"/>
      <c r="H488" s="308"/>
      <c r="I488" s="7"/>
      <c r="J488" s="9"/>
      <c r="K488" s="7"/>
      <c r="L488" s="305"/>
      <c r="M488" s="305"/>
      <c r="N488" s="305"/>
      <c r="O488" s="305"/>
      <c r="P488" s="305"/>
      <c r="Q488" s="305"/>
      <c r="R488" s="305"/>
      <c r="S488" s="305"/>
      <c r="T488" s="305"/>
      <c r="U488" s="305"/>
      <c r="V488" s="305"/>
      <c r="W488" s="305"/>
      <c r="X488" s="305"/>
      <c r="Y488" s="305"/>
      <c r="Z488" s="305"/>
      <c r="AA488" s="305"/>
      <c r="AB488" s="305"/>
      <c r="AC488" s="307"/>
    </row>
    <row r="489" ht="13.5" customHeight="1">
      <c r="A489" s="312"/>
      <c r="B489" s="301"/>
      <c r="C489" s="301"/>
      <c r="D489" s="301"/>
      <c r="E489" s="301"/>
      <c r="F489" s="301"/>
      <c r="G489" s="301"/>
      <c r="H489" s="301"/>
      <c r="I489" s="301"/>
      <c r="J489" s="301"/>
      <c r="K489" s="301"/>
      <c r="L489" s="302"/>
      <c r="M489" s="302"/>
      <c r="N489" s="302"/>
      <c r="O489" s="302"/>
      <c r="P489" s="302"/>
      <c r="Q489" s="302"/>
      <c r="R489" s="302"/>
      <c r="S489" s="302"/>
      <c r="T489" s="302"/>
      <c r="U489" s="302"/>
      <c r="V489" s="302"/>
      <c r="W489" s="302"/>
      <c r="X489" s="302"/>
      <c r="Y489" s="302"/>
      <c r="Z489" s="302"/>
      <c r="AA489" s="302"/>
      <c r="AB489" s="302"/>
      <c r="AC489" s="303"/>
    </row>
    <row r="490" ht="13.5" customHeight="1">
      <c r="A490" s="326"/>
      <c r="B490" s="15"/>
      <c r="C490" s="7"/>
      <c r="D490" s="9"/>
      <c r="E490" s="13"/>
      <c r="F490" s="13"/>
      <c r="G490" s="308"/>
      <c r="H490" s="308"/>
      <c r="I490" s="7"/>
      <c r="J490" s="9"/>
      <c r="K490" s="7"/>
      <c r="L490" s="305"/>
      <c r="M490" s="305"/>
      <c r="N490" s="305"/>
      <c r="O490" s="305"/>
      <c r="P490" s="305"/>
      <c r="Q490" s="305"/>
      <c r="R490" s="305"/>
      <c r="S490" s="305"/>
      <c r="T490" s="305"/>
      <c r="U490" s="305"/>
      <c r="V490" s="305"/>
      <c r="W490" s="305"/>
      <c r="X490" s="305"/>
      <c r="Y490" s="305"/>
      <c r="Z490" s="305"/>
      <c r="AA490" s="305"/>
      <c r="AB490" s="305"/>
      <c r="AC490" s="307"/>
    </row>
    <row r="491" ht="13.5" customHeight="1">
      <c r="A491" s="312"/>
      <c r="B491" s="301"/>
      <c r="C491" s="301"/>
      <c r="D491" s="301"/>
      <c r="E491" s="301"/>
      <c r="F491" s="301"/>
      <c r="G491" s="301"/>
      <c r="H491" s="301"/>
      <c r="I491" s="301"/>
      <c r="J491" s="301"/>
      <c r="K491" s="301"/>
      <c r="L491" s="302"/>
      <c r="M491" s="302"/>
      <c r="N491" s="302"/>
      <c r="O491" s="302"/>
      <c r="P491" s="302"/>
      <c r="Q491" s="302"/>
      <c r="R491" s="302"/>
      <c r="S491" s="302"/>
      <c r="T491" s="302"/>
      <c r="U491" s="302"/>
      <c r="V491" s="302"/>
      <c r="W491" s="302"/>
      <c r="X491" s="302"/>
      <c r="Y491" s="302"/>
      <c r="Z491" s="302"/>
      <c r="AA491" s="302"/>
      <c r="AB491" s="302"/>
      <c r="AC491" s="303"/>
    </row>
    <row r="492" ht="13.5" customHeight="1">
      <c r="A492" s="326"/>
      <c r="B492" s="15"/>
      <c r="C492" s="7"/>
      <c r="D492" s="9"/>
      <c r="E492" s="13"/>
      <c r="F492" s="13"/>
      <c r="G492" s="308"/>
      <c r="H492" s="308"/>
      <c r="I492" s="7"/>
      <c r="J492" s="9"/>
      <c r="K492" s="7"/>
      <c r="L492" s="305"/>
      <c r="M492" s="305"/>
      <c r="N492" s="305"/>
      <c r="O492" s="305"/>
      <c r="P492" s="305"/>
      <c r="Q492" s="305"/>
      <c r="R492" s="305"/>
      <c r="S492" s="305"/>
      <c r="T492" s="305"/>
      <c r="U492" s="305"/>
      <c r="V492" s="305"/>
      <c r="W492" s="305"/>
      <c r="X492" s="305"/>
      <c r="Y492" s="305"/>
      <c r="Z492" s="305"/>
      <c r="AA492" s="305"/>
      <c r="AB492" s="305"/>
      <c r="AC492" s="307"/>
    </row>
    <row r="493" ht="13.5" customHeight="1">
      <c r="A493" s="312"/>
      <c r="B493" s="301"/>
      <c r="C493" s="301"/>
      <c r="D493" s="301"/>
      <c r="E493" s="301"/>
      <c r="F493" s="301"/>
      <c r="G493" s="301"/>
      <c r="H493" s="301"/>
      <c r="I493" s="301"/>
      <c r="J493" s="301"/>
      <c r="K493" s="301"/>
      <c r="L493" s="302"/>
      <c r="M493" s="302"/>
      <c r="N493" s="302"/>
      <c r="O493" s="302"/>
      <c r="P493" s="302"/>
      <c r="Q493" s="302"/>
      <c r="R493" s="302"/>
      <c r="S493" s="302"/>
      <c r="T493" s="302"/>
      <c r="U493" s="302"/>
      <c r="V493" s="302"/>
      <c r="W493" s="302"/>
      <c r="X493" s="302"/>
      <c r="Y493" s="302"/>
      <c r="Z493" s="302"/>
      <c r="AA493" s="302"/>
      <c r="AB493" s="302"/>
      <c r="AC493" s="303"/>
    </row>
    <row r="494" ht="13.5" customHeight="1">
      <c r="A494" s="326"/>
      <c r="B494" s="15"/>
      <c r="C494" s="7"/>
      <c r="D494" s="9"/>
      <c r="E494" s="13"/>
      <c r="F494" s="13"/>
      <c r="G494" s="308"/>
      <c r="H494" s="308"/>
      <c r="I494" s="7"/>
      <c r="J494" s="9"/>
      <c r="K494" s="7"/>
      <c r="L494" s="305"/>
      <c r="M494" s="305"/>
      <c r="N494" s="305"/>
      <c r="O494" s="305"/>
      <c r="P494" s="305"/>
      <c r="Q494" s="305"/>
      <c r="R494" s="305"/>
      <c r="S494" s="305"/>
      <c r="T494" s="305"/>
      <c r="U494" s="305"/>
      <c r="V494" s="305"/>
      <c r="W494" s="305"/>
      <c r="X494" s="305"/>
      <c r="Y494" s="305"/>
      <c r="Z494" s="305"/>
      <c r="AA494" s="305"/>
      <c r="AB494" s="305"/>
      <c r="AC494" s="307"/>
    </row>
    <row r="495" ht="13.5" customHeight="1">
      <c r="A495" s="312"/>
      <c r="B495" s="301"/>
      <c r="C495" s="301"/>
      <c r="D495" s="301"/>
      <c r="E495" s="301"/>
      <c r="F495" s="301"/>
      <c r="G495" s="301"/>
      <c r="H495" s="301"/>
      <c r="I495" s="301"/>
      <c r="J495" s="301"/>
      <c r="K495" s="301"/>
      <c r="L495" s="302"/>
      <c r="M495" s="302"/>
      <c r="N495" s="302"/>
      <c r="O495" s="302"/>
      <c r="P495" s="302"/>
      <c r="Q495" s="302"/>
      <c r="R495" s="302"/>
      <c r="S495" s="302"/>
      <c r="T495" s="302"/>
      <c r="U495" s="302"/>
      <c r="V495" s="302"/>
      <c r="W495" s="302"/>
      <c r="X495" s="302"/>
      <c r="Y495" s="302"/>
      <c r="Z495" s="302"/>
      <c r="AA495" s="302"/>
      <c r="AB495" s="302"/>
      <c r="AC495" s="303"/>
    </row>
    <row r="496" ht="13.5" customHeight="1">
      <c r="A496" s="326"/>
      <c r="B496" s="15"/>
      <c r="C496" s="7"/>
      <c r="D496" s="9"/>
      <c r="E496" s="13"/>
      <c r="F496" s="13"/>
      <c r="G496" s="308"/>
      <c r="H496" s="308"/>
      <c r="I496" s="7"/>
      <c r="J496" s="9"/>
      <c r="K496" s="7"/>
      <c r="L496" s="305"/>
      <c r="M496" s="305"/>
      <c r="N496" s="305"/>
      <c r="O496" s="305"/>
      <c r="P496" s="305"/>
      <c r="Q496" s="305"/>
      <c r="R496" s="305"/>
      <c r="S496" s="305"/>
      <c r="T496" s="305"/>
      <c r="U496" s="305"/>
      <c r="V496" s="305"/>
      <c r="W496" s="305"/>
      <c r="X496" s="305"/>
      <c r="Y496" s="305"/>
      <c r="Z496" s="305"/>
      <c r="AA496" s="305"/>
      <c r="AB496" s="305"/>
      <c r="AC496" s="307"/>
    </row>
    <row r="497" ht="13.5" customHeight="1">
      <c r="A497" s="312"/>
      <c r="B497" s="301"/>
      <c r="C497" s="301"/>
      <c r="D497" s="301"/>
      <c r="E497" s="301"/>
      <c r="F497" s="301"/>
      <c r="G497" s="301"/>
      <c r="H497" s="301"/>
      <c r="I497" s="301"/>
      <c r="J497" s="301"/>
      <c r="K497" s="301"/>
      <c r="L497" s="302"/>
      <c r="M497" s="302"/>
      <c r="N497" s="302"/>
      <c r="O497" s="302"/>
      <c r="P497" s="302"/>
      <c r="Q497" s="302"/>
      <c r="R497" s="302"/>
      <c r="S497" s="302"/>
      <c r="T497" s="302"/>
      <c r="U497" s="302"/>
      <c r="V497" s="302"/>
      <c r="W497" s="302"/>
      <c r="X497" s="302"/>
      <c r="Y497" s="302"/>
      <c r="Z497" s="302"/>
      <c r="AA497" s="302"/>
      <c r="AB497" s="302"/>
      <c r="AC497" s="303"/>
    </row>
    <row r="498" ht="13.5" customHeight="1">
      <c r="A498" s="326"/>
      <c r="B498" s="15"/>
      <c r="C498" s="7"/>
      <c r="D498" s="9"/>
      <c r="E498" s="13"/>
      <c r="F498" s="13"/>
      <c r="G498" s="308"/>
      <c r="H498" s="308"/>
      <c r="I498" s="7"/>
      <c r="J498" s="9"/>
      <c r="K498" s="7"/>
      <c r="L498" s="305"/>
      <c r="M498" s="305"/>
      <c r="N498" s="305"/>
      <c r="O498" s="305"/>
      <c r="P498" s="305"/>
      <c r="Q498" s="305"/>
      <c r="R498" s="305"/>
      <c r="S498" s="305"/>
      <c r="T498" s="305"/>
      <c r="U498" s="305"/>
      <c r="V498" s="305"/>
      <c r="W498" s="305"/>
      <c r="X498" s="305"/>
      <c r="Y498" s="305"/>
      <c r="Z498" s="305"/>
      <c r="AA498" s="305"/>
      <c r="AB498" s="305"/>
      <c r="AC498" s="307"/>
    </row>
    <row r="499" ht="13.5" customHeight="1">
      <c r="A499" s="312"/>
      <c r="B499" s="301"/>
      <c r="C499" s="301"/>
      <c r="D499" s="301"/>
      <c r="E499" s="301"/>
      <c r="F499" s="301"/>
      <c r="G499" s="301"/>
      <c r="H499" s="301"/>
      <c r="I499" s="301"/>
      <c r="J499" s="301"/>
      <c r="K499" s="301"/>
      <c r="L499" s="302"/>
      <c r="M499" s="302"/>
      <c r="N499" s="302"/>
      <c r="O499" s="302"/>
      <c r="P499" s="302"/>
      <c r="Q499" s="302"/>
      <c r="R499" s="302"/>
      <c r="S499" s="302"/>
      <c r="T499" s="302"/>
      <c r="U499" s="302"/>
      <c r="V499" s="302"/>
      <c r="W499" s="302"/>
      <c r="X499" s="302"/>
      <c r="Y499" s="302"/>
      <c r="Z499" s="302"/>
      <c r="AA499" s="302"/>
      <c r="AB499" s="302"/>
      <c r="AC499" s="303"/>
    </row>
    <row r="500" ht="13.5" customHeight="1">
      <c r="A500" s="326"/>
      <c r="B500" s="15"/>
      <c r="C500" s="7"/>
      <c r="D500" s="9"/>
      <c r="E500" s="13"/>
      <c r="F500" s="13"/>
      <c r="G500" s="308"/>
      <c r="H500" s="308"/>
      <c r="I500" s="7"/>
      <c r="J500" s="9"/>
      <c r="K500" s="7"/>
      <c r="L500" s="305"/>
      <c r="M500" s="305"/>
      <c r="N500" s="305"/>
      <c r="O500" s="305"/>
      <c r="P500" s="305"/>
      <c r="Q500" s="305"/>
      <c r="R500" s="305"/>
      <c r="S500" s="305"/>
      <c r="T500" s="305"/>
      <c r="U500" s="305"/>
      <c r="V500" s="305"/>
      <c r="W500" s="305"/>
      <c r="X500" s="305"/>
      <c r="Y500" s="305"/>
      <c r="Z500" s="305"/>
      <c r="AA500" s="305"/>
      <c r="AB500" s="305"/>
      <c r="AC500" s="307"/>
    </row>
    <row r="501" ht="13.5" customHeight="1">
      <c r="A501" s="312"/>
      <c r="B501" s="301"/>
      <c r="C501" s="301"/>
      <c r="D501" s="301"/>
      <c r="E501" s="301"/>
      <c r="F501" s="301"/>
      <c r="G501" s="301"/>
      <c r="H501" s="301"/>
      <c r="I501" s="301"/>
      <c r="J501" s="301"/>
      <c r="K501" s="301"/>
      <c r="L501" s="302"/>
      <c r="M501" s="302"/>
      <c r="N501" s="302"/>
      <c r="O501" s="302"/>
      <c r="P501" s="302"/>
      <c r="Q501" s="302"/>
      <c r="R501" s="302"/>
      <c r="S501" s="302"/>
      <c r="T501" s="302"/>
      <c r="U501" s="302"/>
      <c r="V501" s="302"/>
      <c r="W501" s="302"/>
      <c r="X501" s="302"/>
      <c r="Y501" s="302"/>
      <c r="Z501" s="302"/>
      <c r="AA501" s="302"/>
      <c r="AB501" s="302"/>
      <c r="AC501" s="303"/>
    </row>
    <row r="502" ht="13.5" customHeight="1">
      <c r="A502" s="326"/>
      <c r="B502" s="15"/>
      <c r="C502" s="7"/>
      <c r="D502" s="9"/>
      <c r="E502" s="13"/>
      <c r="F502" s="13"/>
      <c r="G502" s="308"/>
      <c r="H502" s="308"/>
      <c r="I502" s="7"/>
      <c r="J502" s="9"/>
      <c r="K502" s="7"/>
      <c r="L502" s="305"/>
      <c r="M502" s="305"/>
      <c r="N502" s="305"/>
      <c r="O502" s="305"/>
      <c r="P502" s="305"/>
      <c r="Q502" s="305"/>
      <c r="R502" s="305"/>
      <c r="S502" s="305"/>
      <c r="T502" s="305"/>
      <c r="U502" s="305"/>
      <c r="V502" s="305"/>
      <c r="W502" s="305"/>
      <c r="X502" s="305"/>
      <c r="Y502" s="305"/>
      <c r="Z502" s="305"/>
      <c r="AA502" s="305"/>
      <c r="AB502" s="305"/>
      <c r="AC502" s="307"/>
    </row>
    <row r="503" ht="13.5" customHeight="1">
      <c r="A503" s="312"/>
      <c r="B503" s="301"/>
      <c r="C503" s="301"/>
      <c r="D503" s="301"/>
      <c r="E503" s="301"/>
      <c r="F503" s="301"/>
      <c r="G503" s="301"/>
      <c r="H503" s="301"/>
      <c r="I503" s="301"/>
      <c r="J503" s="301"/>
      <c r="K503" s="301"/>
      <c r="L503" s="302"/>
      <c r="M503" s="302"/>
      <c r="N503" s="302"/>
      <c r="O503" s="302"/>
      <c r="P503" s="302"/>
      <c r="Q503" s="302"/>
      <c r="R503" s="302"/>
      <c r="S503" s="302"/>
      <c r="T503" s="302"/>
      <c r="U503" s="302"/>
      <c r="V503" s="302"/>
      <c r="W503" s="302"/>
      <c r="X503" s="302"/>
      <c r="Y503" s="302"/>
      <c r="Z503" s="302"/>
      <c r="AA503" s="302"/>
      <c r="AB503" s="302"/>
      <c r="AC503" s="303"/>
    </row>
    <row r="504" ht="13.5" customHeight="1">
      <c r="A504" s="326"/>
      <c r="B504" s="15"/>
      <c r="C504" s="7"/>
      <c r="D504" s="9"/>
      <c r="E504" s="13"/>
      <c r="F504" s="13"/>
      <c r="G504" s="308"/>
      <c r="H504" s="308"/>
      <c r="I504" s="7"/>
      <c r="J504" s="9"/>
      <c r="K504" s="7"/>
      <c r="L504" s="305"/>
      <c r="M504" s="305"/>
      <c r="N504" s="305"/>
      <c r="O504" s="305"/>
      <c r="P504" s="305"/>
      <c r="Q504" s="305"/>
      <c r="R504" s="305"/>
      <c r="S504" s="305"/>
      <c r="T504" s="305"/>
      <c r="U504" s="305"/>
      <c r="V504" s="305"/>
      <c r="W504" s="305"/>
      <c r="X504" s="305"/>
      <c r="Y504" s="305"/>
      <c r="Z504" s="305"/>
      <c r="AA504" s="305"/>
      <c r="AB504" s="305"/>
      <c r="AC504" s="307"/>
    </row>
    <row r="505" ht="13.5" customHeight="1">
      <c r="A505" s="312"/>
      <c r="B505" s="301"/>
      <c r="C505" s="301"/>
      <c r="D505" s="301"/>
      <c r="E505" s="301"/>
      <c r="F505" s="301"/>
      <c r="G505" s="301"/>
      <c r="H505" s="301"/>
      <c r="I505" s="301"/>
      <c r="J505" s="301"/>
      <c r="K505" s="301"/>
      <c r="L505" s="302"/>
      <c r="M505" s="302"/>
      <c r="N505" s="302"/>
      <c r="O505" s="302"/>
      <c r="P505" s="302"/>
      <c r="Q505" s="302"/>
      <c r="R505" s="302"/>
      <c r="S505" s="302"/>
      <c r="T505" s="302"/>
      <c r="U505" s="302"/>
      <c r="V505" s="302"/>
      <c r="W505" s="302"/>
      <c r="X505" s="302"/>
      <c r="Y505" s="302"/>
      <c r="Z505" s="302"/>
      <c r="AA505" s="302"/>
      <c r="AB505" s="302"/>
      <c r="AC505" s="303"/>
    </row>
    <row r="506" ht="13.5" customHeight="1">
      <c r="A506" s="326"/>
      <c r="B506" s="15"/>
      <c r="C506" s="7"/>
      <c r="D506" s="9"/>
      <c r="E506" s="13"/>
      <c r="F506" s="13"/>
      <c r="G506" s="308"/>
      <c r="H506" s="308"/>
      <c r="I506" s="7"/>
      <c r="J506" s="9"/>
      <c r="K506" s="7"/>
      <c r="L506" s="305"/>
      <c r="M506" s="305"/>
      <c r="N506" s="305"/>
      <c r="O506" s="305"/>
      <c r="P506" s="305"/>
      <c r="Q506" s="305"/>
      <c r="R506" s="305"/>
      <c r="S506" s="305"/>
      <c r="T506" s="305"/>
      <c r="U506" s="305"/>
      <c r="V506" s="305"/>
      <c r="W506" s="305"/>
      <c r="X506" s="305"/>
      <c r="Y506" s="305"/>
      <c r="Z506" s="305"/>
      <c r="AA506" s="305"/>
      <c r="AB506" s="305"/>
      <c r="AC506" s="307"/>
    </row>
    <row r="507" ht="13.5" customHeight="1">
      <c r="A507" s="312"/>
      <c r="B507" s="301"/>
      <c r="C507" s="301"/>
      <c r="D507" s="301"/>
      <c r="E507" s="301"/>
      <c r="F507" s="301"/>
      <c r="G507" s="301"/>
      <c r="H507" s="301"/>
      <c r="I507" s="301"/>
      <c r="J507" s="301"/>
      <c r="K507" s="301"/>
      <c r="L507" s="302"/>
      <c r="M507" s="302"/>
      <c r="N507" s="302"/>
      <c r="O507" s="302"/>
      <c r="P507" s="302"/>
      <c r="Q507" s="302"/>
      <c r="R507" s="302"/>
      <c r="S507" s="302"/>
      <c r="T507" s="302"/>
      <c r="U507" s="302"/>
      <c r="V507" s="302"/>
      <c r="W507" s="302"/>
      <c r="X507" s="302"/>
      <c r="Y507" s="302"/>
      <c r="Z507" s="302"/>
      <c r="AA507" s="302"/>
      <c r="AB507" s="302"/>
      <c r="AC507" s="303"/>
    </row>
    <row r="508" ht="13.5" customHeight="1">
      <c r="A508" s="326"/>
      <c r="B508" s="15"/>
      <c r="C508" s="7"/>
      <c r="D508" s="9"/>
      <c r="E508" s="13"/>
      <c r="F508" s="13"/>
      <c r="G508" s="308"/>
      <c r="H508" s="308"/>
      <c r="I508" s="7"/>
      <c r="J508" s="9"/>
      <c r="K508" s="7"/>
      <c r="L508" s="305"/>
      <c r="M508" s="305"/>
      <c r="N508" s="305"/>
      <c r="O508" s="305"/>
      <c r="P508" s="305"/>
      <c r="Q508" s="305"/>
      <c r="R508" s="305"/>
      <c r="S508" s="305"/>
      <c r="T508" s="305"/>
      <c r="U508" s="305"/>
      <c r="V508" s="305"/>
      <c r="W508" s="305"/>
      <c r="X508" s="305"/>
      <c r="Y508" s="305"/>
      <c r="Z508" s="305"/>
      <c r="AA508" s="305"/>
      <c r="AB508" s="305"/>
      <c r="AC508" s="307"/>
    </row>
    <row r="509" ht="13.5" customHeight="1">
      <c r="A509" s="312"/>
      <c r="B509" s="301"/>
      <c r="C509" s="301"/>
      <c r="D509" s="301"/>
      <c r="E509" s="301"/>
      <c r="F509" s="301"/>
      <c r="G509" s="301"/>
      <c r="H509" s="301"/>
      <c r="I509" s="301"/>
      <c r="J509" s="301"/>
      <c r="K509" s="301"/>
      <c r="L509" s="302"/>
      <c r="M509" s="302"/>
      <c r="N509" s="302"/>
      <c r="O509" s="302"/>
      <c r="P509" s="302"/>
      <c r="Q509" s="302"/>
      <c r="R509" s="302"/>
      <c r="S509" s="302"/>
      <c r="T509" s="302"/>
      <c r="U509" s="302"/>
      <c r="V509" s="302"/>
      <c r="W509" s="302"/>
      <c r="X509" s="302"/>
      <c r="Y509" s="302"/>
      <c r="Z509" s="302"/>
      <c r="AA509" s="302"/>
      <c r="AB509" s="302"/>
      <c r="AC509" s="303"/>
    </row>
    <row r="510" ht="13.5" customHeight="1">
      <c r="A510" s="326"/>
      <c r="B510" s="15"/>
      <c r="C510" s="7"/>
      <c r="D510" s="9"/>
      <c r="E510" s="13"/>
      <c r="F510" s="13"/>
      <c r="G510" s="308"/>
      <c r="H510" s="308"/>
      <c r="I510" s="7"/>
      <c r="J510" s="9"/>
      <c r="K510" s="7"/>
      <c r="L510" s="305"/>
      <c r="M510" s="305"/>
      <c r="N510" s="305"/>
      <c r="O510" s="305"/>
      <c r="P510" s="305"/>
      <c r="Q510" s="305"/>
      <c r="R510" s="305"/>
      <c r="S510" s="305"/>
      <c r="T510" s="305"/>
      <c r="U510" s="305"/>
      <c r="V510" s="305"/>
      <c r="W510" s="305"/>
      <c r="X510" s="305"/>
      <c r="Y510" s="305"/>
      <c r="Z510" s="305"/>
      <c r="AA510" s="305"/>
      <c r="AB510" s="305"/>
      <c r="AC510" s="307"/>
    </row>
    <row r="511" ht="13.5" customHeight="1">
      <c r="A511" s="312"/>
      <c r="B511" s="301"/>
      <c r="C511" s="301"/>
      <c r="D511" s="301"/>
      <c r="E511" s="301"/>
      <c r="F511" s="301"/>
      <c r="G511" s="301"/>
      <c r="H511" s="301"/>
      <c r="I511" s="301"/>
      <c r="J511" s="301"/>
      <c r="K511" s="301"/>
      <c r="L511" s="302"/>
      <c r="M511" s="302"/>
      <c r="N511" s="302"/>
      <c r="O511" s="302"/>
      <c r="P511" s="302"/>
      <c r="Q511" s="302"/>
      <c r="R511" s="302"/>
      <c r="S511" s="302"/>
      <c r="T511" s="302"/>
      <c r="U511" s="302"/>
      <c r="V511" s="302"/>
      <c r="W511" s="302"/>
      <c r="X511" s="302"/>
      <c r="Y511" s="302"/>
      <c r="Z511" s="302"/>
      <c r="AA511" s="302"/>
      <c r="AB511" s="302"/>
      <c r="AC511" s="303"/>
    </row>
    <row r="512" ht="13.5" customHeight="1">
      <c r="A512" s="326"/>
      <c r="B512" s="15"/>
      <c r="C512" s="7"/>
      <c r="D512" s="9"/>
      <c r="E512" s="13"/>
      <c r="F512" s="13"/>
      <c r="G512" s="308"/>
      <c r="H512" s="308"/>
      <c r="I512" s="7"/>
      <c r="J512" s="9"/>
      <c r="K512" s="7"/>
      <c r="L512" s="305"/>
      <c r="M512" s="305"/>
      <c r="N512" s="305"/>
      <c r="O512" s="305"/>
      <c r="P512" s="305"/>
      <c r="Q512" s="305"/>
      <c r="R512" s="305"/>
      <c r="S512" s="305"/>
      <c r="T512" s="305"/>
      <c r="U512" s="305"/>
      <c r="V512" s="305"/>
      <c r="W512" s="305"/>
      <c r="X512" s="305"/>
      <c r="Y512" s="305"/>
      <c r="Z512" s="305"/>
      <c r="AA512" s="305"/>
      <c r="AB512" s="305"/>
      <c r="AC512" s="307"/>
    </row>
    <row r="513" ht="13.5" customHeight="1">
      <c r="A513" s="312"/>
      <c r="B513" s="301"/>
      <c r="C513" s="301"/>
      <c r="D513" s="301"/>
      <c r="E513" s="301"/>
      <c r="F513" s="301"/>
      <c r="G513" s="301"/>
      <c r="H513" s="301"/>
      <c r="I513" s="301"/>
      <c r="J513" s="301"/>
      <c r="K513" s="301"/>
      <c r="L513" s="302"/>
      <c r="M513" s="302"/>
      <c r="N513" s="302"/>
      <c r="O513" s="302"/>
      <c r="P513" s="302"/>
      <c r="Q513" s="302"/>
      <c r="R513" s="302"/>
      <c r="S513" s="302"/>
      <c r="T513" s="302"/>
      <c r="U513" s="302"/>
      <c r="V513" s="302"/>
      <c r="W513" s="302"/>
      <c r="X513" s="302"/>
      <c r="Y513" s="302"/>
      <c r="Z513" s="302"/>
      <c r="AA513" s="302"/>
      <c r="AB513" s="302"/>
      <c r="AC513" s="303"/>
    </row>
    <row r="514" ht="13.5" customHeight="1">
      <c r="A514" s="326"/>
      <c r="B514" s="15"/>
      <c r="C514" s="7"/>
      <c r="D514" s="9"/>
      <c r="E514" s="13"/>
      <c r="F514" s="13"/>
      <c r="G514" s="308"/>
      <c r="H514" s="308"/>
      <c r="I514" s="7"/>
      <c r="J514" s="9"/>
      <c r="K514" s="7"/>
      <c r="L514" s="305"/>
      <c r="M514" s="305"/>
      <c r="N514" s="305"/>
      <c r="O514" s="305"/>
      <c r="P514" s="305"/>
      <c r="Q514" s="305"/>
      <c r="R514" s="305"/>
      <c r="S514" s="305"/>
      <c r="T514" s="305"/>
      <c r="U514" s="305"/>
      <c r="V514" s="305"/>
      <c r="W514" s="305"/>
      <c r="X514" s="305"/>
      <c r="Y514" s="305"/>
      <c r="Z514" s="305"/>
      <c r="AA514" s="305"/>
      <c r="AB514" s="305"/>
      <c r="AC514" s="307"/>
    </row>
    <row r="515" ht="13.5" customHeight="1">
      <c r="A515" s="312"/>
      <c r="B515" s="301"/>
      <c r="C515" s="301"/>
      <c r="D515" s="301"/>
      <c r="E515" s="301"/>
      <c r="F515" s="301"/>
      <c r="G515" s="301"/>
      <c r="H515" s="301"/>
      <c r="I515" s="301"/>
      <c r="J515" s="301"/>
      <c r="K515" s="301"/>
      <c r="L515" s="302"/>
      <c r="M515" s="302"/>
      <c r="N515" s="302"/>
      <c r="O515" s="302"/>
      <c r="P515" s="302"/>
      <c r="Q515" s="302"/>
      <c r="R515" s="302"/>
      <c r="S515" s="302"/>
      <c r="T515" s="302"/>
      <c r="U515" s="302"/>
      <c r="V515" s="302"/>
      <c r="W515" s="302"/>
      <c r="X515" s="302"/>
      <c r="Y515" s="302"/>
      <c r="Z515" s="302"/>
      <c r="AA515" s="302"/>
      <c r="AB515" s="302"/>
      <c r="AC515" s="303"/>
    </row>
    <row r="516" ht="13.5" customHeight="1">
      <c r="A516" s="326"/>
      <c r="B516" s="15"/>
      <c r="C516" s="7"/>
      <c r="D516" s="9"/>
      <c r="E516" s="13"/>
      <c r="F516" s="13"/>
      <c r="G516" s="308"/>
      <c r="H516" s="308"/>
      <c r="I516" s="7"/>
      <c r="J516" s="9"/>
      <c r="K516" s="7"/>
      <c r="L516" s="305"/>
      <c r="M516" s="305"/>
      <c r="N516" s="305"/>
      <c r="O516" s="305"/>
      <c r="P516" s="305"/>
      <c r="Q516" s="305"/>
      <c r="R516" s="305"/>
      <c r="S516" s="305"/>
      <c r="T516" s="305"/>
      <c r="U516" s="305"/>
      <c r="V516" s="305"/>
      <c r="W516" s="305"/>
      <c r="X516" s="305"/>
      <c r="Y516" s="305"/>
      <c r="Z516" s="305"/>
      <c r="AA516" s="305"/>
      <c r="AB516" s="305"/>
      <c r="AC516" s="307"/>
    </row>
    <row r="517" ht="13.5" customHeight="1">
      <c r="A517" s="312"/>
      <c r="B517" s="301"/>
      <c r="C517" s="301"/>
      <c r="D517" s="301"/>
      <c r="E517" s="301"/>
      <c r="F517" s="301"/>
      <c r="G517" s="301"/>
      <c r="H517" s="301"/>
      <c r="I517" s="301"/>
      <c r="J517" s="301"/>
      <c r="K517" s="301"/>
      <c r="L517" s="302"/>
      <c r="M517" s="302"/>
      <c r="N517" s="302"/>
      <c r="O517" s="302"/>
      <c r="P517" s="302"/>
      <c r="Q517" s="302"/>
      <c r="R517" s="302"/>
      <c r="S517" s="302"/>
      <c r="T517" s="302"/>
      <c r="U517" s="302"/>
      <c r="V517" s="302"/>
      <c r="W517" s="302"/>
      <c r="X517" s="302"/>
      <c r="Y517" s="302"/>
      <c r="Z517" s="302"/>
      <c r="AA517" s="302"/>
      <c r="AB517" s="302"/>
      <c r="AC517" s="303"/>
    </row>
    <row r="518" ht="13.5" customHeight="1">
      <c r="A518" s="326"/>
      <c r="B518" s="15"/>
      <c r="C518" s="7"/>
      <c r="D518" s="9"/>
      <c r="E518" s="13"/>
      <c r="F518" s="13"/>
      <c r="G518" s="308"/>
      <c r="H518" s="308"/>
      <c r="I518" s="7"/>
      <c r="J518" s="9"/>
      <c r="K518" s="7"/>
      <c r="L518" s="305"/>
      <c r="M518" s="305"/>
      <c r="N518" s="305"/>
      <c r="O518" s="305"/>
      <c r="P518" s="305"/>
      <c r="Q518" s="305"/>
      <c r="R518" s="305"/>
      <c r="S518" s="305"/>
      <c r="T518" s="305"/>
      <c r="U518" s="305"/>
      <c r="V518" s="305"/>
      <c r="W518" s="305"/>
      <c r="X518" s="305"/>
      <c r="Y518" s="305"/>
      <c r="Z518" s="305"/>
      <c r="AA518" s="305"/>
      <c r="AB518" s="305"/>
      <c r="AC518" s="307"/>
    </row>
    <row r="519" ht="13.5" customHeight="1">
      <c r="A519" s="312"/>
      <c r="B519" s="301"/>
      <c r="C519" s="301"/>
      <c r="D519" s="301"/>
      <c r="E519" s="301"/>
      <c r="F519" s="301"/>
      <c r="G519" s="301"/>
      <c r="H519" s="301"/>
      <c r="I519" s="301"/>
      <c r="J519" s="301"/>
      <c r="K519" s="301"/>
      <c r="L519" s="302"/>
      <c r="M519" s="302"/>
      <c r="N519" s="302"/>
      <c r="O519" s="302"/>
      <c r="P519" s="302"/>
      <c r="Q519" s="302"/>
      <c r="R519" s="302"/>
      <c r="S519" s="302"/>
      <c r="T519" s="302"/>
      <c r="U519" s="302"/>
      <c r="V519" s="302"/>
      <c r="W519" s="302"/>
      <c r="X519" s="302"/>
      <c r="Y519" s="302"/>
      <c r="Z519" s="302"/>
      <c r="AA519" s="302"/>
      <c r="AB519" s="302"/>
      <c r="AC519" s="303"/>
    </row>
    <row r="520" ht="13.5" customHeight="1">
      <c r="A520" s="326"/>
      <c r="B520" s="15"/>
      <c r="C520" s="7"/>
      <c r="D520" s="9"/>
      <c r="E520" s="13"/>
      <c r="F520" s="13"/>
      <c r="G520" s="308"/>
      <c r="H520" s="308"/>
      <c r="I520" s="7"/>
      <c r="J520" s="9"/>
      <c r="K520" s="7"/>
      <c r="L520" s="305"/>
      <c r="M520" s="305"/>
      <c r="N520" s="305"/>
      <c r="O520" s="305"/>
      <c r="P520" s="305"/>
      <c r="Q520" s="305"/>
      <c r="R520" s="305"/>
      <c r="S520" s="305"/>
      <c r="T520" s="305"/>
      <c r="U520" s="305"/>
      <c r="V520" s="305"/>
      <c r="W520" s="305"/>
      <c r="X520" s="305"/>
      <c r="Y520" s="305"/>
      <c r="Z520" s="305"/>
      <c r="AA520" s="305"/>
      <c r="AB520" s="305"/>
      <c r="AC520" s="307"/>
    </row>
    <row r="521" ht="13.5" customHeight="1">
      <c r="A521" s="312"/>
      <c r="B521" s="301"/>
      <c r="C521" s="301"/>
      <c r="D521" s="301"/>
      <c r="E521" s="301"/>
      <c r="F521" s="301"/>
      <c r="G521" s="301"/>
      <c r="H521" s="301"/>
      <c r="I521" s="301"/>
      <c r="J521" s="301"/>
      <c r="K521" s="301"/>
      <c r="L521" s="302"/>
      <c r="M521" s="302"/>
      <c r="N521" s="302"/>
      <c r="O521" s="302"/>
      <c r="P521" s="302"/>
      <c r="Q521" s="302"/>
      <c r="R521" s="302"/>
      <c r="S521" s="302"/>
      <c r="T521" s="302"/>
      <c r="U521" s="302"/>
      <c r="V521" s="302"/>
      <c r="W521" s="302"/>
      <c r="X521" s="302"/>
      <c r="Y521" s="302"/>
      <c r="Z521" s="302"/>
      <c r="AA521" s="302"/>
      <c r="AB521" s="302"/>
      <c r="AC521" s="303"/>
    </row>
    <row r="522" ht="13.5" customHeight="1">
      <c r="A522" s="326"/>
      <c r="B522" s="15"/>
      <c r="C522" s="7"/>
      <c r="D522" s="9"/>
      <c r="E522" s="13"/>
      <c r="F522" s="13"/>
      <c r="G522" s="308"/>
      <c r="H522" s="308"/>
      <c r="I522" s="7"/>
      <c r="J522" s="9"/>
      <c r="K522" s="7"/>
      <c r="L522" s="305"/>
      <c r="M522" s="305"/>
      <c r="N522" s="305"/>
      <c r="O522" s="305"/>
      <c r="P522" s="305"/>
      <c r="Q522" s="305"/>
      <c r="R522" s="305"/>
      <c r="S522" s="305"/>
      <c r="T522" s="305"/>
      <c r="U522" s="305"/>
      <c r="V522" s="305"/>
      <c r="W522" s="305"/>
      <c r="X522" s="305"/>
      <c r="Y522" s="305"/>
      <c r="Z522" s="305"/>
      <c r="AA522" s="305"/>
      <c r="AB522" s="305"/>
      <c r="AC522" s="307"/>
    </row>
    <row r="523" ht="13.5" customHeight="1">
      <c r="A523" s="312"/>
      <c r="B523" s="301"/>
      <c r="C523" s="301"/>
      <c r="D523" s="301"/>
      <c r="E523" s="301"/>
      <c r="F523" s="301"/>
      <c r="G523" s="301"/>
      <c r="H523" s="301"/>
      <c r="I523" s="301"/>
      <c r="J523" s="301"/>
      <c r="K523" s="301"/>
      <c r="L523" s="302"/>
      <c r="M523" s="302"/>
      <c r="N523" s="302"/>
      <c r="O523" s="302"/>
      <c r="P523" s="302"/>
      <c r="Q523" s="302"/>
      <c r="R523" s="302"/>
      <c r="S523" s="302"/>
      <c r="T523" s="302"/>
      <c r="U523" s="302"/>
      <c r="V523" s="302"/>
      <c r="W523" s="302"/>
      <c r="X523" s="302"/>
      <c r="Y523" s="302"/>
      <c r="Z523" s="302"/>
      <c r="AA523" s="302"/>
      <c r="AB523" s="302"/>
      <c r="AC523" s="303"/>
    </row>
    <row r="524" ht="13.5" customHeight="1">
      <c r="A524" s="326"/>
      <c r="B524" s="15"/>
      <c r="C524" s="7"/>
      <c r="D524" s="9"/>
      <c r="E524" s="13"/>
      <c r="F524" s="13"/>
      <c r="G524" s="308"/>
      <c r="H524" s="308"/>
      <c r="I524" s="7"/>
      <c r="J524" s="9"/>
      <c r="K524" s="7"/>
      <c r="L524" s="305"/>
      <c r="M524" s="305"/>
      <c r="N524" s="305"/>
      <c r="O524" s="305"/>
      <c r="P524" s="305"/>
      <c r="Q524" s="305"/>
      <c r="R524" s="305"/>
      <c r="S524" s="305"/>
      <c r="T524" s="305"/>
      <c r="U524" s="305"/>
      <c r="V524" s="305"/>
      <c r="W524" s="305"/>
      <c r="X524" s="305"/>
      <c r="Y524" s="305"/>
      <c r="Z524" s="305"/>
      <c r="AA524" s="305"/>
      <c r="AB524" s="305"/>
      <c r="AC524" s="307"/>
    </row>
    <row r="525" ht="13.5" customHeight="1">
      <c r="A525" s="312"/>
      <c r="B525" s="301"/>
      <c r="C525" s="301"/>
      <c r="D525" s="301"/>
      <c r="E525" s="301"/>
      <c r="F525" s="301"/>
      <c r="G525" s="301"/>
      <c r="H525" s="301"/>
      <c r="I525" s="301"/>
      <c r="J525" s="301"/>
      <c r="K525" s="301"/>
      <c r="L525" s="302"/>
      <c r="M525" s="302"/>
      <c r="N525" s="302"/>
      <c r="O525" s="302"/>
      <c r="P525" s="302"/>
      <c r="Q525" s="302"/>
      <c r="R525" s="302"/>
      <c r="S525" s="302"/>
      <c r="T525" s="302"/>
      <c r="U525" s="302"/>
      <c r="V525" s="302"/>
      <c r="W525" s="302"/>
      <c r="X525" s="302"/>
      <c r="Y525" s="302"/>
      <c r="Z525" s="302"/>
      <c r="AA525" s="302"/>
      <c r="AB525" s="302"/>
      <c r="AC525" s="303"/>
    </row>
    <row r="526" ht="13.5" customHeight="1">
      <c r="A526" s="326"/>
      <c r="B526" s="15"/>
      <c r="C526" s="7"/>
      <c r="D526" s="9"/>
      <c r="E526" s="13"/>
      <c r="F526" s="13"/>
      <c r="G526" s="308"/>
      <c r="H526" s="308"/>
      <c r="I526" s="7"/>
      <c r="J526" s="9"/>
      <c r="K526" s="7"/>
      <c r="L526" s="305"/>
      <c r="M526" s="305"/>
      <c r="N526" s="305"/>
      <c r="O526" s="305"/>
      <c r="P526" s="305"/>
      <c r="Q526" s="305"/>
      <c r="R526" s="305"/>
      <c r="S526" s="305"/>
      <c r="T526" s="305"/>
      <c r="U526" s="305"/>
      <c r="V526" s="305"/>
      <c r="W526" s="305"/>
      <c r="X526" s="305"/>
      <c r="Y526" s="305"/>
      <c r="Z526" s="305"/>
      <c r="AA526" s="305"/>
      <c r="AB526" s="305"/>
      <c r="AC526" s="307"/>
    </row>
    <row r="527" ht="13.5" customHeight="1">
      <c r="A527" s="312"/>
      <c r="B527" s="301"/>
      <c r="C527" s="301"/>
      <c r="D527" s="301"/>
      <c r="E527" s="301"/>
      <c r="F527" s="301"/>
      <c r="G527" s="301"/>
      <c r="H527" s="301"/>
      <c r="I527" s="301"/>
      <c r="J527" s="301"/>
      <c r="K527" s="301"/>
      <c r="L527" s="302"/>
      <c r="M527" s="302"/>
      <c r="N527" s="302"/>
      <c r="O527" s="302"/>
      <c r="P527" s="302"/>
      <c r="Q527" s="302"/>
      <c r="R527" s="302"/>
      <c r="S527" s="302"/>
      <c r="T527" s="302"/>
      <c r="U527" s="302"/>
      <c r="V527" s="302"/>
      <c r="W527" s="302"/>
      <c r="X527" s="302"/>
      <c r="Y527" s="302"/>
      <c r="Z527" s="302"/>
      <c r="AA527" s="302"/>
      <c r="AB527" s="302"/>
      <c r="AC527" s="303"/>
    </row>
    <row r="528" ht="13.5" customHeight="1">
      <c r="A528" s="326"/>
      <c r="B528" s="15"/>
      <c r="C528" s="7"/>
      <c r="D528" s="9"/>
      <c r="E528" s="13"/>
      <c r="F528" s="13"/>
      <c r="G528" s="308"/>
      <c r="H528" s="308"/>
      <c r="I528" s="7"/>
      <c r="J528" s="9"/>
      <c r="K528" s="7"/>
      <c r="L528" s="305"/>
      <c r="M528" s="305"/>
      <c r="N528" s="305"/>
      <c r="O528" s="305"/>
      <c r="P528" s="305"/>
      <c r="Q528" s="305"/>
      <c r="R528" s="305"/>
      <c r="S528" s="305"/>
      <c r="T528" s="305"/>
      <c r="U528" s="305"/>
      <c r="V528" s="305"/>
      <c r="W528" s="305"/>
      <c r="X528" s="305"/>
      <c r="Y528" s="305"/>
      <c r="Z528" s="305"/>
      <c r="AA528" s="305"/>
      <c r="AB528" s="305"/>
      <c r="AC528" s="307"/>
    </row>
    <row r="529" ht="13.5" customHeight="1">
      <c r="A529" s="312"/>
      <c r="B529" s="301"/>
      <c r="C529" s="301"/>
      <c r="D529" s="301"/>
      <c r="E529" s="301"/>
      <c r="F529" s="301"/>
      <c r="G529" s="301"/>
      <c r="H529" s="301"/>
      <c r="I529" s="301"/>
      <c r="J529" s="301"/>
      <c r="K529" s="301"/>
      <c r="L529" s="302"/>
      <c r="M529" s="302"/>
      <c r="N529" s="302"/>
      <c r="O529" s="302"/>
      <c r="P529" s="302"/>
      <c r="Q529" s="302"/>
      <c r="R529" s="302"/>
      <c r="S529" s="302"/>
      <c r="T529" s="302"/>
      <c r="U529" s="302"/>
      <c r="V529" s="302"/>
      <c r="W529" s="302"/>
      <c r="X529" s="302"/>
      <c r="Y529" s="302"/>
      <c r="Z529" s="302"/>
      <c r="AA529" s="302"/>
      <c r="AB529" s="302"/>
      <c r="AC529" s="303"/>
    </row>
    <row r="530" ht="13.5" customHeight="1">
      <c r="A530" s="326"/>
      <c r="B530" s="15"/>
      <c r="C530" s="7"/>
      <c r="D530" s="9"/>
      <c r="E530" s="13"/>
      <c r="F530" s="13"/>
      <c r="G530" s="308"/>
      <c r="H530" s="308"/>
      <c r="I530" s="7"/>
      <c r="J530" s="9"/>
      <c r="K530" s="7"/>
      <c r="L530" s="305"/>
      <c r="M530" s="305"/>
      <c r="N530" s="305"/>
      <c r="O530" s="305"/>
      <c r="P530" s="305"/>
      <c r="Q530" s="305"/>
      <c r="R530" s="305"/>
      <c r="S530" s="305"/>
      <c r="T530" s="305"/>
      <c r="U530" s="305"/>
      <c r="V530" s="305"/>
      <c r="W530" s="305"/>
      <c r="X530" s="305"/>
      <c r="Y530" s="305"/>
      <c r="Z530" s="305"/>
      <c r="AA530" s="305"/>
      <c r="AB530" s="305"/>
      <c r="AC530" s="307"/>
    </row>
    <row r="531" ht="13.5" customHeight="1">
      <c r="A531" s="312"/>
      <c r="B531" s="301"/>
      <c r="C531" s="301"/>
      <c r="D531" s="301"/>
      <c r="E531" s="301"/>
      <c r="F531" s="301"/>
      <c r="G531" s="301"/>
      <c r="H531" s="301"/>
      <c r="I531" s="301"/>
      <c r="J531" s="301"/>
      <c r="K531" s="301"/>
      <c r="L531" s="302"/>
      <c r="M531" s="302"/>
      <c r="N531" s="302"/>
      <c r="O531" s="302"/>
      <c r="P531" s="302"/>
      <c r="Q531" s="302"/>
      <c r="R531" s="302"/>
      <c r="S531" s="302"/>
      <c r="T531" s="302"/>
      <c r="U531" s="302"/>
      <c r="V531" s="302"/>
      <c r="W531" s="302"/>
      <c r="X531" s="302"/>
      <c r="Y531" s="302"/>
      <c r="Z531" s="302"/>
      <c r="AA531" s="302"/>
      <c r="AB531" s="302"/>
      <c r="AC531" s="303"/>
    </row>
    <row r="532" ht="13.5" customHeight="1">
      <c r="A532" s="326"/>
      <c r="B532" s="15"/>
      <c r="C532" s="7"/>
      <c r="D532" s="9"/>
      <c r="E532" s="13"/>
      <c r="F532" s="13"/>
      <c r="G532" s="308"/>
      <c r="H532" s="308"/>
      <c r="I532" s="7"/>
      <c r="J532" s="9"/>
      <c r="K532" s="7"/>
      <c r="L532" s="305"/>
      <c r="M532" s="305"/>
      <c r="N532" s="305"/>
      <c r="O532" s="305"/>
      <c r="P532" s="305"/>
      <c r="Q532" s="305"/>
      <c r="R532" s="305"/>
      <c r="S532" s="305"/>
      <c r="T532" s="305"/>
      <c r="U532" s="305"/>
      <c r="V532" s="305"/>
      <c r="W532" s="305"/>
      <c r="X532" s="305"/>
      <c r="Y532" s="305"/>
      <c r="Z532" s="305"/>
      <c r="AA532" s="305"/>
      <c r="AB532" s="305"/>
      <c r="AC532" s="307"/>
    </row>
    <row r="533" ht="13.5" customHeight="1">
      <c r="A533" s="312"/>
      <c r="B533" s="301"/>
      <c r="C533" s="301"/>
      <c r="D533" s="301"/>
      <c r="E533" s="301"/>
      <c r="F533" s="301"/>
      <c r="G533" s="301"/>
      <c r="H533" s="301"/>
      <c r="I533" s="301"/>
      <c r="J533" s="301"/>
      <c r="K533" s="301"/>
      <c r="L533" s="302"/>
      <c r="M533" s="302"/>
      <c r="N533" s="302"/>
      <c r="O533" s="302"/>
      <c r="P533" s="302"/>
      <c r="Q533" s="302"/>
      <c r="R533" s="302"/>
      <c r="S533" s="302"/>
      <c r="T533" s="302"/>
      <c r="U533" s="302"/>
      <c r="V533" s="302"/>
      <c r="W533" s="302"/>
      <c r="X533" s="302"/>
      <c r="Y533" s="302"/>
      <c r="Z533" s="302"/>
      <c r="AA533" s="302"/>
      <c r="AB533" s="302"/>
      <c r="AC533" s="303"/>
    </row>
    <row r="534" ht="13.5" customHeight="1">
      <c r="A534" s="326"/>
      <c r="B534" s="15"/>
      <c r="C534" s="7"/>
      <c r="D534" s="9"/>
      <c r="E534" s="13"/>
      <c r="F534" s="13"/>
      <c r="G534" s="308"/>
      <c r="H534" s="308"/>
      <c r="I534" s="7"/>
      <c r="J534" s="9"/>
      <c r="K534" s="7"/>
      <c r="L534" s="305"/>
      <c r="M534" s="305"/>
      <c r="N534" s="305"/>
      <c r="O534" s="305"/>
      <c r="P534" s="305"/>
      <c r="Q534" s="305"/>
      <c r="R534" s="305"/>
      <c r="S534" s="305"/>
      <c r="T534" s="305"/>
      <c r="U534" s="305"/>
      <c r="V534" s="305"/>
      <c r="W534" s="305"/>
      <c r="X534" s="305"/>
      <c r="Y534" s="305"/>
      <c r="Z534" s="305"/>
      <c r="AA534" s="305"/>
      <c r="AB534" s="305"/>
      <c r="AC534" s="307"/>
    </row>
    <row r="535" ht="13.5" customHeight="1">
      <c r="A535" s="312"/>
      <c r="B535" s="301"/>
      <c r="C535" s="301"/>
      <c r="D535" s="301"/>
      <c r="E535" s="301"/>
      <c r="F535" s="301"/>
      <c r="G535" s="301"/>
      <c r="H535" s="301"/>
      <c r="I535" s="301"/>
      <c r="J535" s="301"/>
      <c r="K535" s="301"/>
      <c r="L535" s="302"/>
      <c r="M535" s="302"/>
      <c r="N535" s="302"/>
      <c r="O535" s="302"/>
      <c r="P535" s="302"/>
      <c r="Q535" s="302"/>
      <c r="R535" s="302"/>
      <c r="S535" s="302"/>
      <c r="T535" s="302"/>
      <c r="U535" s="302"/>
      <c r="V535" s="302"/>
      <c r="W535" s="302"/>
      <c r="X535" s="302"/>
      <c r="Y535" s="302"/>
      <c r="Z535" s="302"/>
      <c r="AA535" s="302"/>
      <c r="AB535" s="302"/>
      <c r="AC535" s="303"/>
    </row>
    <row r="536" ht="13.5" customHeight="1">
      <c r="A536" s="326"/>
      <c r="B536" s="15"/>
      <c r="C536" s="7"/>
      <c r="D536" s="9"/>
      <c r="E536" s="13"/>
      <c r="F536" s="13"/>
      <c r="G536" s="308"/>
      <c r="H536" s="308"/>
      <c r="I536" s="7"/>
      <c r="J536" s="9"/>
      <c r="K536" s="7"/>
      <c r="L536" s="305"/>
      <c r="M536" s="305"/>
      <c r="N536" s="305"/>
      <c r="O536" s="305"/>
      <c r="P536" s="305"/>
      <c r="Q536" s="305"/>
      <c r="R536" s="305"/>
      <c r="S536" s="305"/>
      <c r="T536" s="305"/>
      <c r="U536" s="305"/>
      <c r="V536" s="305"/>
      <c r="W536" s="305"/>
      <c r="X536" s="305"/>
      <c r="Y536" s="305"/>
      <c r="Z536" s="305"/>
      <c r="AA536" s="305"/>
      <c r="AB536" s="305"/>
      <c r="AC536" s="307"/>
    </row>
    <row r="537" ht="13.5" customHeight="1">
      <c r="A537" s="312"/>
      <c r="B537" s="301"/>
      <c r="C537" s="301"/>
      <c r="D537" s="301"/>
      <c r="E537" s="301"/>
      <c r="F537" s="301"/>
      <c r="G537" s="301"/>
      <c r="H537" s="301"/>
      <c r="I537" s="301"/>
      <c r="J537" s="301"/>
      <c r="K537" s="301"/>
      <c r="L537" s="302"/>
      <c r="M537" s="302"/>
      <c r="N537" s="302"/>
      <c r="O537" s="302"/>
      <c r="P537" s="302"/>
      <c r="Q537" s="302"/>
      <c r="R537" s="302"/>
      <c r="S537" s="302"/>
      <c r="T537" s="302"/>
      <c r="U537" s="302"/>
      <c r="V537" s="302"/>
      <c r="W537" s="302"/>
      <c r="X537" s="302"/>
      <c r="Y537" s="302"/>
      <c r="Z537" s="302"/>
      <c r="AA537" s="302"/>
      <c r="AB537" s="302"/>
      <c r="AC537" s="303"/>
    </row>
    <row r="538" ht="13.5" customHeight="1">
      <c r="A538" s="326"/>
      <c r="B538" s="15"/>
      <c r="C538" s="7"/>
      <c r="D538" s="9"/>
      <c r="E538" s="13"/>
      <c r="F538" s="13"/>
      <c r="G538" s="308"/>
      <c r="H538" s="308"/>
      <c r="I538" s="7"/>
      <c r="J538" s="9"/>
      <c r="K538" s="7"/>
      <c r="L538" s="305"/>
      <c r="M538" s="305"/>
      <c r="N538" s="305"/>
      <c r="O538" s="305"/>
      <c r="P538" s="305"/>
      <c r="Q538" s="305"/>
      <c r="R538" s="305"/>
      <c r="S538" s="305"/>
      <c r="T538" s="305"/>
      <c r="U538" s="305"/>
      <c r="V538" s="305"/>
      <c r="W538" s="305"/>
      <c r="X538" s="305"/>
      <c r="Y538" s="305"/>
      <c r="Z538" s="305"/>
      <c r="AA538" s="305"/>
      <c r="AB538" s="305"/>
      <c r="AC538" s="307"/>
    </row>
    <row r="539" ht="13.5" customHeight="1">
      <c r="A539" s="312"/>
      <c r="B539" s="301"/>
      <c r="C539" s="301"/>
      <c r="D539" s="301"/>
      <c r="E539" s="301"/>
      <c r="F539" s="301"/>
      <c r="G539" s="301"/>
      <c r="H539" s="301"/>
      <c r="I539" s="301"/>
      <c r="J539" s="301"/>
      <c r="K539" s="301"/>
      <c r="L539" s="302"/>
      <c r="M539" s="302"/>
      <c r="N539" s="302"/>
      <c r="O539" s="302"/>
      <c r="P539" s="302"/>
      <c r="Q539" s="302"/>
      <c r="R539" s="302"/>
      <c r="S539" s="302"/>
      <c r="T539" s="302"/>
      <c r="U539" s="302"/>
      <c r="V539" s="302"/>
      <c r="W539" s="302"/>
      <c r="X539" s="302"/>
      <c r="Y539" s="302"/>
      <c r="Z539" s="302"/>
      <c r="AA539" s="302"/>
      <c r="AB539" s="302"/>
      <c r="AC539" s="303"/>
    </row>
    <row r="540" ht="13.5" customHeight="1">
      <c r="A540" s="326"/>
      <c r="B540" s="15"/>
      <c r="C540" s="7"/>
      <c r="D540" s="9"/>
      <c r="E540" s="13"/>
      <c r="F540" s="13"/>
      <c r="G540" s="308"/>
      <c r="H540" s="308"/>
      <c r="I540" s="7"/>
      <c r="J540" s="9"/>
      <c r="K540" s="7"/>
      <c r="L540" s="305"/>
      <c r="M540" s="305"/>
      <c r="N540" s="305"/>
      <c r="O540" s="305"/>
      <c r="P540" s="305"/>
      <c r="Q540" s="305"/>
      <c r="R540" s="305"/>
      <c r="S540" s="305"/>
      <c r="T540" s="305"/>
      <c r="U540" s="305"/>
      <c r="V540" s="305"/>
      <c r="W540" s="305"/>
      <c r="X540" s="305"/>
      <c r="Y540" s="305"/>
      <c r="Z540" s="305"/>
      <c r="AA540" s="305"/>
      <c r="AB540" s="305"/>
      <c r="AC540" s="307"/>
    </row>
    <row r="541" ht="13.5" customHeight="1">
      <c r="A541" s="312"/>
      <c r="B541" s="301"/>
      <c r="C541" s="301"/>
      <c r="D541" s="301"/>
      <c r="E541" s="301"/>
      <c r="F541" s="301"/>
      <c r="G541" s="301"/>
      <c r="H541" s="301"/>
      <c r="I541" s="301"/>
      <c r="J541" s="301"/>
      <c r="K541" s="301"/>
      <c r="L541" s="302"/>
      <c r="M541" s="302"/>
      <c r="N541" s="302"/>
      <c r="O541" s="302"/>
      <c r="P541" s="302"/>
      <c r="Q541" s="302"/>
      <c r="R541" s="302"/>
      <c r="S541" s="302"/>
      <c r="T541" s="302"/>
      <c r="U541" s="302"/>
      <c r="V541" s="302"/>
      <c r="W541" s="302"/>
      <c r="X541" s="302"/>
      <c r="Y541" s="302"/>
      <c r="Z541" s="302"/>
      <c r="AA541" s="302"/>
      <c r="AB541" s="302"/>
      <c r="AC541" s="303"/>
    </row>
    <row r="542" ht="13.5" customHeight="1">
      <c r="A542" s="326"/>
      <c r="B542" s="15"/>
      <c r="C542" s="7"/>
      <c r="D542" s="9"/>
      <c r="E542" s="13"/>
      <c r="F542" s="13"/>
      <c r="G542" s="308"/>
      <c r="H542" s="308"/>
      <c r="I542" s="7"/>
      <c r="J542" s="9"/>
      <c r="K542" s="7"/>
      <c r="L542" s="305"/>
      <c r="M542" s="305"/>
      <c r="N542" s="305"/>
      <c r="O542" s="305"/>
      <c r="P542" s="305"/>
      <c r="Q542" s="305"/>
      <c r="R542" s="305"/>
      <c r="S542" s="305"/>
      <c r="T542" s="305"/>
      <c r="U542" s="305"/>
      <c r="V542" s="305"/>
      <c r="W542" s="305"/>
      <c r="X542" s="305"/>
      <c r="Y542" s="305"/>
      <c r="Z542" s="305"/>
      <c r="AA542" s="305"/>
      <c r="AB542" s="305"/>
      <c r="AC542" s="307"/>
    </row>
    <row r="543" ht="13.5" customHeight="1">
      <c r="A543" s="312"/>
      <c r="B543" s="301"/>
      <c r="C543" s="301"/>
      <c r="D543" s="301"/>
      <c r="E543" s="301"/>
      <c r="F543" s="301"/>
      <c r="G543" s="301"/>
      <c r="H543" s="301"/>
      <c r="I543" s="301"/>
      <c r="J543" s="301"/>
      <c r="K543" s="301"/>
      <c r="L543" s="302"/>
      <c r="M543" s="302"/>
      <c r="N543" s="302"/>
      <c r="O543" s="302"/>
      <c r="P543" s="302"/>
      <c r="Q543" s="302"/>
      <c r="R543" s="302"/>
      <c r="S543" s="302"/>
      <c r="T543" s="302"/>
      <c r="U543" s="302"/>
      <c r="V543" s="302"/>
      <c r="W543" s="302"/>
      <c r="X543" s="302"/>
      <c r="Y543" s="302"/>
      <c r="Z543" s="302"/>
      <c r="AA543" s="302"/>
      <c r="AB543" s="302"/>
      <c r="AC543" s="303"/>
    </row>
    <row r="544" ht="13.5" customHeight="1">
      <c r="A544" s="326"/>
      <c r="B544" s="15"/>
      <c r="C544" s="7"/>
      <c r="D544" s="9"/>
      <c r="E544" s="13"/>
      <c r="F544" s="13"/>
      <c r="G544" s="308"/>
      <c r="H544" s="308"/>
      <c r="I544" s="7"/>
      <c r="J544" s="9"/>
      <c r="K544" s="7"/>
      <c r="L544" s="305"/>
      <c r="M544" s="305"/>
      <c r="N544" s="305"/>
      <c r="O544" s="305"/>
      <c r="P544" s="305"/>
      <c r="Q544" s="305"/>
      <c r="R544" s="305"/>
      <c r="S544" s="305"/>
      <c r="T544" s="305"/>
      <c r="U544" s="305"/>
      <c r="V544" s="305"/>
      <c r="W544" s="305"/>
      <c r="X544" s="305"/>
      <c r="Y544" s="305"/>
      <c r="Z544" s="305"/>
      <c r="AA544" s="305"/>
      <c r="AB544" s="305"/>
      <c r="AC544" s="307"/>
    </row>
    <row r="545" ht="13.5" customHeight="1">
      <c r="A545" s="312"/>
      <c r="B545" s="301"/>
      <c r="C545" s="301"/>
      <c r="D545" s="301"/>
      <c r="E545" s="301"/>
      <c r="F545" s="301"/>
      <c r="G545" s="301"/>
      <c r="H545" s="301"/>
      <c r="I545" s="301"/>
      <c r="J545" s="301"/>
      <c r="K545" s="301"/>
      <c r="L545" s="302"/>
      <c r="M545" s="302"/>
      <c r="N545" s="302"/>
      <c r="O545" s="302"/>
      <c r="P545" s="302"/>
      <c r="Q545" s="302"/>
      <c r="R545" s="302"/>
      <c r="S545" s="302"/>
      <c r="T545" s="302"/>
      <c r="U545" s="302"/>
      <c r="V545" s="302"/>
      <c r="W545" s="302"/>
      <c r="X545" s="302"/>
      <c r="Y545" s="302"/>
      <c r="Z545" s="302"/>
      <c r="AA545" s="302"/>
      <c r="AB545" s="302"/>
      <c r="AC545" s="303"/>
    </row>
    <row r="546" ht="13.5" customHeight="1">
      <c r="A546" s="326"/>
      <c r="B546" s="15"/>
      <c r="C546" s="7"/>
      <c r="D546" s="9"/>
      <c r="E546" s="13"/>
      <c r="F546" s="13"/>
      <c r="G546" s="308"/>
      <c r="H546" s="308"/>
      <c r="I546" s="7"/>
      <c r="J546" s="9"/>
      <c r="K546" s="7"/>
      <c r="L546" s="305"/>
      <c r="M546" s="305"/>
      <c r="N546" s="305"/>
      <c r="O546" s="305"/>
      <c r="P546" s="305"/>
      <c r="Q546" s="305"/>
      <c r="R546" s="305"/>
      <c r="S546" s="305"/>
      <c r="T546" s="305"/>
      <c r="U546" s="305"/>
      <c r="V546" s="305"/>
      <c r="W546" s="305"/>
      <c r="X546" s="305"/>
      <c r="Y546" s="305"/>
      <c r="Z546" s="305"/>
      <c r="AA546" s="305"/>
      <c r="AB546" s="305"/>
      <c r="AC546" s="307"/>
    </row>
    <row r="547" ht="13.5" customHeight="1">
      <c r="A547" s="312"/>
      <c r="B547" s="301"/>
      <c r="C547" s="301"/>
      <c r="D547" s="301"/>
      <c r="E547" s="301"/>
      <c r="F547" s="301"/>
      <c r="G547" s="301"/>
      <c r="H547" s="301"/>
      <c r="I547" s="301"/>
      <c r="J547" s="301"/>
      <c r="K547" s="301"/>
      <c r="L547" s="302"/>
      <c r="M547" s="302"/>
      <c r="N547" s="302"/>
      <c r="O547" s="302"/>
      <c r="P547" s="302"/>
      <c r="Q547" s="302"/>
      <c r="R547" s="302"/>
      <c r="S547" s="302"/>
      <c r="T547" s="302"/>
      <c r="U547" s="302"/>
      <c r="V547" s="302"/>
      <c r="W547" s="302"/>
      <c r="X547" s="302"/>
      <c r="Y547" s="302"/>
      <c r="Z547" s="302"/>
      <c r="AA547" s="302"/>
      <c r="AB547" s="302"/>
      <c r="AC547" s="303"/>
    </row>
    <row r="548" ht="13.5" customHeight="1">
      <c r="A548" s="326"/>
      <c r="B548" s="15"/>
      <c r="C548" s="7"/>
      <c r="D548" s="9"/>
      <c r="E548" s="13"/>
      <c r="F548" s="13"/>
      <c r="G548" s="308"/>
      <c r="H548" s="308"/>
      <c r="I548" s="7"/>
      <c r="J548" s="9"/>
      <c r="K548" s="7"/>
      <c r="L548" s="305"/>
      <c r="M548" s="305"/>
      <c r="N548" s="305"/>
      <c r="O548" s="305"/>
      <c r="P548" s="305"/>
      <c r="Q548" s="305"/>
      <c r="R548" s="305"/>
      <c r="S548" s="305"/>
      <c r="T548" s="305"/>
      <c r="U548" s="305"/>
      <c r="V548" s="305"/>
      <c r="W548" s="305"/>
      <c r="X548" s="305"/>
      <c r="Y548" s="305"/>
      <c r="Z548" s="305"/>
      <c r="AA548" s="305"/>
      <c r="AB548" s="305"/>
      <c r="AC548" s="307"/>
    </row>
    <row r="549" ht="13.5" customHeight="1">
      <c r="A549" s="312"/>
      <c r="B549" s="301"/>
      <c r="C549" s="301"/>
      <c r="D549" s="301"/>
      <c r="E549" s="301"/>
      <c r="F549" s="301"/>
      <c r="G549" s="301"/>
      <c r="H549" s="301"/>
      <c r="I549" s="301"/>
      <c r="J549" s="301"/>
      <c r="K549" s="301"/>
      <c r="L549" s="302"/>
      <c r="M549" s="302"/>
      <c r="N549" s="302"/>
      <c r="O549" s="302"/>
      <c r="P549" s="302"/>
      <c r="Q549" s="302"/>
      <c r="R549" s="302"/>
      <c r="S549" s="302"/>
      <c r="T549" s="302"/>
      <c r="U549" s="302"/>
      <c r="V549" s="302"/>
      <c r="W549" s="302"/>
      <c r="X549" s="302"/>
      <c r="Y549" s="302"/>
      <c r="Z549" s="302"/>
      <c r="AA549" s="302"/>
      <c r="AB549" s="302"/>
      <c r="AC549" s="303"/>
    </row>
    <row r="550" ht="13.5" customHeight="1">
      <c r="A550" s="326"/>
      <c r="B550" s="15"/>
      <c r="C550" s="7"/>
      <c r="D550" s="9"/>
      <c r="E550" s="13"/>
      <c r="F550" s="13"/>
      <c r="G550" s="308"/>
      <c r="H550" s="308"/>
      <c r="I550" s="7"/>
      <c r="J550" s="9"/>
      <c r="K550" s="7"/>
      <c r="L550" s="305"/>
      <c r="M550" s="305"/>
      <c r="N550" s="305"/>
      <c r="O550" s="305"/>
      <c r="P550" s="305"/>
      <c r="Q550" s="305"/>
      <c r="R550" s="305"/>
      <c r="S550" s="305"/>
      <c r="T550" s="305"/>
      <c r="U550" s="305"/>
      <c r="V550" s="305"/>
      <c r="W550" s="305"/>
      <c r="X550" s="305"/>
      <c r="Y550" s="305"/>
      <c r="Z550" s="305"/>
      <c r="AA550" s="305"/>
      <c r="AB550" s="305"/>
      <c r="AC550" s="307"/>
    </row>
    <row r="551" ht="13.5" customHeight="1">
      <c r="A551" s="312"/>
      <c r="B551" s="301"/>
      <c r="C551" s="301"/>
      <c r="D551" s="301"/>
      <c r="E551" s="301"/>
      <c r="F551" s="301"/>
      <c r="G551" s="301"/>
      <c r="H551" s="301"/>
      <c r="I551" s="301"/>
      <c r="J551" s="301"/>
      <c r="K551" s="301"/>
      <c r="L551" s="302"/>
      <c r="M551" s="302"/>
      <c r="N551" s="302"/>
      <c r="O551" s="302"/>
      <c r="P551" s="302"/>
      <c r="Q551" s="302"/>
      <c r="R551" s="302"/>
      <c r="S551" s="302"/>
      <c r="T551" s="302"/>
      <c r="U551" s="302"/>
      <c r="V551" s="302"/>
      <c r="W551" s="302"/>
      <c r="X551" s="302"/>
      <c r="Y551" s="302"/>
      <c r="Z551" s="302"/>
      <c r="AA551" s="302"/>
      <c r="AB551" s="302"/>
      <c r="AC551" s="303"/>
    </row>
    <row r="552" ht="13.5" customHeight="1">
      <c r="A552" s="326"/>
      <c r="B552" s="15"/>
      <c r="C552" s="7"/>
      <c r="D552" s="9"/>
      <c r="E552" s="13"/>
      <c r="F552" s="13"/>
      <c r="G552" s="308"/>
      <c r="H552" s="308"/>
      <c r="I552" s="7"/>
      <c r="J552" s="9"/>
      <c r="K552" s="7"/>
      <c r="L552" s="305"/>
      <c r="M552" s="305"/>
      <c r="N552" s="305"/>
      <c r="O552" s="305"/>
      <c r="P552" s="305"/>
      <c r="Q552" s="305"/>
      <c r="R552" s="305"/>
      <c r="S552" s="305"/>
      <c r="T552" s="305"/>
      <c r="U552" s="305"/>
      <c r="V552" s="305"/>
      <c r="W552" s="305"/>
      <c r="X552" s="305"/>
      <c r="Y552" s="305"/>
      <c r="Z552" s="305"/>
      <c r="AA552" s="305"/>
      <c r="AB552" s="305"/>
      <c r="AC552" s="307"/>
    </row>
    <row r="553" ht="13.5" customHeight="1">
      <c r="A553" s="312"/>
      <c r="B553" s="301"/>
      <c r="C553" s="301"/>
      <c r="D553" s="301"/>
      <c r="E553" s="301"/>
      <c r="F553" s="301"/>
      <c r="G553" s="301"/>
      <c r="H553" s="301"/>
      <c r="I553" s="301"/>
      <c r="J553" s="301"/>
      <c r="K553" s="301"/>
      <c r="L553" s="302"/>
      <c r="M553" s="302"/>
      <c r="N553" s="302"/>
      <c r="O553" s="302"/>
      <c r="P553" s="302"/>
      <c r="Q553" s="302"/>
      <c r="R553" s="302"/>
      <c r="S553" s="302"/>
      <c r="T553" s="302"/>
      <c r="U553" s="302"/>
      <c r="V553" s="302"/>
      <c r="W553" s="302"/>
      <c r="X553" s="302"/>
      <c r="Y553" s="302"/>
      <c r="Z553" s="302"/>
      <c r="AA553" s="302"/>
      <c r="AB553" s="302"/>
      <c r="AC553" s="303"/>
    </row>
    <row r="554" ht="13.5" customHeight="1">
      <c r="A554" s="326"/>
      <c r="B554" s="15"/>
      <c r="C554" s="7"/>
      <c r="D554" s="9"/>
      <c r="E554" s="13"/>
      <c r="F554" s="13"/>
      <c r="G554" s="308"/>
      <c r="H554" s="308"/>
      <c r="I554" s="7"/>
      <c r="J554" s="9"/>
      <c r="K554" s="7"/>
      <c r="L554" s="305"/>
      <c r="M554" s="305"/>
      <c r="N554" s="305"/>
      <c r="O554" s="305"/>
      <c r="P554" s="305"/>
      <c r="Q554" s="305"/>
      <c r="R554" s="305"/>
      <c r="S554" s="305"/>
      <c r="T554" s="305"/>
      <c r="U554" s="305"/>
      <c r="V554" s="305"/>
      <c r="W554" s="305"/>
      <c r="X554" s="305"/>
      <c r="Y554" s="305"/>
      <c r="Z554" s="305"/>
      <c r="AA554" s="305"/>
      <c r="AB554" s="305"/>
      <c r="AC554" s="307"/>
    </row>
    <row r="555" ht="13.5" customHeight="1">
      <c r="A555" s="312"/>
      <c r="B555" s="301"/>
      <c r="C555" s="301"/>
      <c r="D555" s="301"/>
      <c r="E555" s="301"/>
      <c r="F555" s="301"/>
      <c r="G555" s="301"/>
      <c r="H555" s="301"/>
      <c r="I555" s="301"/>
      <c r="J555" s="301"/>
      <c r="K555" s="301"/>
      <c r="L555" s="302"/>
      <c r="M555" s="302"/>
      <c r="N555" s="302"/>
      <c r="O555" s="302"/>
      <c r="P555" s="302"/>
      <c r="Q555" s="302"/>
      <c r="R555" s="302"/>
      <c r="S555" s="302"/>
      <c r="T555" s="302"/>
      <c r="U555" s="302"/>
      <c r="V555" s="302"/>
      <c r="W555" s="302"/>
      <c r="X555" s="302"/>
      <c r="Y555" s="302"/>
      <c r="Z555" s="302"/>
      <c r="AA555" s="302"/>
      <c r="AB555" s="302"/>
      <c r="AC555" s="303"/>
    </row>
    <row r="556" ht="13.5" customHeight="1">
      <c r="A556" s="326"/>
      <c r="B556" s="15"/>
      <c r="C556" s="7"/>
      <c r="D556" s="9"/>
      <c r="E556" s="13"/>
      <c r="F556" s="13"/>
      <c r="G556" s="308"/>
      <c r="H556" s="308"/>
      <c r="I556" s="7"/>
      <c r="J556" s="9"/>
      <c r="K556" s="7"/>
      <c r="L556" s="305"/>
      <c r="M556" s="305"/>
      <c r="N556" s="305"/>
      <c r="O556" s="305"/>
      <c r="P556" s="305"/>
      <c r="Q556" s="305"/>
      <c r="R556" s="305"/>
      <c r="S556" s="305"/>
      <c r="T556" s="305"/>
      <c r="U556" s="305"/>
      <c r="V556" s="305"/>
      <c r="W556" s="305"/>
      <c r="X556" s="305"/>
      <c r="Y556" s="305"/>
      <c r="Z556" s="305"/>
      <c r="AA556" s="305"/>
      <c r="AB556" s="305"/>
      <c r="AC556" s="307"/>
    </row>
    <row r="557" ht="13.5" customHeight="1">
      <c r="A557" s="312"/>
      <c r="B557" s="301"/>
      <c r="C557" s="301"/>
      <c r="D557" s="301"/>
      <c r="E557" s="301"/>
      <c r="F557" s="301"/>
      <c r="G557" s="301"/>
      <c r="H557" s="301"/>
      <c r="I557" s="301"/>
      <c r="J557" s="301"/>
      <c r="K557" s="301"/>
      <c r="L557" s="302"/>
      <c r="M557" s="302"/>
      <c r="N557" s="302"/>
      <c r="O557" s="302"/>
      <c r="P557" s="302"/>
      <c r="Q557" s="302"/>
      <c r="R557" s="302"/>
      <c r="S557" s="302"/>
      <c r="T557" s="302"/>
      <c r="U557" s="302"/>
      <c r="V557" s="302"/>
      <c r="W557" s="302"/>
      <c r="X557" s="302"/>
      <c r="Y557" s="302"/>
      <c r="Z557" s="302"/>
      <c r="AA557" s="302"/>
      <c r="AB557" s="302"/>
      <c r="AC557" s="303"/>
    </row>
    <row r="558" ht="13.5" customHeight="1">
      <c r="A558" s="326"/>
      <c r="B558" s="15"/>
      <c r="C558" s="7"/>
      <c r="D558" s="9"/>
      <c r="E558" s="13"/>
      <c r="F558" s="13"/>
      <c r="G558" s="308"/>
      <c r="H558" s="308"/>
      <c r="I558" s="7"/>
      <c r="J558" s="9"/>
      <c r="K558" s="7"/>
      <c r="L558" s="305"/>
      <c r="M558" s="305"/>
      <c r="N558" s="305"/>
      <c r="O558" s="305"/>
      <c r="P558" s="305"/>
      <c r="Q558" s="305"/>
      <c r="R558" s="305"/>
      <c r="S558" s="305"/>
      <c r="T558" s="305"/>
      <c r="U558" s="305"/>
      <c r="V558" s="305"/>
      <c r="W558" s="305"/>
      <c r="X558" s="305"/>
      <c r="Y558" s="305"/>
      <c r="Z558" s="305"/>
      <c r="AA558" s="305"/>
      <c r="AB558" s="305"/>
      <c r="AC558" s="307"/>
    </row>
    <row r="559" ht="13.5" customHeight="1">
      <c r="A559" s="312"/>
      <c r="B559" s="301"/>
      <c r="C559" s="301"/>
      <c r="D559" s="301"/>
      <c r="E559" s="301"/>
      <c r="F559" s="301"/>
      <c r="G559" s="301"/>
      <c r="H559" s="301"/>
      <c r="I559" s="301"/>
      <c r="J559" s="301"/>
      <c r="K559" s="301"/>
      <c r="L559" s="302"/>
      <c r="M559" s="302"/>
      <c r="N559" s="302"/>
      <c r="O559" s="302"/>
      <c r="P559" s="302"/>
      <c r="Q559" s="302"/>
      <c r="R559" s="302"/>
      <c r="S559" s="302"/>
      <c r="T559" s="302"/>
      <c r="U559" s="302"/>
      <c r="V559" s="302"/>
      <c r="W559" s="302"/>
      <c r="X559" s="302"/>
      <c r="Y559" s="302"/>
      <c r="Z559" s="302"/>
      <c r="AA559" s="302"/>
      <c r="AB559" s="302"/>
      <c r="AC559" s="303"/>
    </row>
    <row r="560" ht="13.5" customHeight="1">
      <c r="A560" s="326"/>
      <c r="B560" s="15"/>
      <c r="C560" s="7"/>
      <c r="D560" s="9"/>
      <c r="E560" s="13"/>
      <c r="F560" s="13"/>
      <c r="G560" s="308"/>
      <c r="H560" s="308"/>
      <c r="I560" s="7"/>
      <c r="J560" s="9"/>
      <c r="K560" s="7"/>
      <c r="L560" s="305"/>
      <c r="M560" s="305"/>
      <c r="N560" s="305"/>
      <c r="O560" s="305"/>
      <c r="P560" s="305"/>
      <c r="Q560" s="305"/>
      <c r="R560" s="305"/>
      <c r="S560" s="305"/>
      <c r="T560" s="305"/>
      <c r="U560" s="305"/>
      <c r="V560" s="305"/>
      <c r="W560" s="305"/>
      <c r="X560" s="305"/>
      <c r="Y560" s="305"/>
      <c r="Z560" s="305"/>
      <c r="AA560" s="305"/>
      <c r="AB560" s="305"/>
      <c r="AC560" s="307"/>
    </row>
    <row r="561" ht="13.5" customHeight="1">
      <c r="A561" s="312"/>
      <c r="B561" s="301"/>
      <c r="C561" s="301"/>
      <c r="D561" s="301"/>
      <c r="E561" s="301"/>
      <c r="F561" s="301"/>
      <c r="G561" s="301"/>
      <c r="H561" s="301"/>
      <c r="I561" s="301"/>
      <c r="J561" s="301"/>
      <c r="K561" s="301"/>
      <c r="L561" s="302"/>
      <c r="M561" s="302"/>
      <c r="N561" s="302"/>
      <c r="O561" s="302"/>
      <c r="P561" s="302"/>
      <c r="Q561" s="302"/>
      <c r="R561" s="302"/>
      <c r="S561" s="302"/>
      <c r="T561" s="302"/>
      <c r="U561" s="302"/>
      <c r="V561" s="302"/>
      <c r="W561" s="302"/>
      <c r="X561" s="302"/>
      <c r="Y561" s="302"/>
      <c r="Z561" s="302"/>
      <c r="AA561" s="302"/>
      <c r="AB561" s="302"/>
      <c r="AC561" s="303"/>
    </row>
    <row r="562" ht="13.5" customHeight="1">
      <c r="A562" s="326"/>
      <c r="B562" s="15"/>
      <c r="C562" s="7"/>
      <c r="D562" s="9"/>
      <c r="E562" s="13"/>
      <c r="F562" s="13"/>
      <c r="G562" s="308"/>
      <c r="H562" s="308"/>
      <c r="I562" s="7"/>
      <c r="J562" s="9"/>
      <c r="K562" s="7"/>
      <c r="L562" s="305"/>
      <c r="M562" s="305"/>
      <c r="N562" s="305"/>
      <c r="O562" s="305"/>
      <c r="P562" s="305"/>
      <c r="Q562" s="305"/>
      <c r="R562" s="305"/>
      <c r="S562" s="305"/>
      <c r="T562" s="305"/>
      <c r="U562" s="305"/>
      <c r="V562" s="305"/>
      <c r="W562" s="305"/>
      <c r="X562" s="305"/>
      <c r="Y562" s="305"/>
      <c r="Z562" s="305"/>
      <c r="AA562" s="305"/>
      <c r="AB562" s="305"/>
      <c r="AC562" s="307"/>
    </row>
    <row r="563" ht="13.5" customHeight="1">
      <c r="A563" s="312"/>
      <c r="B563" s="301"/>
      <c r="C563" s="301"/>
      <c r="D563" s="301"/>
      <c r="E563" s="301"/>
      <c r="F563" s="301"/>
      <c r="G563" s="301"/>
      <c r="H563" s="301"/>
      <c r="I563" s="301"/>
      <c r="J563" s="301"/>
      <c r="K563" s="301"/>
      <c r="L563" s="302"/>
      <c r="M563" s="302"/>
      <c r="N563" s="302"/>
      <c r="O563" s="302"/>
      <c r="P563" s="302"/>
      <c r="Q563" s="302"/>
      <c r="R563" s="302"/>
      <c r="S563" s="302"/>
      <c r="T563" s="302"/>
      <c r="U563" s="302"/>
      <c r="V563" s="302"/>
      <c r="W563" s="302"/>
      <c r="X563" s="302"/>
      <c r="Y563" s="302"/>
      <c r="Z563" s="302"/>
      <c r="AA563" s="302"/>
      <c r="AB563" s="302"/>
      <c r="AC563" s="303"/>
    </row>
    <row r="564" ht="13.5" customHeight="1">
      <c r="A564" s="326"/>
      <c r="B564" s="15"/>
      <c r="C564" s="7"/>
      <c r="D564" s="9"/>
      <c r="E564" s="13"/>
      <c r="F564" s="13"/>
      <c r="G564" s="308"/>
      <c r="H564" s="308"/>
      <c r="I564" s="7"/>
      <c r="J564" s="9"/>
      <c r="K564" s="7"/>
      <c r="L564" s="305"/>
      <c r="M564" s="305"/>
      <c r="N564" s="305"/>
      <c r="O564" s="305"/>
      <c r="P564" s="305"/>
      <c r="Q564" s="305"/>
      <c r="R564" s="305"/>
      <c r="S564" s="305"/>
      <c r="T564" s="305"/>
      <c r="U564" s="305"/>
      <c r="V564" s="305"/>
      <c r="W564" s="305"/>
      <c r="X564" s="305"/>
      <c r="Y564" s="305"/>
      <c r="Z564" s="305"/>
      <c r="AA564" s="305"/>
      <c r="AB564" s="305"/>
      <c r="AC564" s="307"/>
    </row>
    <row r="565" ht="13.5" customHeight="1">
      <c r="A565" s="312"/>
      <c r="B565" s="301"/>
      <c r="C565" s="301"/>
      <c r="D565" s="301"/>
      <c r="E565" s="301"/>
      <c r="F565" s="301"/>
      <c r="G565" s="301"/>
      <c r="H565" s="301"/>
      <c r="I565" s="301"/>
      <c r="J565" s="301"/>
      <c r="K565" s="301"/>
      <c r="L565" s="302"/>
      <c r="M565" s="302"/>
      <c r="N565" s="302"/>
      <c r="O565" s="302"/>
      <c r="P565" s="302"/>
      <c r="Q565" s="302"/>
      <c r="R565" s="302"/>
      <c r="S565" s="302"/>
      <c r="T565" s="302"/>
      <c r="U565" s="302"/>
      <c r="V565" s="302"/>
      <c r="W565" s="302"/>
      <c r="X565" s="302"/>
      <c r="Y565" s="302"/>
      <c r="Z565" s="302"/>
      <c r="AA565" s="302"/>
      <c r="AB565" s="302"/>
      <c r="AC565" s="303"/>
    </row>
    <row r="566" ht="13.5" customHeight="1">
      <c r="A566" s="326"/>
      <c r="B566" s="15"/>
      <c r="C566" s="7"/>
      <c r="D566" s="9"/>
      <c r="E566" s="13"/>
      <c r="F566" s="13"/>
      <c r="G566" s="308"/>
      <c r="H566" s="308"/>
      <c r="I566" s="7"/>
      <c r="J566" s="9"/>
      <c r="K566" s="7"/>
      <c r="L566" s="305"/>
      <c r="M566" s="305"/>
      <c r="N566" s="305"/>
      <c r="O566" s="305"/>
      <c r="P566" s="305"/>
      <c r="Q566" s="305"/>
      <c r="R566" s="305"/>
      <c r="S566" s="305"/>
      <c r="T566" s="305"/>
      <c r="U566" s="305"/>
      <c r="V566" s="305"/>
      <c r="W566" s="305"/>
      <c r="X566" s="305"/>
      <c r="Y566" s="305"/>
      <c r="Z566" s="305"/>
      <c r="AA566" s="305"/>
      <c r="AB566" s="305"/>
      <c r="AC566" s="307"/>
    </row>
    <row r="567" ht="13.5" customHeight="1">
      <c r="A567" s="312"/>
      <c r="B567" s="301"/>
      <c r="C567" s="301"/>
      <c r="D567" s="301"/>
      <c r="E567" s="301"/>
      <c r="F567" s="301"/>
      <c r="G567" s="301"/>
      <c r="H567" s="301"/>
      <c r="I567" s="301"/>
      <c r="J567" s="301"/>
      <c r="K567" s="301"/>
      <c r="L567" s="302"/>
      <c r="M567" s="302"/>
      <c r="N567" s="302"/>
      <c r="O567" s="302"/>
      <c r="P567" s="302"/>
      <c r="Q567" s="302"/>
      <c r="R567" s="302"/>
      <c r="S567" s="302"/>
      <c r="T567" s="302"/>
      <c r="U567" s="302"/>
      <c r="V567" s="302"/>
      <c r="W567" s="302"/>
      <c r="X567" s="302"/>
      <c r="Y567" s="302"/>
      <c r="Z567" s="302"/>
      <c r="AA567" s="302"/>
      <c r="AB567" s="302"/>
      <c r="AC567" s="303"/>
    </row>
    <row r="568" ht="13.5" customHeight="1">
      <c r="A568" s="326"/>
      <c r="B568" s="15"/>
      <c r="C568" s="7"/>
      <c r="D568" s="9"/>
      <c r="E568" s="13"/>
      <c r="F568" s="13"/>
      <c r="G568" s="308"/>
      <c r="H568" s="308"/>
      <c r="I568" s="7"/>
      <c r="J568" s="9"/>
      <c r="K568" s="7"/>
      <c r="L568" s="305"/>
      <c r="M568" s="305"/>
      <c r="N568" s="305"/>
      <c r="O568" s="305"/>
      <c r="P568" s="305"/>
      <c r="Q568" s="305"/>
      <c r="R568" s="305"/>
      <c r="S568" s="305"/>
      <c r="T568" s="305"/>
      <c r="U568" s="305"/>
      <c r="V568" s="305"/>
      <c r="W568" s="305"/>
      <c r="X568" s="305"/>
      <c r="Y568" s="305"/>
      <c r="Z568" s="305"/>
      <c r="AA568" s="305"/>
      <c r="AB568" s="305"/>
      <c r="AC568" s="307"/>
    </row>
    <row r="569" ht="13.5" customHeight="1">
      <c r="A569" s="312"/>
      <c r="B569" s="301"/>
      <c r="C569" s="301"/>
      <c r="D569" s="301"/>
      <c r="E569" s="301"/>
      <c r="F569" s="301"/>
      <c r="G569" s="301"/>
      <c r="H569" s="301"/>
      <c r="I569" s="301"/>
      <c r="J569" s="301"/>
      <c r="K569" s="301"/>
      <c r="L569" s="302"/>
      <c r="M569" s="302"/>
      <c r="N569" s="302"/>
      <c r="O569" s="302"/>
      <c r="P569" s="302"/>
      <c r="Q569" s="302"/>
      <c r="R569" s="302"/>
      <c r="S569" s="302"/>
      <c r="T569" s="302"/>
      <c r="U569" s="302"/>
      <c r="V569" s="302"/>
      <c r="W569" s="302"/>
      <c r="X569" s="302"/>
      <c r="Y569" s="302"/>
      <c r="Z569" s="302"/>
      <c r="AA569" s="302"/>
      <c r="AB569" s="302"/>
      <c r="AC569" s="303"/>
    </row>
    <row r="570" ht="13.5" customHeight="1">
      <c r="A570" s="326"/>
      <c r="B570" s="15"/>
      <c r="C570" s="7"/>
      <c r="D570" s="9"/>
      <c r="E570" s="13"/>
      <c r="F570" s="13"/>
      <c r="G570" s="308"/>
      <c r="H570" s="308"/>
      <c r="I570" s="7"/>
      <c r="J570" s="9"/>
      <c r="K570" s="7"/>
      <c r="L570" s="305"/>
      <c r="M570" s="305"/>
      <c r="N570" s="305"/>
      <c r="O570" s="305"/>
      <c r="P570" s="305"/>
      <c r="Q570" s="305"/>
      <c r="R570" s="305"/>
      <c r="S570" s="305"/>
      <c r="T570" s="305"/>
      <c r="U570" s="305"/>
      <c r="V570" s="305"/>
      <c r="W570" s="305"/>
      <c r="X570" s="305"/>
      <c r="Y570" s="305"/>
      <c r="Z570" s="305"/>
      <c r="AA570" s="305"/>
      <c r="AB570" s="305"/>
      <c r="AC570" s="307"/>
    </row>
    <row r="571" ht="13.5" customHeight="1">
      <c r="A571" s="312"/>
      <c r="B571" s="301"/>
      <c r="C571" s="301"/>
      <c r="D571" s="301"/>
      <c r="E571" s="301"/>
      <c r="F571" s="301"/>
      <c r="G571" s="301"/>
      <c r="H571" s="301"/>
      <c r="I571" s="301"/>
      <c r="J571" s="301"/>
      <c r="K571" s="301"/>
      <c r="L571" s="302"/>
      <c r="M571" s="302"/>
      <c r="N571" s="302"/>
      <c r="O571" s="302"/>
      <c r="P571" s="302"/>
      <c r="Q571" s="302"/>
      <c r="R571" s="302"/>
      <c r="S571" s="302"/>
      <c r="T571" s="302"/>
      <c r="U571" s="302"/>
      <c r="V571" s="302"/>
      <c r="W571" s="302"/>
      <c r="X571" s="302"/>
      <c r="Y571" s="302"/>
      <c r="Z571" s="302"/>
      <c r="AA571" s="302"/>
      <c r="AB571" s="302"/>
      <c r="AC571" s="303"/>
    </row>
    <row r="572" ht="13.5" customHeight="1">
      <c r="A572" s="326"/>
      <c r="B572" s="15"/>
      <c r="C572" s="7"/>
      <c r="D572" s="9"/>
      <c r="E572" s="13"/>
      <c r="F572" s="13"/>
      <c r="G572" s="308"/>
      <c r="H572" s="308"/>
      <c r="I572" s="7"/>
      <c r="J572" s="9"/>
      <c r="K572" s="7"/>
      <c r="L572" s="305"/>
      <c r="M572" s="305"/>
      <c r="N572" s="305"/>
      <c r="O572" s="305"/>
      <c r="P572" s="305"/>
      <c r="Q572" s="305"/>
      <c r="R572" s="305"/>
      <c r="S572" s="305"/>
      <c r="T572" s="305"/>
      <c r="U572" s="305"/>
      <c r="V572" s="305"/>
      <c r="W572" s="305"/>
      <c r="X572" s="305"/>
      <c r="Y572" s="305"/>
      <c r="Z572" s="305"/>
      <c r="AA572" s="305"/>
      <c r="AB572" s="305"/>
      <c r="AC572" s="307"/>
    </row>
    <row r="573" ht="13.5" customHeight="1">
      <c r="A573" s="312"/>
      <c r="B573" s="301"/>
      <c r="C573" s="301"/>
      <c r="D573" s="301"/>
      <c r="E573" s="301"/>
      <c r="F573" s="301"/>
      <c r="G573" s="301"/>
      <c r="H573" s="301"/>
      <c r="I573" s="301"/>
      <c r="J573" s="301"/>
      <c r="K573" s="301"/>
      <c r="L573" s="302"/>
      <c r="M573" s="302"/>
      <c r="N573" s="302"/>
      <c r="O573" s="302"/>
      <c r="P573" s="302"/>
      <c r="Q573" s="302"/>
      <c r="R573" s="302"/>
      <c r="S573" s="302"/>
      <c r="T573" s="302"/>
      <c r="U573" s="302"/>
      <c r="V573" s="302"/>
      <c r="W573" s="302"/>
      <c r="X573" s="302"/>
      <c r="Y573" s="302"/>
      <c r="Z573" s="302"/>
      <c r="AA573" s="302"/>
      <c r="AB573" s="302"/>
      <c r="AC573" s="303"/>
    </row>
    <row r="574" ht="13.5" customHeight="1">
      <c r="A574" s="326"/>
      <c r="B574" s="15"/>
      <c r="C574" s="7"/>
      <c r="D574" s="9"/>
      <c r="E574" s="13"/>
      <c r="F574" s="13"/>
      <c r="G574" s="308"/>
      <c r="H574" s="308"/>
      <c r="I574" s="7"/>
      <c r="J574" s="9"/>
      <c r="K574" s="7"/>
      <c r="L574" s="305"/>
      <c r="M574" s="305"/>
      <c r="N574" s="305"/>
      <c r="O574" s="305"/>
      <c r="P574" s="305"/>
      <c r="Q574" s="305"/>
      <c r="R574" s="305"/>
      <c r="S574" s="305"/>
      <c r="T574" s="305"/>
      <c r="U574" s="305"/>
      <c r="V574" s="305"/>
      <c r="W574" s="305"/>
      <c r="X574" s="305"/>
      <c r="Y574" s="305"/>
      <c r="Z574" s="305"/>
      <c r="AA574" s="305"/>
      <c r="AB574" s="305"/>
      <c r="AC574" s="307"/>
    </row>
    <row r="575" ht="13.5" customHeight="1">
      <c r="A575" s="312"/>
      <c r="B575" s="301"/>
      <c r="C575" s="301"/>
      <c r="D575" s="301"/>
      <c r="E575" s="301"/>
      <c r="F575" s="301"/>
      <c r="G575" s="301"/>
      <c r="H575" s="301"/>
      <c r="I575" s="301"/>
      <c r="J575" s="301"/>
      <c r="K575" s="301"/>
      <c r="L575" s="302"/>
      <c r="M575" s="302"/>
      <c r="N575" s="302"/>
      <c r="O575" s="302"/>
      <c r="P575" s="302"/>
      <c r="Q575" s="302"/>
      <c r="R575" s="302"/>
      <c r="S575" s="302"/>
      <c r="T575" s="302"/>
      <c r="U575" s="302"/>
      <c r="V575" s="302"/>
      <c r="W575" s="302"/>
      <c r="X575" s="302"/>
      <c r="Y575" s="302"/>
      <c r="Z575" s="302"/>
      <c r="AA575" s="302"/>
      <c r="AB575" s="302"/>
      <c r="AC575" s="303"/>
    </row>
    <row r="576" ht="13.5" customHeight="1">
      <c r="A576" s="326"/>
      <c r="B576" s="15"/>
      <c r="C576" s="7"/>
      <c r="D576" s="9"/>
      <c r="E576" s="13"/>
      <c r="F576" s="13"/>
      <c r="G576" s="308"/>
      <c r="H576" s="308"/>
      <c r="I576" s="7"/>
      <c r="J576" s="9"/>
      <c r="K576" s="7"/>
      <c r="L576" s="305"/>
      <c r="M576" s="305"/>
      <c r="N576" s="305"/>
      <c r="O576" s="305"/>
      <c r="P576" s="305"/>
      <c r="Q576" s="305"/>
      <c r="R576" s="305"/>
      <c r="S576" s="305"/>
      <c r="T576" s="305"/>
      <c r="U576" s="305"/>
      <c r="V576" s="305"/>
      <c r="W576" s="305"/>
      <c r="X576" s="305"/>
      <c r="Y576" s="305"/>
      <c r="Z576" s="305"/>
      <c r="AA576" s="305"/>
      <c r="AB576" s="305"/>
      <c r="AC576" s="307"/>
    </row>
    <row r="577" ht="13.5" customHeight="1">
      <c r="A577" s="312"/>
      <c r="B577" s="301"/>
      <c r="C577" s="301"/>
      <c r="D577" s="301"/>
      <c r="E577" s="301"/>
      <c r="F577" s="301"/>
      <c r="G577" s="301"/>
      <c r="H577" s="301"/>
      <c r="I577" s="301"/>
      <c r="J577" s="301"/>
      <c r="K577" s="301"/>
      <c r="L577" s="302"/>
      <c r="M577" s="302"/>
      <c r="N577" s="302"/>
      <c r="O577" s="302"/>
      <c r="P577" s="302"/>
      <c r="Q577" s="302"/>
      <c r="R577" s="302"/>
      <c r="S577" s="302"/>
      <c r="T577" s="302"/>
      <c r="U577" s="302"/>
      <c r="V577" s="302"/>
      <c r="W577" s="302"/>
      <c r="X577" s="302"/>
      <c r="Y577" s="302"/>
      <c r="Z577" s="302"/>
      <c r="AA577" s="302"/>
      <c r="AB577" s="302"/>
      <c r="AC577" s="303"/>
    </row>
    <row r="578" ht="13.5" customHeight="1">
      <c r="A578" s="326"/>
      <c r="B578" s="15"/>
      <c r="C578" s="7"/>
      <c r="D578" s="9"/>
      <c r="E578" s="13"/>
      <c r="F578" s="13"/>
      <c r="G578" s="308"/>
      <c r="H578" s="308"/>
      <c r="I578" s="7"/>
      <c r="J578" s="9"/>
      <c r="K578" s="7"/>
      <c r="L578" s="305"/>
      <c r="M578" s="305"/>
      <c r="N578" s="305"/>
      <c r="O578" s="305"/>
      <c r="P578" s="305"/>
      <c r="Q578" s="305"/>
      <c r="R578" s="305"/>
      <c r="S578" s="305"/>
      <c r="T578" s="305"/>
      <c r="U578" s="305"/>
      <c r="V578" s="305"/>
      <c r="W578" s="305"/>
      <c r="X578" s="305"/>
      <c r="Y578" s="305"/>
      <c r="Z578" s="305"/>
      <c r="AA578" s="305"/>
      <c r="AB578" s="305"/>
      <c r="AC578" s="307"/>
    </row>
    <row r="579" ht="13.5" customHeight="1">
      <c r="A579" s="312"/>
      <c r="B579" s="301"/>
      <c r="C579" s="301"/>
      <c r="D579" s="301"/>
      <c r="E579" s="301"/>
      <c r="F579" s="301"/>
      <c r="G579" s="301"/>
      <c r="H579" s="301"/>
      <c r="I579" s="301"/>
      <c r="J579" s="301"/>
      <c r="K579" s="301"/>
      <c r="L579" s="302"/>
      <c r="M579" s="302"/>
      <c r="N579" s="302"/>
      <c r="O579" s="302"/>
      <c r="P579" s="302"/>
      <c r="Q579" s="302"/>
      <c r="R579" s="302"/>
      <c r="S579" s="302"/>
      <c r="T579" s="302"/>
      <c r="U579" s="302"/>
      <c r="V579" s="302"/>
      <c r="W579" s="302"/>
      <c r="X579" s="302"/>
      <c r="Y579" s="302"/>
      <c r="Z579" s="302"/>
      <c r="AA579" s="302"/>
      <c r="AB579" s="302"/>
      <c r="AC579" s="303"/>
    </row>
    <row r="580" ht="13.5" customHeight="1">
      <c r="A580" s="326"/>
      <c r="B580" s="15"/>
      <c r="C580" s="7"/>
      <c r="D580" s="9"/>
      <c r="E580" s="13"/>
      <c r="F580" s="13"/>
      <c r="G580" s="308"/>
      <c r="H580" s="308"/>
      <c r="I580" s="7"/>
      <c r="J580" s="9"/>
      <c r="K580" s="7"/>
      <c r="L580" s="305"/>
      <c r="M580" s="305"/>
      <c r="N580" s="305"/>
      <c r="O580" s="305"/>
      <c r="P580" s="305"/>
      <c r="Q580" s="305"/>
      <c r="R580" s="305"/>
      <c r="S580" s="305"/>
      <c r="T580" s="305"/>
      <c r="U580" s="305"/>
      <c r="V580" s="305"/>
      <c r="W580" s="305"/>
      <c r="X580" s="305"/>
      <c r="Y580" s="305"/>
      <c r="Z580" s="305"/>
      <c r="AA580" s="305"/>
      <c r="AB580" s="305"/>
      <c r="AC580" s="307"/>
    </row>
    <row r="581" ht="13.5" customHeight="1">
      <c r="A581" s="312"/>
      <c r="B581" s="301"/>
      <c r="C581" s="301"/>
      <c r="D581" s="301"/>
      <c r="E581" s="301"/>
      <c r="F581" s="301"/>
      <c r="G581" s="301"/>
      <c r="H581" s="301"/>
      <c r="I581" s="301"/>
      <c r="J581" s="301"/>
      <c r="K581" s="301"/>
      <c r="L581" s="302"/>
      <c r="M581" s="302"/>
      <c r="N581" s="302"/>
      <c r="O581" s="302"/>
      <c r="P581" s="302"/>
      <c r="Q581" s="302"/>
      <c r="R581" s="302"/>
      <c r="S581" s="302"/>
      <c r="T581" s="302"/>
      <c r="U581" s="302"/>
      <c r="V581" s="302"/>
      <c r="W581" s="302"/>
      <c r="X581" s="302"/>
      <c r="Y581" s="302"/>
      <c r="Z581" s="302"/>
      <c r="AA581" s="302"/>
      <c r="AB581" s="302"/>
      <c r="AC581" s="303"/>
    </row>
    <row r="582" ht="13.5" customHeight="1">
      <c r="A582" s="326"/>
      <c r="B582" s="15"/>
      <c r="C582" s="7"/>
      <c r="D582" s="9"/>
      <c r="E582" s="13"/>
      <c r="F582" s="13"/>
      <c r="G582" s="308"/>
      <c r="H582" s="308"/>
      <c r="I582" s="7"/>
      <c r="J582" s="9"/>
      <c r="K582" s="7"/>
      <c r="L582" s="305"/>
      <c r="M582" s="305"/>
      <c r="N582" s="305"/>
      <c r="O582" s="305"/>
      <c r="P582" s="305"/>
      <c r="Q582" s="305"/>
      <c r="R582" s="305"/>
      <c r="S582" s="305"/>
      <c r="T582" s="305"/>
      <c r="U582" s="305"/>
      <c r="V582" s="305"/>
      <c r="W582" s="305"/>
      <c r="X582" s="305"/>
      <c r="Y582" s="305"/>
      <c r="Z582" s="305"/>
      <c r="AA582" s="305"/>
      <c r="AB582" s="305"/>
      <c r="AC582" s="307"/>
    </row>
    <row r="583" ht="13.5" customHeight="1">
      <c r="A583" s="312"/>
      <c r="B583" s="301"/>
      <c r="C583" s="301"/>
      <c r="D583" s="301"/>
      <c r="E583" s="301"/>
      <c r="F583" s="301"/>
      <c r="G583" s="301"/>
      <c r="H583" s="301"/>
      <c r="I583" s="301"/>
      <c r="J583" s="301"/>
      <c r="K583" s="301"/>
      <c r="L583" s="302"/>
      <c r="M583" s="302"/>
      <c r="N583" s="302"/>
      <c r="O583" s="302"/>
      <c r="P583" s="302"/>
      <c r="Q583" s="302"/>
      <c r="R583" s="302"/>
      <c r="S583" s="302"/>
      <c r="T583" s="302"/>
      <c r="U583" s="302"/>
      <c r="V583" s="302"/>
      <c r="W583" s="302"/>
      <c r="X583" s="302"/>
      <c r="Y583" s="302"/>
      <c r="Z583" s="302"/>
      <c r="AA583" s="302"/>
      <c r="AB583" s="302"/>
      <c r="AC583" s="303"/>
    </row>
    <row r="584" ht="13.5" customHeight="1">
      <c r="A584" s="326"/>
      <c r="B584" s="15"/>
      <c r="C584" s="7"/>
      <c r="D584" s="9"/>
      <c r="E584" s="13"/>
      <c r="F584" s="13"/>
      <c r="G584" s="308"/>
      <c r="H584" s="308"/>
      <c r="I584" s="7"/>
      <c r="J584" s="9"/>
      <c r="K584" s="7"/>
      <c r="L584" s="305"/>
      <c r="M584" s="305"/>
      <c r="N584" s="305"/>
      <c r="O584" s="305"/>
      <c r="P584" s="305"/>
      <c r="Q584" s="305"/>
      <c r="R584" s="305"/>
      <c r="S584" s="305"/>
      <c r="T584" s="305"/>
      <c r="U584" s="305"/>
      <c r="V584" s="305"/>
      <c r="W584" s="305"/>
      <c r="X584" s="305"/>
      <c r="Y584" s="305"/>
      <c r="Z584" s="305"/>
      <c r="AA584" s="305"/>
      <c r="AB584" s="305"/>
      <c r="AC584" s="307"/>
    </row>
    <row r="585" ht="13.5" customHeight="1">
      <c r="A585" s="312"/>
      <c r="B585" s="301"/>
      <c r="C585" s="301"/>
      <c r="D585" s="301"/>
      <c r="E585" s="301"/>
      <c r="F585" s="301"/>
      <c r="G585" s="301"/>
      <c r="H585" s="301"/>
      <c r="I585" s="301"/>
      <c r="J585" s="301"/>
      <c r="K585" s="301"/>
      <c r="L585" s="302"/>
      <c r="M585" s="302"/>
      <c r="N585" s="302"/>
      <c r="O585" s="302"/>
      <c r="P585" s="302"/>
      <c r="Q585" s="302"/>
      <c r="R585" s="302"/>
      <c r="S585" s="302"/>
      <c r="T585" s="302"/>
      <c r="U585" s="302"/>
      <c r="V585" s="302"/>
      <c r="W585" s="302"/>
      <c r="X585" s="302"/>
      <c r="Y585" s="302"/>
      <c r="Z585" s="302"/>
      <c r="AA585" s="302"/>
      <c r="AB585" s="302"/>
      <c r="AC585" s="303"/>
    </row>
    <row r="586" ht="13.5" customHeight="1">
      <c r="A586" s="326"/>
      <c r="B586" s="15"/>
      <c r="C586" s="7"/>
      <c r="D586" s="9"/>
      <c r="E586" s="13"/>
      <c r="F586" s="13"/>
      <c r="G586" s="308"/>
      <c r="H586" s="308"/>
      <c r="I586" s="7"/>
      <c r="J586" s="9"/>
      <c r="K586" s="7"/>
      <c r="L586" s="305"/>
      <c r="M586" s="305"/>
      <c r="N586" s="305"/>
      <c r="O586" s="305"/>
      <c r="P586" s="305"/>
      <c r="Q586" s="305"/>
      <c r="R586" s="305"/>
      <c r="S586" s="305"/>
      <c r="T586" s="305"/>
      <c r="U586" s="305"/>
      <c r="V586" s="305"/>
      <c r="W586" s="305"/>
      <c r="X586" s="305"/>
      <c r="Y586" s="305"/>
      <c r="Z586" s="305"/>
      <c r="AA586" s="305"/>
      <c r="AB586" s="305"/>
      <c r="AC586" s="307"/>
    </row>
    <row r="587" ht="13.5" customHeight="1">
      <c r="A587" s="312"/>
      <c r="B587" s="301"/>
      <c r="C587" s="301"/>
      <c r="D587" s="301"/>
      <c r="E587" s="301"/>
      <c r="F587" s="301"/>
      <c r="G587" s="301"/>
      <c r="H587" s="301"/>
      <c r="I587" s="301"/>
      <c r="J587" s="301"/>
      <c r="K587" s="301"/>
      <c r="L587" s="302"/>
      <c r="M587" s="302"/>
      <c r="N587" s="302"/>
      <c r="O587" s="302"/>
      <c r="P587" s="302"/>
      <c r="Q587" s="302"/>
      <c r="R587" s="302"/>
      <c r="S587" s="302"/>
      <c r="T587" s="302"/>
      <c r="U587" s="302"/>
      <c r="V587" s="302"/>
      <c r="W587" s="302"/>
      <c r="X587" s="302"/>
      <c r="Y587" s="302"/>
      <c r="Z587" s="302"/>
      <c r="AA587" s="302"/>
      <c r="AB587" s="302"/>
      <c r="AC587" s="303"/>
    </row>
    <row r="588" ht="13.5" customHeight="1">
      <c r="A588" s="326"/>
      <c r="B588" s="15"/>
      <c r="C588" s="7"/>
      <c r="D588" s="9"/>
      <c r="E588" s="13"/>
      <c r="F588" s="13"/>
      <c r="G588" s="308"/>
      <c r="H588" s="308"/>
      <c r="I588" s="7"/>
      <c r="J588" s="9"/>
      <c r="K588" s="7"/>
      <c r="L588" s="305"/>
      <c r="M588" s="305"/>
      <c r="N588" s="305"/>
      <c r="O588" s="305"/>
      <c r="P588" s="305"/>
      <c r="Q588" s="305"/>
      <c r="R588" s="305"/>
      <c r="S588" s="305"/>
      <c r="T588" s="305"/>
      <c r="U588" s="305"/>
      <c r="V588" s="305"/>
      <c r="W588" s="305"/>
      <c r="X588" s="305"/>
      <c r="Y588" s="305"/>
      <c r="Z588" s="305"/>
      <c r="AA588" s="305"/>
      <c r="AB588" s="305"/>
      <c r="AC588" s="307"/>
    </row>
    <row r="589" ht="13.5" customHeight="1">
      <c r="A589" s="312"/>
      <c r="B589" s="301"/>
      <c r="C589" s="301"/>
      <c r="D589" s="301"/>
      <c r="E589" s="301"/>
      <c r="F589" s="301"/>
      <c r="G589" s="301"/>
      <c r="H589" s="301"/>
      <c r="I589" s="301"/>
      <c r="J589" s="301"/>
      <c r="K589" s="301"/>
      <c r="L589" s="302"/>
      <c r="M589" s="302"/>
      <c r="N589" s="302"/>
      <c r="O589" s="302"/>
      <c r="P589" s="302"/>
      <c r="Q589" s="302"/>
      <c r="R589" s="302"/>
      <c r="S589" s="302"/>
      <c r="T589" s="302"/>
      <c r="U589" s="302"/>
      <c r="V589" s="302"/>
      <c r="W589" s="302"/>
      <c r="X589" s="302"/>
      <c r="Y589" s="302"/>
      <c r="Z589" s="302"/>
      <c r="AA589" s="302"/>
      <c r="AB589" s="302"/>
      <c r="AC589" s="303"/>
    </row>
    <row r="590" ht="13.5" customHeight="1">
      <c r="A590" s="326"/>
      <c r="B590" s="15"/>
      <c r="C590" s="7"/>
      <c r="D590" s="9"/>
      <c r="E590" s="13"/>
      <c r="F590" s="13"/>
      <c r="G590" s="308"/>
      <c r="H590" s="308"/>
      <c r="I590" s="7"/>
      <c r="J590" s="9"/>
      <c r="K590" s="7"/>
      <c r="L590" s="305"/>
      <c r="M590" s="305"/>
      <c r="N590" s="305"/>
      <c r="O590" s="305"/>
      <c r="P590" s="305"/>
      <c r="Q590" s="305"/>
      <c r="R590" s="305"/>
      <c r="S590" s="305"/>
      <c r="T590" s="305"/>
      <c r="U590" s="305"/>
      <c r="V590" s="305"/>
      <c r="W590" s="305"/>
      <c r="X590" s="305"/>
      <c r="Y590" s="305"/>
      <c r="Z590" s="305"/>
      <c r="AA590" s="305"/>
      <c r="AB590" s="305"/>
      <c r="AC590" s="307"/>
    </row>
    <row r="591" ht="13.5" customHeight="1">
      <c r="A591" s="312"/>
      <c r="B591" s="301"/>
      <c r="C591" s="301"/>
      <c r="D591" s="301"/>
      <c r="E591" s="301"/>
      <c r="F591" s="301"/>
      <c r="G591" s="301"/>
      <c r="H591" s="301"/>
      <c r="I591" s="301"/>
      <c r="J591" s="301"/>
      <c r="K591" s="301"/>
      <c r="L591" s="302"/>
      <c r="M591" s="302"/>
      <c r="N591" s="302"/>
      <c r="O591" s="302"/>
      <c r="P591" s="302"/>
      <c r="Q591" s="302"/>
      <c r="R591" s="302"/>
      <c r="S591" s="302"/>
      <c r="T591" s="302"/>
      <c r="U591" s="302"/>
      <c r="V591" s="302"/>
      <c r="W591" s="302"/>
      <c r="X591" s="302"/>
      <c r="Y591" s="302"/>
      <c r="Z591" s="302"/>
      <c r="AA591" s="302"/>
      <c r="AB591" s="302"/>
      <c r="AC591" s="303"/>
    </row>
    <row r="592" ht="13.5" customHeight="1">
      <c r="A592" s="326"/>
      <c r="B592" s="15"/>
      <c r="C592" s="7"/>
      <c r="D592" s="9"/>
      <c r="E592" s="13"/>
      <c r="F592" s="13"/>
      <c r="G592" s="308"/>
      <c r="H592" s="308"/>
      <c r="I592" s="7"/>
      <c r="J592" s="9"/>
      <c r="K592" s="7"/>
      <c r="L592" s="305"/>
      <c r="M592" s="305"/>
      <c r="N592" s="305"/>
      <c r="O592" s="305"/>
      <c r="P592" s="305"/>
      <c r="Q592" s="305"/>
      <c r="R592" s="305"/>
      <c r="S592" s="305"/>
      <c r="T592" s="305"/>
      <c r="U592" s="305"/>
      <c r="V592" s="305"/>
      <c r="W592" s="305"/>
      <c r="X592" s="305"/>
      <c r="Y592" s="305"/>
      <c r="Z592" s="305"/>
      <c r="AA592" s="305"/>
      <c r="AB592" s="305"/>
      <c r="AC592" s="307"/>
    </row>
    <row r="593" ht="13.5" customHeight="1">
      <c r="A593" s="312"/>
      <c r="B593" s="301"/>
      <c r="C593" s="301"/>
      <c r="D593" s="301"/>
      <c r="E593" s="301"/>
      <c r="F593" s="301"/>
      <c r="G593" s="301"/>
      <c r="H593" s="301"/>
      <c r="I593" s="301"/>
      <c r="J593" s="301"/>
      <c r="K593" s="301"/>
      <c r="L593" s="302"/>
      <c r="M593" s="302"/>
      <c r="N593" s="302"/>
      <c r="O593" s="302"/>
      <c r="P593" s="302"/>
      <c r="Q593" s="302"/>
      <c r="R593" s="302"/>
      <c r="S593" s="302"/>
      <c r="T593" s="302"/>
      <c r="U593" s="302"/>
      <c r="V593" s="302"/>
      <c r="W593" s="302"/>
      <c r="X593" s="302"/>
      <c r="Y593" s="302"/>
      <c r="Z593" s="302"/>
      <c r="AA593" s="302"/>
      <c r="AB593" s="302"/>
      <c r="AC593" s="303"/>
    </row>
    <row r="594" ht="13.5" customHeight="1">
      <c r="A594" s="326"/>
      <c r="B594" s="15"/>
      <c r="C594" s="7"/>
      <c r="D594" s="9"/>
      <c r="E594" s="13"/>
      <c r="F594" s="13"/>
      <c r="G594" s="308"/>
      <c r="H594" s="308"/>
      <c r="I594" s="7"/>
      <c r="J594" s="9"/>
      <c r="K594" s="7"/>
      <c r="L594" s="305"/>
      <c r="M594" s="305"/>
      <c r="N594" s="305"/>
      <c r="O594" s="305"/>
      <c r="P594" s="305"/>
      <c r="Q594" s="305"/>
      <c r="R594" s="305"/>
      <c r="S594" s="305"/>
      <c r="T594" s="305"/>
      <c r="U594" s="305"/>
      <c r="V594" s="305"/>
      <c r="W594" s="305"/>
      <c r="X594" s="305"/>
      <c r="Y594" s="305"/>
      <c r="Z594" s="305"/>
      <c r="AA594" s="305"/>
      <c r="AB594" s="305"/>
      <c r="AC594" s="307"/>
    </row>
    <row r="595" ht="13.5" customHeight="1">
      <c r="A595" s="312"/>
      <c r="B595" s="301"/>
      <c r="C595" s="301"/>
      <c r="D595" s="301"/>
      <c r="E595" s="301"/>
      <c r="F595" s="301"/>
      <c r="G595" s="301"/>
      <c r="H595" s="301"/>
      <c r="I595" s="301"/>
      <c r="J595" s="301"/>
      <c r="K595" s="301"/>
      <c r="L595" s="302"/>
      <c r="M595" s="302"/>
      <c r="N595" s="302"/>
      <c r="O595" s="302"/>
      <c r="P595" s="302"/>
      <c r="Q595" s="302"/>
      <c r="R595" s="302"/>
      <c r="S595" s="302"/>
      <c r="T595" s="302"/>
      <c r="U595" s="302"/>
      <c r="V595" s="302"/>
      <c r="W595" s="302"/>
      <c r="X595" s="302"/>
      <c r="Y595" s="302"/>
      <c r="Z595" s="302"/>
      <c r="AA595" s="302"/>
      <c r="AB595" s="302"/>
      <c r="AC595" s="303"/>
    </row>
    <row r="596" ht="13.5" customHeight="1">
      <c r="A596" s="326"/>
      <c r="B596" s="15"/>
      <c r="C596" s="7"/>
      <c r="D596" s="9"/>
      <c r="E596" s="13"/>
      <c r="F596" s="13"/>
      <c r="G596" s="308"/>
      <c r="H596" s="308"/>
      <c r="I596" s="7"/>
      <c r="J596" s="9"/>
      <c r="K596" s="7"/>
      <c r="L596" s="305"/>
      <c r="M596" s="305"/>
      <c r="N596" s="305"/>
      <c r="O596" s="305"/>
      <c r="P596" s="305"/>
      <c r="Q596" s="305"/>
      <c r="R596" s="305"/>
      <c r="S596" s="305"/>
      <c r="T596" s="305"/>
      <c r="U596" s="305"/>
      <c r="V596" s="305"/>
      <c r="W596" s="305"/>
      <c r="X596" s="305"/>
      <c r="Y596" s="305"/>
      <c r="Z596" s="305"/>
      <c r="AA596" s="305"/>
      <c r="AB596" s="305"/>
      <c r="AC596" s="307"/>
    </row>
    <row r="597" ht="13.5" customHeight="1">
      <c r="A597" s="312"/>
      <c r="B597" s="301"/>
      <c r="C597" s="301"/>
      <c r="D597" s="301"/>
      <c r="E597" s="301"/>
      <c r="F597" s="301"/>
      <c r="G597" s="301"/>
      <c r="H597" s="301"/>
      <c r="I597" s="301"/>
      <c r="J597" s="301"/>
      <c r="K597" s="301"/>
      <c r="L597" s="302"/>
      <c r="M597" s="302"/>
      <c r="N597" s="302"/>
      <c r="O597" s="302"/>
      <c r="P597" s="302"/>
      <c r="Q597" s="302"/>
      <c r="R597" s="302"/>
      <c r="S597" s="302"/>
      <c r="T597" s="302"/>
      <c r="U597" s="302"/>
      <c r="V597" s="302"/>
      <c r="W597" s="302"/>
      <c r="X597" s="302"/>
      <c r="Y597" s="302"/>
      <c r="Z597" s="302"/>
      <c r="AA597" s="302"/>
      <c r="AB597" s="302"/>
      <c r="AC597" s="303"/>
    </row>
    <row r="598" ht="13.5" customHeight="1">
      <c r="A598" s="326"/>
      <c r="B598" s="15"/>
      <c r="C598" s="7"/>
      <c r="D598" s="9"/>
      <c r="E598" s="13"/>
      <c r="F598" s="13"/>
      <c r="G598" s="308"/>
      <c r="H598" s="308"/>
      <c r="I598" s="7"/>
      <c r="J598" s="9"/>
      <c r="K598" s="7"/>
      <c r="L598" s="305"/>
      <c r="M598" s="305"/>
      <c r="N598" s="305"/>
      <c r="O598" s="305"/>
      <c r="P598" s="305"/>
      <c r="Q598" s="305"/>
      <c r="R598" s="305"/>
      <c r="S598" s="305"/>
      <c r="T598" s="305"/>
      <c r="U598" s="305"/>
      <c r="V598" s="305"/>
      <c r="W598" s="305"/>
      <c r="X598" s="305"/>
      <c r="Y598" s="305"/>
      <c r="Z598" s="305"/>
      <c r="AA598" s="305"/>
      <c r="AB598" s="305"/>
      <c r="AC598" s="307"/>
    </row>
    <row r="599" ht="13.5" customHeight="1">
      <c r="A599" s="312"/>
      <c r="B599" s="301"/>
      <c r="C599" s="301"/>
      <c r="D599" s="301"/>
      <c r="E599" s="301"/>
      <c r="F599" s="301"/>
      <c r="G599" s="301"/>
      <c r="H599" s="301"/>
      <c r="I599" s="301"/>
      <c r="J599" s="301"/>
      <c r="K599" s="301"/>
      <c r="L599" s="302"/>
      <c r="M599" s="302"/>
      <c r="N599" s="302"/>
      <c r="O599" s="302"/>
      <c r="P599" s="302"/>
      <c r="Q599" s="302"/>
      <c r="R599" s="302"/>
      <c r="S599" s="302"/>
      <c r="T599" s="302"/>
      <c r="U599" s="302"/>
      <c r="V599" s="302"/>
      <c r="W599" s="302"/>
      <c r="X599" s="302"/>
      <c r="Y599" s="302"/>
      <c r="Z599" s="302"/>
      <c r="AA599" s="302"/>
      <c r="AB599" s="302"/>
      <c r="AC599" s="303"/>
    </row>
    <row r="600" ht="13.5" customHeight="1">
      <c r="A600" s="326"/>
      <c r="B600" s="15"/>
      <c r="C600" s="7"/>
      <c r="D600" s="9"/>
      <c r="E600" s="13"/>
      <c r="F600" s="13"/>
      <c r="G600" s="308"/>
      <c r="H600" s="308"/>
      <c r="I600" s="7"/>
      <c r="J600" s="9"/>
      <c r="K600" s="7"/>
      <c r="L600" s="305"/>
      <c r="M600" s="305"/>
      <c r="N600" s="305"/>
      <c r="O600" s="305"/>
      <c r="P600" s="305"/>
      <c r="Q600" s="305"/>
      <c r="R600" s="305"/>
      <c r="S600" s="305"/>
      <c r="T600" s="305"/>
      <c r="U600" s="305"/>
      <c r="V600" s="305"/>
      <c r="W600" s="305"/>
      <c r="X600" s="305"/>
      <c r="Y600" s="305"/>
      <c r="Z600" s="305"/>
      <c r="AA600" s="305"/>
      <c r="AB600" s="305"/>
      <c r="AC600" s="307"/>
    </row>
    <row r="601" ht="13.5" customHeight="1">
      <c r="A601" s="312"/>
      <c r="B601" s="301"/>
      <c r="C601" s="301"/>
      <c r="D601" s="301"/>
      <c r="E601" s="301"/>
      <c r="F601" s="301"/>
      <c r="G601" s="301"/>
      <c r="H601" s="301"/>
      <c r="I601" s="301"/>
      <c r="J601" s="301"/>
      <c r="K601" s="301"/>
      <c r="L601" s="302"/>
      <c r="M601" s="302"/>
      <c r="N601" s="302"/>
      <c r="O601" s="302"/>
      <c r="P601" s="302"/>
      <c r="Q601" s="302"/>
      <c r="R601" s="302"/>
      <c r="S601" s="302"/>
      <c r="T601" s="302"/>
      <c r="U601" s="302"/>
      <c r="V601" s="302"/>
      <c r="W601" s="302"/>
      <c r="X601" s="302"/>
      <c r="Y601" s="302"/>
      <c r="Z601" s="302"/>
      <c r="AA601" s="302"/>
      <c r="AB601" s="302"/>
      <c r="AC601" s="303"/>
    </row>
    <row r="602" ht="13.5" customHeight="1">
      <c r="A602" s="326"/>
      <c r="B602" s="15"/>
      <c r="C602" s="7"/>
      <c r="D602" s="9"/>
      <c r="E602" s="13"/>
      <c r="F602" s="13"/>
      <c r="G602" s="308"/>
      <c r="H602" s="308"/>
      <c r="I602" s="7"/>
      <c r="J602" s="9"/>
      <c r="K602" s="7"/>
      <c r="L602" s="305"/>
      <c r="M602" s="305"/>
      <c r="N602" s="305"/>
      <c r="O602" s="305"/>
      <c r="P602" s="305"/>
      <c r="Q602" s="305"/>
      <c r="R602" s="305"/>
      <c r="S602" s="305"/>
      <c r="T602" s="305"/>
      <c r="U602" s="305"/>
      <c r="V602" s="305"/>
      <c r="W602" s="305"/>
      <c r="X602" s="305"/>
      <c r="Y602" s="305"/>
      <c r="Z602" s="305"/>
      <c r="AA602" s="305"/>
      <c r="AB602" s="305"/>
      <c r="AC602" s="307"/>
    </row>
    <row r="603" ht="13.5" customHeight="1">
      <c r="A603" s="312"/>
      <c r="B603" s="301"/>
      <c r="C603" s="301"/>
      <c r="D603" s="301"/>
      <c r="E603" s="301"/>
      <c r="F603" s="301"/>
      <c r="G603" s="301"/>
      <c r="H603" s="301"/>
      <c r="I603" s="301"/>
      <c r="J603" s="301"/>
      <c r="K603" s="301"/>
      <c r="L603" s="302"/>
      <c r="M603" s="302"/>
      <c r="N603" s="302"/>
      <c r="O603" s="302"/>
      <c r="P603" s="302"/>
      <c r="Q603" s="302"/>
      <c r="R603" s="302"/>
      <c r="S603" s="302"/>
      <c r="T603" s="302"/>
      <c r="U603" s="302"/>
      <c r="V603" s="302"/>
      <c r="W603" s="302"/>
      <c r="X603" s="302"/>
      <c r="Y603" s="302"/>
      <c r="Z603" s="302"/>
      <c r="AA603" s="302"/>
      <c r="AB603" s="302"/>
      <c r="AC603" s="303"/>
    </row>
    <row r="604" ht="13.5" customHeight="1">
      <c r="A604" s="326"/>
      <c r="B604" s="15"/>
      <c r="C604" s="7"/>
      <c r="D604" s="9"/>
      <c r="E604" s="13"/>
      <c r="F604" s="13"/>
      <c r="G604" s="308"/>
      <c r="H604" s="308"/>
      <c r="I604" s="7"/>
      <c r="J604" s="9"/>
      <c r="K604" s="7"/>
      <c r="L604" s="305"/>
      <c r="M604" s="305"/>
      <c r="N604" s="305"/>
      <c r="O604" s="305"/>
      <c r="P604" s="305"/>
      <c r="Q604" s="305"/>
      <c r="R604" s="305"/>
      <c r="S604" s="305"/>
      <c r="T604" s="305"/>
      <c r="U604" s="305"/>
      <c r="V604" s="305"/>
      <c r="W604" s="305"/>
      <c r="X604" s="305"/>
      <c r="Y604" s="305"/>
      <c r="Z604" s="305"/>
      <c r="AA604" s="305"/>
      <c r="AB604" s="305"/>
      <c r="AC604" s="307"/>
    </row>
    <row r="605" ht="13.5" customHeight="1">
      <c r="A605" s="312"/>
      <c r="B605" s="301"/>
      <c r="C605" s="301"/>
      <c r="D605" s="301"/>
      <c r="E605" s="301"/>
      <c r="F605" s="301"/>
      <c r="G605" s="301"/>
      <c r="H605" s="301"/>
      <c r="I605" s="301"/>
      <c r="J605" s="301"/>
      <c r="K605" s="301"/>
      <c r="L605" s="302"/>
      <c r="M605" s="302"/>
      <c r="N605" s="302"/>
      <c r="O605" s="302"/>
      <c r="P605" s="302"/>
      <c r="Q605" s="302"/>
      <c r="R605" s="302"/>
      <c r="S605" s="302"/>
      <c r="T605" s="302"/>
      <c r="U605" s="302"/>
      <c r="V605" s="302"/>
      <c r="W605" s="302"/>
      <c r="X605" s="302"/>
      <c r="Y605" s="302"/>
      <c r="Z605" s="302"/>
      <c r="AA605" s="302"/>
      <c r="AB605" s="302"/>
      <c r="AC605" s="303"/>
    </row>
    <row r="606" ht="13.5" customHeight="1">
      <c r="A606" s="326"/>
      <c r="B606" s="15"/>
      <c r="C606" s="7"/>
      <c r="D606" s="9"/>
      <c r="E606" s="13"/>
      <c r="F606" s="13"/>
      <c r="G606" s="308"/>
      <c r="H606" s="308"/>
      <c r="I606" s="7"/>
      <c r="J606" s="9"/>
      <c r="K606" s="7"/>
      <c r="L606" s="305"/>
      <c r="M606" s="305"/>
      <c r="N606" s="305"/>
      <c r="O606" s="305"/>
      <c r="P606" s="305"/>
      <c r="Q606" s="305"/>
      <c r="R606" s="305"/>
      <c r="S606" s="305"/>
      <c r="T606" s="305"/>
      <c r="U606" s="305"/>
      <c r="V606" s="305"/>
      <c r="W606" s="305"/>
      <c r="X606" s="305"/>
      <c r="Y606" s="305"/>
      <c r="Z606" s="305"/>
      <c r="AA606" s="305"/>
      <c r="AB606" s="305"/>
      <c r="AC606" s="307"/>
    </row>
    <row r="607" ht="13.5" customHeight="1">
      <c r="A607" s="312"/>
      <c r="B607" s="301"/>
      <c r="C607" s="301"/>
      <c r="D607" s="301"/>
      <c r="E607" s="301"/>
      <c r="F607" s="301"/>
      <c r="G607" s="301"/>
      <c r="H607" s="301"/>
      <c r="I607" s="301"/>
      <c r="J607" s="301"/>
      <c r="K607" s="301"/>
      <c r="L607" s="302"/>
      <c r="M607" s="302"/>
      <c r="N607" s="302"/>
      <c r="O607" s="302"/>
      <c r="P607" s="302"/>
      <c r="Q607" s="302"/>
      <c r="R607" s="302"/>
      <c r="S607" s="302"/>
      <c r="T607" s="302"/>
      <c r="U607" s="302"/>
      <c r="V607" s="302"/>
      <c r="W607" s="302"/>
      <c r="X607" s="302"/>
      <c r="Y607" s="302"/>
      <c r="Z607" s="302"/>
      <c r="AA607" s="302"/>
      <c r="AB607" s="302"/>
      <c r="AC607" s="303"/>
    </row>
    <row r="608" ht="13.5" customHeight="1">
      <c r="A608" s="326"/>
      <c r="B608" s="15"/>
      <c r="C608" s="7"/>
      <c r="D608" s="9"/>
      <c r="E608" s="13"/>
      <c r="F608" s="13"/>
      <c r="G608" s="308"/>
      <c r="H608" s="308"/>
      <c r="I608" s="7"/>
      <c r="J608" s="9"/>
      <c r="K608" s="7"/>
      <c r="L608" s="305"/>
      <c r="M608" s="305"/>
      <c r="N608" s="305"/>
      <c r="O608" s="305"/>
      <c r="P608" s="305"/>
      <c r="Q608" s="305"/>
      <c r="R608" s="305"/>
      <c r="S608" s="305"/>
      <c r="T608" s="305"/>
      <c r="U608" s="305"/>
      <c r="V608" s="305"/>
      <c r="W608" s="305"/>
      <c r="X608" s="305"/>
      <c r="Y608" s="305"/>
      <c r="Z608" s="305"/>
      <c r="AA608" s="305"/>
      <c r="AB608" s="305"/>
      <c r="AC608" s="307"/>
    </row>
    <row r="609" ht="13.5" customHeight="1">
      <c r="A609" s="312"/>
      <c r="B609" s="301"/>
      <c r="C609" s="301"/>
      <c r="D609" s="301"/>
      <c r="E609" s="301"/>
      <c r="F609" s="301"/>
      <c r="G609" s="301"/>
      <c r="H609" s="301"/>
      <c r="I609" s="301"/>
      <c r="J609" s="301"/>
      <c r="K609" s="301"/>
      <c r="L609" s="302"/>
      <c r="M609" s="302"/>
      <c r="N609" s="302"/>
      <c r="O609" s="302"/>
      <c r="P609" s="302"/>
      <c r="Q609" s="302"/>
      <c r="R609" s="302"/>
      <c r="S609" s="302"/>
      <c r="T609" s="302"/>
      <c r="U609" s="302"/>
      <c r="V609" s="302"/>
      <c r="W609" s="302"/>
      <c r="X609" s="302"/>
      <c r="Y609" s="302"/>
      <c r="Z609" s="302"/>
      <c r="AA609" s="302"/>
      <c r="AB609" s="302"/>
      <c r="AC609" s="303"/>
    </row>
    <row r="610" ht="13.5" customHeight="1">
      <c r="A610" s="326"/>
      <c r="B610" s="15"/>
      <c r="C610" s="7"/>
      <c r="D610" s="9"/>
      <c r="E610" s="13"/>
      <c r="F610" s="13"/>
      <c r="G610" s="308"/>
      <c r="H610" s="308"/>
      <c r="I610" s="7"/>
      <c r="J610" s="9"/>
      <c r="K610" s="7"/>
      <c r="L610" s="305"/>
      <c r="M610" s="305"/>
      <c r="N610" s="305"/>
      <c r="O610" s="305"/>
      <c r="P610" s="305"/>
      <c r="Q610" s="305"/>
      <c r="R610" s="305"/>
      <c r="S610" s="305"/>
      <c r="T610" s="305"/>
      <c r="U610" s="305"/>
      <c r="V610" s="305"/>
      <c r="W610" s="305"/>
      <c r="X610" s="305"/>
      <c r="Y610" s="305"/>
      <c r="Z610" s="305"/>
      <c r="AA610" s="305"/>
      <c r="AB610" s="305"/>
      <c r="AC610" s="307"/>
    </row>
    <row r="611" ht="13.5" customHeight="1">
      <c r="A611" s="312"/>
      <c r="B611" s="301"/>
      <c r="C611" s="301"/>
      <c r="D611" s="301"/>
      <c r="E611" s="301"/>
      <c r="F611" s="301"/>
      <c r="G611" s="301"/>
      <c r="H611" s="301"/>
      <c r="I611" s="301"/>
      <c r="J611" s="301"/>
      <c r="K611" s="301"/>
      <c r="L611" s="302"/>
      <c r="M611" s="302"/>
      <c r="N611" s="302"/>
      <c r="O611" s="302"/>
      <c r="P611" s="302"/>
      <c r="Q611" s="302"/>
      <c r="R611" s="302"/>
      <c r="S611" s="302"/>
      <c r="T611" s="302"/>
      <c r="U611" s="302"/>
      <c r="V611" s="302"/>
      <c r="W611" s="302"/>
      <c r="X611" s="302"/>
      <c r="Y611" s="302"/>
      <c r="Z611" s="302"/>
      <c r="AA611" s="302"/>
      <c r="AB611" s="302"/>
      <c r="AC611" s="303"/>
    </row>
    <row r="612" ht="13.5" customHeight="1">
      <c r="A612" s="326"/>
      <c r="B612" s="15"/>
      <c r="C612" s="7"/>
      <c r="D612" s="9"/>
      <c r="E612" s="13"/>
      <c r="F612" s="13"/>
      <c r="G612" s="308"/>
      <c r="H612" s="308"/>
      <c r="I612" s="7"/>
      <c r="J612" s="9"/>
      <c r="K612" s="7"/>
      <c r="L612" s="305"/>
      <c r="M612" s="305"/>
      <c r="N612" s="305"/>
      <c r="O612" s="305"/>
      <c r="P612" s="305"/>
      <c r="Q612" s="305"/>
      <c r="R612" s="305"/>
      <c r="S612" s="305"/>
      <c r="T612" s="305"/>
      <c r="U612" s="305"/>
      <c r="V612" s="305"/>
      <c r="W612" s="305"/>
      <c r="X612" s="305"/>
      <c r="Y612" s="305"/>
      <c r="Z612" s="305"/>
      <c r="AA612" s="305"/>
      <c r="AB612" s="305"/>
      <c r="AC612" s="307"/>
    </row>
    <row r="613" ht="13.5" customHeight="1">
      <c r="A613" s="312"/>
      <c r="B613" s="301"/>
      <c r="C613" s="301"/>
      <c r="D613" s="301"/>
      <c r="E613" s="301"/>
      <c r="F613" s="301"/>
      <c r="G613" s="301"/>
      <c r="H613" s="301"/>
      <c r="I613" s="301"/>
      <c r="J613" s="301"/>
      <c r="K613" s="301"/>
      <c r="L613" s="302"/>
      <c r="M613" s="302"/>
      <c r="N613" s="302"/>
      <c r="O613" s="302"/>
      <c r="P613" s="302"/>
      <c r="Q613" s="302"/>
      <c r="R613" s="302"/>
      <c r="S613" s="302"/>
      <c r="T613" s="302"/>
      <c r="U613" s="302"/>
      <c r="V613" s="302"/>
      <c r="W613" s="302"/>
      <c r="X613" s="302"/>
      <c r="Y613" s="302"/>
      <c r="Z613" s="302"/>
      <c r="AA613" s="302"/>
      <c r="AB613" s="302"/>
      <c r="AC613" s="303"/>
    </row>
    <row r="614" ht="13.5" customHeight="1">
      <c r="A614" s="326"/>
      <c r="B614" s="15"/>
      <c r="C614" s="7"/>
      <c r="D614" s="9"/>
      <c r="E614" s="13"/>
      <c r="F614" s="13"/>
      <c r="G614" s="308"/>
      <c r="H614" s="308"/>
      <c r="I614" s="7"/>
      <c r="J614" s="9"/>
      <c r="K614" s="7"/>
      <c r="L614" s="305"/>
      <c r="M614" s="305"/>
      <c r="N614" s="305"/>
      <c r="O614" s="305"/>
      <c r="P614" s="305"/>
      <c r="Q614" s="305"/>
      <c r="R614" s="305"/>
      <c r="S614" s="305"/>
      <c r="T614" s="305"/>
      <c r="U614" s="305"/>
      <c r="V614" s="305"/>
      <c r="W614" s="305"/>
      <c r="X614" s="305"/>
      <c r="Y614" s="305"/>
      <c r="Z614" s="305"/>
      <c r="AA614" s="305"/>
      <c r="AB614" s="305"/>
      <c r="AC614" s="307"/>
    </row>
    <row r="615" ht="13.5" customHeight="1">
      <c r="A615" s="312"/>
      <c r="B615" s="301"/>
      <c r="C615" s="301"/>
      <c r="D615" s="301"/>
      <c r="E615" s="301"/>
      <c r="F615" s="301"/>
      <c r="G615" s="301"/>
      <c r="H615" s="301"/>
      <c r="I615" s="301"/>
      <c r="J615" s="301"/>
      <c r="K615" s="301"/>
      <c r="L615" s="302"/>
      <c r="M615" s="302"/>
      <c r="N615" s="302"/>
      <c r="O615" s="302"/>
      <c r="P615" s="302"/>
      <c r="Q615" s="302"/>
      <c r="R615" s="302"/>
      <c r="S615" s="302"/>
      <c r="T615" s="302"/>
      <c r="U615" s="302"/>
      <c r="V615" s="302"/>
      <c r="W615" s="302"/>
      <c r="X615" s="302"/>
      <c r="Y615" s="302"/>
      <c r="Z615" s="302"/>
      <c r="AA615" s="302"/>
      <c r="AB615" s="302"/>
      <c r="AC615" s="303"/>
    </row>
    <row r="616" ht="13.5" customHeight="1">
      <c r="A616" s="326"/>
      <c r="B616" s="15"/>
      <c r="C616" s="7"/>
      <c r="D616" s="9"/>
      <c r="E616" s="13"/>
      <c r="F616" s="13"/>
      <c r="G616" s="308"/>
      <c r="H616" s="308"/>
      <c r="I616" s="7"/>
      <c r="J616" s="9"/>
      <c r="K616" s="7"/>
      <c r="L616" s="305"/>
      <c r="M616" s="305"/>
      <c r="N616" s="305"/>
      <c r="O616" s="305"/>
      <c r="P616" s="305"/>
      <c r="Q616" s="305"/>
      <c r="R616" s="305"/>
      <c r="S616" s="305"/>
      <c r="T616" s="305"/>
      <c r="U616" s="305"/>
      <c r="V616" s="305"/>
      <c r="W616" s="305"/>
      <c r="X616" s="305"/>
      <c r="Y616" s="305"/>
      <c r="Z616" s="305"/>
      <c r="AA616" s="305"/>
      <c r="AB616" s="305"/>
      <c r="AC616" s="307"/>
    </row>
    <row r="617" ht="13.5" customHeight="1">
      <c r="A617" s="312"/>
      <c r="B617" s="301"/>
      <c r="C617" s="301"/>
      <c r="D617" s="301"/>
      <c r="E617" s="301"/>
      <c r="F617" s="301"/>
      <c r="G617" s="301"/>
      <c r="H617" s="301"/>
      <c r="I617" s="301"/>
      <c r="J617" s="301"/>
      <c r="K617" s="301"/>
      <c r="L617" s="302"/>
      <c r="M617" s="302"/>
      <c r="N617" s="302"/>
      <c r="O617" s="302"/>
      <c r="P617" s="302"/>
      <c r="Q617" s="302"/>
      <c r="R617" s="302"/>
      <c r="S617" s="302"/>
      <c r="T617" s="302"/>
      <c r="U617" s="302"/>
      <c r="V617" s="302"/>
      <c r="W617" s="302"/>
      <c r="X617" s="302"/>
      <c r="Y617" s="302"/>
      <c r="Z617" s="302"/>
      <c r="AA617" s="302"/>
      <c r="AB617" s="302"/>
      <c r="AC617" s="303"/>
    </row>
    <row r="618" ht="13.5" customHeight="1">
      <c r="A618" s="326"/>
      <c r="B618" s="15"/>
      <c r="C618" s="7"/>
      <c r="D618" s="9"/>
      <c r="E618" s="13"/>
      <c r="F618" s="13"/>
      <c r="G618" s="308"/>
      <c r="H618" s="308"/>
      <c r="I618" s="7"/>
      <c r="J618" s="9"/>
      <c r="K618" s="7"/>
      <c r="L618" s="305"/>
      <c r="M618" s="305"/>
      <c r="N618" s="305"/>
      <c r="O618" s="305"/>
      <c r="P618" s="305"/>
      <c r="Q618" s="305"/>
      <c r="R618" s="305"/>
      <c r="S618" s="305"/>
      <c r="T618" s="305"/>
      <c r="U618" s="305"/>
      <c r="V618" s="305"/>
      <c r="W618" s="305"/>
      <c r="X618" s="305"/>
      <c r="Y618" s="305"/>
      <c r="Z618" s="305"/>
      <c r="AA618" s="305"/>
      <c r="AB618" s="305"/>
      <c r="AC618" s="307"/>
    </row>
    <row r="619" ht="13.5" customHeight="1">
      <c r="A619" s="312"/>
      <c r="B619" s="301"/>
      <c r="C619" s="301"/>
      <c r="D619" s="301"/>
      <c r="E619" s="301"/>
      <c r="F619" s="301"/>
      <c r="G619" s="301"/>
      <c r="H619" s="301"/>
      <c r="I619" s="301"/>
      <c r="J619" s="301"/>
      <c r="K619" s="301"/>
      <c r="L619" s="302"/>
      <c r="M619" s="302"/>
      <c r="N619" s="302"/>
      <c r="O619" s="302"/>
      <c r="P619" s="302"/>
      <c r="Q619" s="302"/>
      <c r="R619" s="302"/>
      <c r="S619" s="302"/>
      <c r="T619" s="302"/>
      <c r="U619" s="302"/>
      <c r="V619" s="302"/>
      <c r="W619" s="302"/>
      <c r="X619" s="302"/>
      <c r="Y619" s="302"/>
      <c r="Z619" s="302"/>
      <c r="AA619" s="302"/>
      <c r="AB619" s="302"/>
      <c r="AC619" s="303"/>
    </row>
    <row r="620" ht="13.5" customHeight="1">
      <c r="A620" s="326"/>
      <c r="B620" s="15"/>
      <c r="C620" s="7"/>
      <c r="D620" s="9"/>
      <c r="E620" s="13"/>
      <c r="F620" s="13"/>
      <c r="G620" s="308"/>
      <c r="H620" s="308"/>
      <c r="I620" s="7"/>
      <c r="J620" s="9"/>
      <c r="K620" s="7"/>
      <c r="L620" s="305"/>
      <c r="M620" s="305"/>
      <c r="N620" s="305"/>
      <c r="O620" s="305"/>
      <c r="P620" s="305"/>
      <c r="Q620" s="305"/>
      <c r="R620" s="305"/>
      <c r="S620" s="305"/>
      <c r="T620" s="305"/>
      <c r="U620" s="305"/>
      <c r="V620" s="305"/>
      <c r="W620" s="305"/>
      <c r="X620" s="305"/>
      <c r="Y620" s="305"/>
      <c r="Z620" s="305"/>
      <c r="AA620" s="305"/>
      <c r="AB620" s="305"/>
      <c r="AC620" s="307"/>
    </row>
    <row r="621" ht="13.5" customHeight="1">
      <c r="A621" s="312"/>
      <c r="B621" s="301"/>
      <c r="C621" s="301"/>
      <c r="D621" s="301"/>
      <c r="E621" s="301"/>
      <c r="F621" s="301"/>
      <c r="G621" s="301"/>
      <c r="H621" s="301"/>
      <c r="I621" s="301"/>
      <c r="J621" s="301"/>
      <c r="K621" s="301"/>
      <c r="L621" s="302"/>
      <c r="M621" s="302"/>
      <c r="N621" s="302"/>
      <c r="O621" s="302"/>
      <c r="P621" s="302"/>
      <c r="Q621" s="302"/>
      <c r="R621" s="302"/>
      <c r="S621" s="302"/>
      <c r="T621" s="302"/>
      <c r="U621" s="302"/>
      <c r="V621" s="302"/>
      <c r="W621" s="302"/>
      <c r="X621" s="302"/>
      <c r="Y621" s="302"/>
      <c r="Z621" s="302"/>
      <c r="AA621" s="302"/>
      <c r="AB621" s="302"/>
      <c r="AC621" s="303"/>
    </row>
    <row r="622" ht="13.5" customHeight="1">
      <c r="A622" s="326"/>
      <c r="B622" s="15"/>
      <c r="C622" s="7"/>
      <c r="D622" s="9"/>
      <c r="E622" s="13"/>
      <c r="F622" s="13"/>
      <c r="G622" s="308"/>
      <c r="H622" s="308"/>
      <c r="I622" s="7"/>
      <c r="J622" s="9"/>
      <c r="K622" s="7"/>
      <c r="L622" s="305"/>
      <c r="M622" s="305"/>
      <c r="N622" s="305"/>
      <c r="O622" s="305"/>
      <c r="P622" s="305"/>
      <c r="Q622" s="305"/>
      <c r="R622" s="305"/>
      <c r="S622" s="305"/>
      <c r="T622" s="305"/>
      <c r="U622" s="305"/>
      <c r="V622" s="305"/>
      <c r="W622" s="305"/>
      <c r="X622" s="305"/>
      <c r="Y622" s="305"/>
      <c r="Z622" s="305"/>
      <c r="AA622" s="305"/>
      <c r="AB622" s="305"/>
      <c r="AC622" s="307"/>
    </row>
    <row r="623" ht="13.5" customHeight="1">
      <c r="A623" s="312"/>
      <c r="B623" s="301"/>
      <c r="C623" s="301"/>
      <c r="D623" s="301"/>
      <c r="E623" s="301"/>
      <c r="F623" s="301"/>
      <c r="G623" s="301"/>
      <c r="H623" s="301"/>
      <c r="I623" s="301"/>
      <c r="J623" s="301"/>
      <c r="K623" s="301"/>
      <c r="L623" s="302"/>
      <c r="M623" s="302"/>
      <c r="N623" s="302"/>
      <c r="O623" s="302"/>
      <c r="P623" s="302"/>
      <c r="Q623" s="302"/>
      <c r="R623" s="302"/>
      <c r="S623" s="302"/>
      <c r="T623" s="302"/>
      <c r="U623" s="302"/>
      <c r="V623" s="302"/>
      <c r="W623" s="302"/>
      <c r="X623" s="302"/>
      <c r="Y623" s="302"/>
      <c r="Z623" s="302"/>
      <c r="AA623" s="302"/>
      <c r="AB623" s="302"/>
      <c r="AC623" s="303"/>
    </row>
    <row r="624" ht="13.5" customHeight="1">
      <c r="A624" s="326"/>
      <c r="B624" s="15"/>
      <c r="C624" s="7"/>
      <c r="D624" s="9"/>
      <c r="E624" s="13"/>
      <c r="F624" s="13"/>
      <c r="G624" s="308"/>
      <c r="H624" s="308"/>
      <c r="I624" s="7"/>
      <c r="J624" s="9"/>
      <c r="K624" s="7"/>
      <c r="L624" s="305"/>
      <c r="M624" s="305"/>
      <c r="N624" s="305"/>
      <c r="O624" s="305"/>
      <c r="P624" s="305"/>
      <c r="Q624" s="305"/>
      <c r="R624" s="305"/>
      <c r="S624" s="305"/>
      <c r="T624" s="305"/>
      <c r="U624" s="305"/>
      <c r="V624" s="305"/>
      <c r="W624" s="305"/>
      <c r="X624" s="305"/>
      <c r="Y624" s="305"/>
      <c r="Z624" s="305"/>
      <c r="AA624" s="305"/>
      <c r="AB624" s="305"/>
      <c r="AC624" s="307"/>
    </row>
    <row r="625" ht="13.5" customHeight="1">
      <c r="A625" s="312"/>
      <c r="B625" s="301"/>
      <c r="C625" s="301"/>
      <c r="D625" s="301"/>
      <c r="E625" s="301"/>
      <c r="F625" s="301"/>
      <c r="G625" s="301"/>
      <c r="H625" s="301"/>
      <c r="I625" s="301"/>
      <c r="J625" s="301"/>
      <c r="K625" s="301"/>
      <c r="L625" s="302"/>
      <c r="M625" s="302"/>
      <c r="N625" s="302"/>
      <c r="O625" s="302"/>
      <c r="P625" s="302"/>
      <c r="Q625" s="302"/>
      <c r="R625" s="302"/>
      <c r="S625" s="302"/>
      <c r="T625" s="302"/>
      <c r="U625" s="302"/>
      <c r="V625" s="302"/>
      <c r="W625" s="302"/>
      <c r="X625" s="302"/>
      <c r="Y625" s="302"/>
      <c r="Z625" s="302"/>
      <c r="AA625" s="302"/>
      <c r="AB625" s="302"/>
      <c r="AC625" s="303"/>
    </row>
    <row r="626" ht="13.5" customHeight="1">
      <c r="A626" s="326"/>
      <c r="B626" s="15"/>
      <c r="C626" s="7"/>
      <c r="D626" s="9"/>
      <c r="E626" s="13"/>
      <c r="F626" s="13"/>
      <c r="G626" s="308"/>
      <c r="H626" s="308"/>
      <c r="I626" s="7"/>
      <c r="J626" s="9"/>
      <c r="K626" s="7"/>
      <c r="L626" s="305"/>
      <c r="M626" s="305"/>
      <c r="N626" s="305"/>
      <c r="O626" s="305"/>
      <c r="P626" s="305"/>
      <c r="Q626" s="305"/>
      <c r="R626" s="305"/>
      <c r="S626" s="305"/>
      <c r="T626" s="305"/>
      <c r="U626" s="305"/>
      <c r="V626" s="305"/>
      <c r="W626" s="305"/>
      <c r="X626" s="305"/>
      <c r="Y626" s="305"/>
      <c r="Z626" s="305"/>
      <c r="AA626" s="305"/>
      <c r="AB626" s="305"/>
      <c r="AC626" s="307"/>
    </row>
    <row r="627" ht="13.5" customHeight="1">
      <c r="A627" s="312"/>
      <c r="B627" s="301"/>
      <c r="C627" s="301"/>
      <c r="D627" s="301"/>
      <c r="E627" s="301"/>
      <c r="F627" s="301"/>
      <c r="G627" s="301"/>
      <c r="H627" s="301"/>
      <c r="I627" s="301"/>
      <c r="J627" s="301"/>
      <c r="K627" s="301"/>
      <c r="L627" s="302"/>
      <c r="M627" s="302"/>
      <c r="N627" s="302"/>
      <c r="O627" s="302"/>
      <c r="P627" s="302"/>
      <c r="Q627" s="302"/>
      <c r="R627" s="302"/>
      <c r="S627" s="302"/>
      <c r="T627" s="302"/>
      <c r="U627" s="302"/>
      <c r="V627" s="302"/>
      <c r="W627" s="302"/>
      <c r="X627" s="302"/>
      <c r="Y627" s="302"/>
      <c r="Z627" s="302"/>
      <c r="AA627" s="302"/>
      <c r="AB627" s="302"/>
      <c r="AC627" s="303"/>
    </row>
    <row r="628" ht="13.5" customHeight="1">
      <c r="A628" s="326"/>
      <c r="B628" s="15"/>
      <c r="C628" s="7"/>
      <c r="D628" s="9"/>
      <c r="E628" s="13"/>
      <c r="F628" s="13"/>
      <c r="G628" s="308"/>
      <c r="H628" s="308"/>
      <c r="I628" s="7"/>
      <c r="J628" s="9"/>
      <c r="K628" s="7"/>
      <c r="L628" s="305"/>
      <c r="M628" s="305"/>
      <c r="N628" s="305"/>
      <c r="O628" s="305"/>
      <c r="P628" s="305"/>
      <c r="Q628" s="305"/>
      <c r="R628" s="305"/>
      <c r="S628" s="305"/>
      <c r="T628" s="305"/>
      <c r="U628" s="305"/>
      <c r="V628" s="305"/>
      <c r="W628" s="305"/>
      <c r="X628" s="305"/>
      <c r="Y628" s="305"/>
      <c r="Z628" s="305"/>
      <c r="AA628" s="305"/>
      <c r="AB628" s="305"/>
      <c r="AC628" s="307"/>
    </row>
    <row r="629" ht="13.5" customHeight="1">
      <c r="A629" s="312"/>
      <c r="B629" s="301"/>
      <c r="C629" s="301"/>
      <c r="D629" s="301"/>
      <c r="E629" s="301"/>
      <c r="F629" s="301"/>
      <c r="G629" s="301"/>
      <c r="H629" s="301"/>
      <c r="I629" s="301"/>
      <c r="J629" s="301"/>
      <c r="K629" s="301"/>
      <c r="L629" s="302"/>
      <c r="M629" s="302"/>
      <c r="N629" s="302"/>
      <c r="O629" s="302"/>
      <c r="P629" s="302"/>
      <c r="Q629" s="302"/>
      <c r="R629" s="302"/>
      <c r="S629" s="302"/>
      <c r="T629" s="302"/>
      <c r="U629" s="302"/>
      <c r="V629" s="302"/>
      <c r="W629" s="302"/>
      <c r="X629" s="302"/>
      <c r="Y629" s="302"/>
      <c r="Z629" s="302"/>
      <c r="AA629" s="302"/>
      <c r="AB629" s="302"/>
      <c r="AC629" s="303"/>
    </row>
    <row r="630" ht="13.5" customHeight="1">
      <c r="A630" s="326"/>
      <c r="B630" s="15"/>
      <c r="C630" s="7"/>
      <c r="D630" s="9"/>
      <c r="E630" s="13"/>
      <c r="F630" s="13"/>
      <c r="G630" s="308"/>
      <c r="H630" s="308"/>
      <c r="I630" s="7"/>
      <c r="J630" s="9"/>
      <c r="K630" s="7"/>
      <c r="L630" s="305"/>
      <c r="M630" s="305"/>
      <c r="N630" s="305"/>
      <c r="O630" s="305"/>
      <c r="P630" s="305"/>
      <c r="Q630" s="305"/>
      <c r="R630" s="305"/>
      <c r="S630" s="305"/>
      <c r="T630" s="305"/>
      <c r="U630" s="305"/>
      <c r="V630" s="305"/>
      <c r="W630" s="305"/>
      <c r="X630" s="305"/>
      <c r="Y630" s="305"/>
      <c r="Z630" s="305"/>
      <c r="AA630" s="305"/>
      <c r="AB630" s="305"/>
      <c r="AC630" s="307"/>
    </row>
    <row r="631" ht="13.5" customHeight="1">
      <c r="A631" s="312"/>
      <c r="B631" s="301"/>
      <c r="C631" s="301"/>
      <c r="D631" s="301"/>
      <c r="E631" s="301"/>
      <c r="F631" s="301"/>
      <c r="G631" s="301"/>
      <c r="H631" s="301"/>
      <c r="I631" s="301"/>
      <c r="J631" s="301"/>
      <c r="K631" s="301"/>
      <c r="L631" s="302"/>
      <c r="M631" s="302"/>
      <c r="N631" s="302"/>
      <c r="O631" s="302"/>
      <c r="P631" s="302"/>
      <c r="Q631" s="302"/>
      <c r="R631" s="302"/>
      <c r="S631" s="302"/>
      <c r="T631" s="302"/>
      <c r="U631" s="302"/>
      <c r="V631" s="302"/>
      <c r="W631" s="302"/>
      <c r="X631" s="302"/>
      <c r="Y631" s="302"/>
      <c r="Z631" s="302"/>
      <c r="AA631" s="302"/>
      <c r="AB631" s="302"/>
      <c r="AC631" s="303"/>
    </row>
    <row r="632" ht="13.5" customHeight="1">
      <c r="A632" s="326"/>
      <c r="B632" s="15"/>
      <c r="C632" s="7"/>
      <c r="D632" s="9"/>
      <c r="E632" s="13"/>
      <c r="F632" s="13"/>
      <c r="G632" s="308"/>
      <c r="H632" s="308"/>
      <c r="I632" s="7"/>
      <c r="J632" s="9"/>
      <c r="K632" s="7"/>
      <c r="L632" s="305"/>
      <c r="M632" s="305"/>
      <c r="N632" s="305"/>
      <c r="O632" s="305"/>
      <c r="P632" s="305"/>
      <c r="Q632" s="305"/>
      <c r="R632" s="305"/>
      <c r="S632" s="305"/>
      <c r="T632" s="305"/>
      <c r="U632" s="305"/>
      <c r="V632" s="305"/>
      <c r="W632" s="305"/>
      <c r="X632" s="305"/>
      <c r="Y632" s="305"/>
      <c r="Z632" s="305"/>
      <c r="AA632" s="305"/>
      <c r="AB632" s="305"/>
      <c r="AC632" s="307"/>
    </row>
    <row r="633" ht="13.5" customHeight="1">
      <c r="A633" s="312"/>
      <c r="B633" s="301"/>
      <c r="C633" s="301"/>
      <c r="D633" s="301"/>
      <c r="E633" s="301"/>
      <c r="F633" s="301"/>
      <c r="G633" s="301"/>
      <c r="H633" s="301"/>
      <c r="I633" s="301"/>
      <c r="J633" s="301"/>
      <c r="K633" s="301"/>
      <c r="L633" s="302"/>
      <c r="M633" s="302"/>
      <c r="N633" s="302"/>
      <c r="O633" s="302"/>
      <c r="P633" s="302"/>
      <c r="Q633" s="302"/>
      <c r="R633" s="302"/>
      <c r="S633" s="302"/>
      <c r="T633" s="302"/>
      <c r="U633" s="302"/>
      <c r="V633" s="302"/>
      <c r="W633" s="302"/>
      <c r="X633" s="302"/>
      <c r="Y633" s="302"/>
      <c r="Z633" s="302"/>
      <c r="AA633" s="302"/>
      <c r="AB633" s="302"/>
      <c r="AC633" s="303"/>
    </row>
    <row r="634" ht="13.5" customHeight="1">
      <c r="A634" s="326"/>
      <c r="B634" s="15"/>
      <c r="C634" s="7"/>
      <c r="D634" s="9"/>
      <c r="E634" s="13"/>
      <c r="F634" s="13"/>
      <c r="G634" s="308"/>
      <c r="H634" s="308"/>
      <c r="I634" s="7"/>
      <c r="J634" s="9"/>
      <c r="K634" s="7"/>
      <c r="L634" s="305"/>
      <c r="M634" s="305"/>
      <c r="N634" s="305"/>
      <c r="O634" s="305"/>
      <c r="P634" s="305"/>
      <c r="Q634" s="305"/>
      <c r="R634" s="305"/>
      <c r="S634" s="305"/>
      <c r="T634" s="305"/>
      <c r="U634" s="305"/>
      <c r="V634" s="305"/>
      <c r="W634" s="305"/>
      <c r="X634" s="305"/>
      <c r="Y634" s="305"/>
      <c r="Z634" s="305"/>
      <c r="AA634" s="305"/>
      <c r="AB634" s="305"/>
      <c r="AC634" s="307"/>
    </row>
    <row r="635" ht="13.5" customHeight="1">
      <c r="A635" s="312"/>
      <c r="B635" s="301"/>
      <c r="C635" s="301"/>
      <c r="D635" s="301"/>
      <c r="E635" s="301"/>
      <c r="F635" s="301"/>
      <c r="G635" s="301"/>
      <c r="H635" s="301"/>
      <c r="I635" s="301"/>
      <c r="J635" s="301"/>
      <c r="K635" s="301"/>
      <c r="L635" s="302"/>
      <c r="M635" s="302"/>
      <c r="N635" s="302"/>
      <c r="O635" s="302"/>
      <c r="P635" s="302"/>
      <c r="Q635" s="302"/>
      <c r="R635" s="302"/>
      <c r="S635" s="302"/>
      <c r="T635" s="302"/>
      <c r="U635" s="302"/>
      <c r="V635" s="302"/>
      <c r="W635" s="302"/>
      <c r="X635" s="302"/>
      <c r="Y635" s="302"/>
      <c r="Z635" s="302"/>
      <c r="AA635" s="302"/>
      <c r="AB635" s="302"/>
      <c r="AC635" s="303"/>
    </row>
    <row r="636" ht="13.5" customHeight="1">
      <c r="A636" s="326"/>
      <c r="B636" s="15"/>
      <c r="C636" s="7"/>
      <c r="D636" s="9"/>
      <c r="E636" s="13"/>
      <c r="F636" s="13"/>
      <c r="G636" s="308"/>
      <c r="H636" s="308"/>
      <c r="I636" s="7"/>
      <c r="J636" s="9"/>
      <c r="K636" s="7"/>
      <c r="L636" s="305"/>
      <c r="M636" s="305"/>
      <c r="N636" s="305"/>
      <c r="O636" s="305"/>
      <c r="P636" s="305"/>
      <c r="Q636" s="305"/>
      <c r="R636" s="305"/>
      <c r="S636" s="305"/>
      <c r="T636" s="305"/>
      <c r="U636" s="305"/>
      <c r="V636" s="305"/>
      <c r="W636" s="305"/>
      <c r="X636" s="305"/>
      <c r="Y636" s="305"/>
      <c r="Z636" s="305"/>
      <c r="AA636" s="305"/>
      <c r="AB636" s="305"/>
      <c r="AC636" s="307"/>
    </row>
    <row r="637" ht="13.5" customHeight="1">
      <c r="A637" s="312"/>
      <c r="B637" s="301"/>
      <c r="C637" s="301"/>
      <c r="D637" s="301"/>
      <c r="E637" s="301"/>
      <c r="F637" s="301"/>
      <c r="G637" s="301"/>
      <c r="H637" s="301"/>
      <c r="I637" s="301"/>
      <c r="J637" s="301"/>
      <c r="K637" s="301"/>
      <c r="L637" s="302"/>
      <c r="M637" s="302"/>
      <c r="N637" s="302"/>
      <c r="O637" s="302"/>
      <c r="P637" s="302"/>
      <c r="Q637" s="302"/>
      <c r="R637" s="302"/>
      <c r="S637" s="302"/>
      <c r="T637" s="302"/>
      <c r="U637" s="302"/>
      <c r="V637" s="302"/>
      <c r="W637" s="302"/>
      <c r="X637" s="302"/>
      <c r="Y637" s="302"/>
      <c r="Z637" s="302"/>
      <c r="AA637" s="302"/>
      <c r="AB637" s="302"/>
      <c r="AC637" s="303"/>
    </row>
    <row r="638" ht="13.5" customHeight="1">
      <c r="A638" s="326"/>
      <c r="B638" s="15"/>
      <c r="C638" s="7"/>
      <c r="D638" s="9"/>
      <c r="E638" s="13"/>
      <c r="F638" s="13"/>
      <c r="G638" s="308"/>
      <c r="H638" s="308"/>
      <c r="I638" s="7"/>
      <c r="J638" s="9"/>
      <c r="K638" s="7"/>
      <c r="L638" s="305"/>
      <c r="M638" s="305"/>
      <c r="N638" s="305"/>
      <c r="O638" s="305"/>
      <c r="P638" s="305"/>
      <c r="Q638" s="305"/>
      <c r="R638" s="305"/>
      <c r="S638" s="305"/>
      <c r="T638" s="305"/>
      <c r="U638" s="305"/>
      <c r="V638" s="305"/>
      <c r="W638" s="305"/>
      <c r="X638" s="305"/>
      <c r="Y638" s="305"/>
      <c r="Z638" s="305"/>
      <c r="AA638" s="305"/>
      <c r="AB638" s="305"/>
      <c r="AC638" s="307"/>
    </row>
    <row r="639" ht="13.5" customHeight="1">
      <c r="A639" s="312"/>
      <c r="B639" s="301"/>
      <c r="C639" s="301"/>
      <c r="D639" s="301"/>
      <c r="E639" s="301"/>
      <c r="F639" s="301"/>
      <c r="G639" s="301"/>
      <c r="H639" s="301"/>
      <c r="I639" s="301"/>
      <c r="J639" s="301"/>
      <c r="K639" s="301"/>
      <c r="L639" s="302"/>
      <c r="M639" s="302"/>
      <c r="N639" s="302"/>
      <c r="O639" s="302"/>
      <c r="P639" s="302"/>
      <c r="Q639" s="302"/>
      <c r="R639" s="302"/>
      <c r="S639" s="302"/>
      <c r="T639" s="302"/>
      <c r="U639" s="302"/>
      <c r="V639" s="302"/>
      <c r="W639" s="302"/>
      <c r="X639" s="302"/>
      <c r="Y639" s="302"/>
      <c r="Z639" s="302"/>
      <c r="AA639" s="302"/>
      <c r="AB639" s="302"/>
      <c r="AC639" s="303"/>
    </row>
    <row r="640" ht="13.5" customHeight="1">
      <c r="A640" s="326"/>
      <c r="B640" s="15"/>
      <c r="C640" s="7"/>
      <c r="D640" s="9"/>
      <c r="E640" s="13"/>
      <c r="F640" s="13"/>
      <c r="G640" s="308"/>
      <c r="H640" s="308"/>
      <c r="I640" s="7"/>
      <c r="J640" s="9"/>
      <c r="K640" s="7"/>
      <c r="L640" s="305"/>
      <c r="M640" s="305"/>
      <c r="N640" s="305"/>
      <c r="O640" s="305"/>
      <c r="P640" s="305"/>
      <c r="Q640" s="305"/>
      <c r="R640" s="305"/>
      <c r="S640" s="305"/>
      <c r="T640" s="305"/>
      <c r="U640" s="305"/>
      <c r="V640" s="305"/>
      <c r="W640" s="305"/>
      <c r="X640" s="305"/>
      <c r="Y640" s="305"/>
      <c r="Z640" s="305"/>
      <c r="AA640" s="305"/>
      <c r="AB640" s="305"/>
      <c r="AC640" s="307"/>
    </row>
    <row r="641" ht="13.5" customHeight="1">
      <c r="A641" s="312"/>
      <c r="B641" s="301"/>
      <c r="C641" s="301"/>
      <c r="D641" s="301"/>
      <c r="E641" s="301"/>
      <c r="F641" s="301"/>
      <c r="G641" s="301"/>
      <c r="H641" s="301"/>
      <c r="I641" s="301"/>
      <c r="J641" s="301"/>
      <c r="K641" s="301"/>
      <c r="L641" s="302"/>
      <c r="M641" s="302"/>
      <c r="N641" s="302"/>
      <c r="O641" s="302"/>
      <c r="P641" s="302"/>
      <c r="Q641" s="302"/>
      <c r="R641" s="302"/>
      <c r="S641" s="302"/>
      <c r="T641" s="302"/>
      <c r="U641" s="302"/>
      <c r="V641" s="302"/>
      <c r="W641" s="302"/>
      <c r="X641" s="302"/>
      <c r="Y641" s="302"/>
      <c r="Z641" s="302"/>
      <c r="AA641" s="302"/>
      <c r="AB641" s="302"/>
      <c r="AC641" s="303"/>
    </row>
    <row r="642" ht="13.5" customHeight="1">
      <c r="A642" s="326"/>
      <c r="B642" s="15"/>
      <c r="C642" s="7"/>
      <c r="D642" s="9"/>
      <c r="E642" s="13"/>
      <c r="F642" s="13"/>
      <c r="G642" s="308"/>
      <c r="H642" s="308"/>
      <c r="I642" s="7"/>
      <c r="J642" s="9"/>
      <c r="K642" s="7"/>
      <c r="L642" s="305"/>
      <c r="M642" s="305"/>
      <c r="N642" s="305"/>
      <c r="O642" s="305"/>
      <c r="P642" s="305"/>
      <c r="Q642" s="305"/>
      <c r="R642" s="305"/>
      <c r="S642" s="305"/>
      <c r="T642" s="305"/>
      <c r="U642" s="305"/>
      <c r="V642" s="305"/>
      <c r="W642" s="305"/>
      <c r="X642" s="305"/>
      <c r="Y642" s="305"/>
      <c r="Z642" s="305"/>
      <c r="AA642" s="305"/>
      <c r="AB642" s="305"/>
      <c r="AC642" s="307"/>
    </row>
    <row r="643" ht="13.5" customHeight="1">
      <c r="A643" s="312"/>
      <c r="B643" s="301"/>
      <c r="C643" s="301"/>
      <c r="D643" s="301"/>
      <c r="E643" s="301"/>
      <c r="F643" s="301"/>
      <c r="G643" s="301"/>
      <c r="H643" s="301"/>
      <c r="I643" s="301"/>
      <c r="J643" s="301"/>
      <c r="K643" s="301"/>
      <c r="L643" s="302"/>
      <c r="M643" s="302"/>
      <c r="N643" s="302"/>
      <c r="O643" s="302"/>
      <c r="P643" s="302"/>
      <c r="Q643" s="302"/>
      <c r="R643" s="302"/>
      <c r="S643" s="302"/>
      <c r="T643" s="302"/>
      <c r="U643" s="302"/>
      <c r="V643" s="302"/>
      <c r="W643" s="302"/>
      <c r="X643" s="302"/>
      <c r="Y643" s="302"/>
      <c r="Z643" s="302"/>
      <c r="AA643" s="302"/>
      <c r="AB643" s="302"/>
      <c r="AC643" s="303"/>
    </row>
    <row r="644" ht="13.5" customHeight="1">
      <c r="A644" s="326"/>
      <c r="B644" s="15"/>
      <c r="C644" s="7"/>
      <c r="D644" s="9"/>
      <c r="E644" s="13"/>
      <c r="F644" s="13"/>
      <c r="G644" s="308"/>
      <c r="H644" s="308"/>
      <c r="I644" s="7"/>
      <c r="J644" s="9"/>
      <c r="K644" s="7"/>
      <c r="L644" s="305"/>
      <c r="M644" s="305"/>
      <c r="N644" s="305"/>
      <c r="O644" s="305"/>
      <c r="P644" s="305"/>
      <c r="Q644" s="305"/>
      <c r="R644" s="305"/>
      <c r="S644" s="305"/>
      <c r="T644" s="305"/>
      <c r="U644" s="305"/>
      <c r="V644" s="305"/>
      <c r="W644" s="305"/>
      <c r="X644" s="305"/>
      <c r="Y644" s="305"/>
      <c r="Z644" s="305"/>
      <c r="AA644" s="305"/>
      <c r="AB644" s="305"/>
      <c r="AC644" s="307"/>
    </row>
    <row r="645" ht="13.5" customHeight="1">
      <c r="A645" s="312"/>
      <c r="B645" s="301"/>
      <c r="C645" s="301"/>
      <c r="D645" s="301"/>
      <c r="E645" s="301"/>
      <c r="F645" s="301"/>
      <c r="G645" s="301"/>
      <c r="H645" s="301"/>
      <c r="I645" s="301"/>
      <c r="J645" s="301"/>
      <c r="K645" s="301"/>
      <c r="L645" s="302"/>
      <c r="M645" s="302"/>
      <c r="N645" s="302"/>
      <c r="O645" s="302"/>
      <c r="P645" s="302"/>
      <c r="Q645" s="302"/>
      <c r="R645" s="302"/>
      <c r="S645" s="302"/>
      <c r="T645" s="302"/>
      <c r="U645" s="302"/>
      <c r="V645" s="302"/>
      <c r="W645" s="302"/>
      <c r="X645" s="302"/>
      <c r="Y645" s="302"/>
      <c r="Z645" s="302"/>
      <c r="AA645" s="302"/>
      <c r="AB645" s="302"/>
      <c r="AC645" s="303"/>
    </row>
    <row r="646" ht="13.5" customHeight="1">
      <c r="A646" s="326"/>
      <c r="B646" s="15"/>
      <c r="C646" s="7"/>
      <c r="D646" s="9"/>
      <c r="E646" s="13"/>
      <c r="F646" s="13"/>
      <c r="G646" s="308"/>
      <c r="H646" s="308"/>
      <c r="I646" s="7"/>
      <c r="J646" s="9"/>
      <c r="K646" s="7"/>
      <c r="L646" s="305"/>
      <c r="M646" s="305"/>
      <c r="N646" s="305"/>
      <c r="O646" s="305"/>
      <c r="P646" s="305"/>
      <c r="Q646" s="305"/>
      <c r="R646" s="305"/>
      <c r="S646" s="305"/>
      <c r="T646" s="305"/>
      <c r="U646" s="305"/>
      <c r="V646" s="305"/>
      <c r="W646" s="305"/>
      <c r="X646" s="305"/>
      <c r="Y646" s="305"/>
      <c r="Z646" s="305"/>
      <c r="AA646" s="305"/>
      <c r="AB646" s="305"/>
      <c r="AC646" s="307"/>
    </row>
    <row r="647" ht="13.5" customHeight="1">
      <c r="A647" s="312"/>
      <c r="B647" s="301"/>
      <c r="C647" s="301"/>
      <c r="D647" s="301"/>
      <c r="E647" s="301"/>
      <c r="F647" s="301"/>
      <c r="G647" s="301"/>
      <c r="H647" s="301"/>
      <c r="I647" s="301"/>
      <c r="J647" s="301"/>
      <c r="K647" s="301"/>
      <c r="L647" s="302"/>
      <c r="M647" s="302"/>
      <c r="N647" s="302"/>
      <c r="O647" s="302"/>
      <c r="P647" s="302"/>
      <c r="Q647" s="302"/>
      <c r="R647" s="302"/>
      <c r="S647" s="302"/>
      <c r="T647" s="302"/>
      <c r="U647" s="302"/>
      <c r="V647" s="302"/>
      <c r="W647" s="302"/>
      <c r="X647" s="302"/>
      <c r="Y647" s="302"/>
      <c r="Z647" s="302"/>
      <c r="AA647" s="302"/>
      <c r="AB647" s="302"/>
      <c r="AC647" s="303"/>
    </row>
    <row r="648" ht="13.5" customHeight="1">
      <c r="A648" s="326"/>
      <c r="B648" s="15"/>
      <c r="C648" s="7"/>
      <c r="D648" s="9"/>
      <c r="E648" s="13"/>
      <c r="F648" s="13"/>
      <c r="G648" s="308"/>
      <c r="H648" s="308"/>
      <c r="I648" s="7"/>
      <c r="J648" s="9"/>
      <c r="K648" s="7"/>
      <c r="L648" s="305"/>
      <c r="M648" s="305"/>
      <c r="N648" s="305"/>
      <c r="O648" s="305"/>
      <c r="P648" s="305"/>
      <c r="Q648" s="305"/>
      <c r="R648" s="305"/>
      <c r="S648" s="305"/>
      <c r="T648" s="305"/>
      <c r="U648" s="305"/>
      <c r="V648" s="305"/>
      <c r="W648" s="305"/>
      <c r="X648" s="305"/>
      <c r="Y648" s="305"/>
      <c r="Z648" s="305"/>
      <c r="AA648" s="305"/>
      <c r="AB648" s="305"/>
      <c r="AC648" s="307"/>
    </row>
    <row r="649" ht="13.5" customHeight="1">
      <c r="A649" s="312"/>
      <c r="B649" s="301"/>
      <c r="C649" s="301"/>
      <c r="D649" s="301"/>
      <c r="E649" s="301"/>
      <c r="F649" s="301"/>
      <c r="G649" s="301"/>
      <c r="H649" s="301"/>
      <c r="I649" s="301"/>
      <c r="J649" s="301"/>
      <c r="K649" s="301"/>
      <c r="L649" s="302"/>
      <c r="M649" s="302"/>
      <c r="N649" s="302"/>
      <c r="O649" s="302"/>
      <c r="P649" s="302"/>
      <c r="Q649" s="302"/>
      <c r="R649" s="302"/>
      <c r="S649" s="302"/>
      <c r="T649" s="302"/>
      <c r="U649" s="302"/>
      <c r="V649" s="302"/>
      <c r="W649" s="302"/>
      <c r="X649" s="302"/>
      <c r="Y649" s="302"/>
      <c r="Z649" s="302"/>
      <c r="AA649" s="302"/>
      <c r="AB649" s="302"/>
      <c r="AC649" s="303"/>
    </row>
    <row r="650" ht="13.5" customHeight="1">
      <c r="A650" s="326"/>
      <c r="B650" s="15"/>
      <c r="C650" s="7"/>
      <c r="D650" s="9"/>
      <c r="E650" s="13"/>
      <c r="F650" s="13"/>
      <c r="G650" s="308"/>
      <c r="H650" s="308"/>
      <c r="I650" s="7"/>
      <c r="J650" s="9"/>
      <c r="K650" s="7"/>
      <c r="L650" s="305"/>
      <c r="M650" s="305"/>
      <c r="N650" s="305"/>
      <c r="O650" s="305"/>
      <c r="P650" s="305"/>
      <c r="Q650" s="305"/>
      <c r="R650" s="305"/>
      <c r="S650" s="305"/>
      <c r="T650" s="305"/>
      <c r="U650" s="305"/>
      <c r="V650" s="305"/>
      <c r="W650" s="305"/>
      <c r="X650" s="305"/>
      <c r="Y650" s="305"/>
      <c r="Z650" s="305"/>
      <c r="AA650" s="305"/>
      <c r="AB650" s="305"/>
      <c r="AC650" s="307"/>
    </row>
    <row r="651" ht="13.5" customHeight="1">
      <c r="A651" s="312"/>
      <c r="B651" s="301"/>
      <c r="C651" s="301"/>
      <c r="D651" s="301"/>
      <c r="E651" s="301"/>
      <c r="F651" s="301"/>
      <c r="G651" s="301"/>
      <c r="H651" s="301"/>
      <c r="I651" s="301"/>
      <c r="J651" s="301"/>
      <c r="K651" s="301"/>
      <c r="L651" s="302"/>
      <c r="M651" s="302"/>
      <c r="N651" s="302"/>
      <c r="O651" s="302"/>
      <c r="P651" s="302"/>
      <c r="Q651" s="302"/>
      <c r="R651" s="302"/>
      <c r="S651" s="302"/>
      <c r="T651" s="302"/>
      <c r="U651" s="302"/>
      <c r="V651" s="302"/>
      <c r="W651" s="302"/>
      <c r="X651" s="302"/>
      <c r="Y651" s="302"/>
      <c r="Z651" s="302"/>
      <c r="AA651" s="302"/>
      <c r="AB651" s="302"/>
      <c r="AC651" s="303"/>
    </row>
    <row r="652" ht="13.5" customHeight="1">
      <c r="A652" s="326"/>
      <c r="B652" s="15"/>
      <c r="C652" s="7"/>
      <c r="D652" s="9"/>
      <c r="E652" s="13"/>
      <c r="F652" s="13"/>
      <c r="G652" s="308"/>
      <c r="H652" s="308"/>
      <c r="I652" s="7"/>
      <c r="J652" s="9"/>
      <c r="K652" s="7"/>
      <c r="L652" s="305"/>
      <c r="M652" s="305"/>
      <c r="N652" s="305"/>
      <c r="O652" s="305"/>
      <c r="P652" s="305"/>
      <c r="Q652" s="305"/>
      <c r="R652" s="305"/>
      <c r="S652" s="305"/>
      <c r="T652" s="305"/>
      <c r="U652" s="305"/>
      <c r="V652" s="305"/>
      <c r="W652" s="305"/>
      <c r="X652" s="305"/>
      <c r="Y652" s="305"/>
      <c r="Z652" s="305"/>
      <c r="AA652" s="305"/>
      <c r="AB652" s="305"/>
      <c r="AC652" s="307"/>
    </row>
    <row r="653" ht="13.5" customHeight="1">
      <c r="A653" s="312"/>
      <c r="B653" s="301"/>
      <c r="C653" s="301"/>
      <c r="D653" s="301"/>
      <c r="E653" s="301"/>
      <c r="F653" s="301"/>
      <c r="G653" s="301"/>
      <c r="H653" s="301"/>
      <c r="I653" s="301"/>
      <c r="J653" s="301"/>
      <c r="K653" s="301"/>
      <c r="L653" s="302"/>
      <c r="M653" s="302"/>
      <c r="N653" s="302"/>
      <c r="O653" s="302"/>
      <c r="P653" s="302"/>
      <c r="Q653" s="302"/>
      <c r="R653" s="302"/>
      <c r="S653" s="302"/>
      <c r="T653" s="302"/>
      <c r="U653" s="302"/>
      <c r="V653" s="302"/>
      <c r="W653" s="302"/>
      <c r="X653" s="302"/>
      <c r="Y653" s="302"/>
      <c r="Z653" s="302"/>
      <c r="AA653" s="302"/>
      <c r="AB653" s="302"/>
      <c r="AC653" s="303"/>
    </row>
    <row r="654" ht="13.5" customHeight="1">
      <c r="A654" s="326"/>
      <c r="B654" s="15"/>
      <c r="C654" s="7"/>
      <c r="D654" s="9"/>
      <c r="E654" s="13"/>
      <c r="F654" s="13"/>
      <c r="G654" s="308"/>
      <c r="H654" s="308"/>
      <c r="I654" s="7"/>
      <c r="J654" s="9"/>
      <c r="K654" s="7"/>
      <c r="L654" s="305"/>
      <c r="M654" s="305"/>
      <c r="N654" s="305"/>
      <c r="O654" s="305"/>
      <c r="P654" s="305"/>
      <c r="Q654" s="305"/>
      <c r="R654" s="305"/>
      <c r="S654" s="305"/>
      <c r="T654" s="305"/>
      <c r="U654" s="305"/>
      <c r="V654" s="305"/>
      <c r="W654" s="305"/>
      <c r="X654" s="305"/>
      <c r="Y654" s="305"/>
      <c r="Z654" s="305"/>
      <c r="AA654" s="305"/>
      <c r="AB654" s="305"/>
      <c r="AC654" s="307"/>
    </row>
    <row r="655" ht="13.5" customHeight="1">
      <c r="A655" s="312"/>
      <c r="B655" s="301"/>
      <c r="C655" s="301"/>
      <c r="D655" s="301"/>
      <c r="E655" s="301"/>
      <c r="F655" s="301"/>
      <c r="G655" s="301"/>
      <c r="H655" s="301"/>
      <c r="I655" s="301"/>
      <c r="J655" s="301"/>
      <c r="K655" s="301"/>
      <c r="L655" s="302"/>
      <c r="M655" s="302"/>
      <c r="N655" s="302"/>
      <c r="O655" s="302"/>
      <c r="P655" s="302"/>
      <c r="Q655" s="302"/>
      <c r="R655" s="302"/>
      <c r="S655" s="302"/>
      <c r="T655" s="302"/>
      <c r="U655" s="302"/>
      <c r="V655" s="302"/>
      <c r="W655" s="302"/>
      <c r="X655" s="302"/>
      <c r="Y655" s="302"/>
      <c r="Z655" s="302"/>
      <c r="AA655" s="302"/>
      <c r="AB655" s="302"/>
      <c r="AC655" s="303"/>
    </row>
    <row r="656" ht="13.5" customHeight="1">
      <c r="A656" s="326"/>
      <c r="B656" s="15"/>
      <c r="C656" s="7"/>
      <c r="D656" s="9"/>
      <c r="E656" s="13"/>
      <c r="F656" s="13"/>
      <c r="G656" s="308"/>
      <c r="H656" s="308"/>
      <c r="I656" s="7"/>
      <c r="J656" s="9"/>
      <c r="K656" s="7"/>
      <c r="L656" s="305"/>
      <c r="M656" s="305"/>
      <c r="N656" s="305"/>
      <c r="O656" s="305"/>
      <c r="P656" s="305"/>
      <c r="Q656" s="305"/>
      <c r="R656" s="305"/>
      <c r="S656" s="305"/>
      <c r="T656" s="305"/>
      <c r="U656" s="305"/>
      <c r="V656" s="305"/>
      <c r="W656" s="305"/>
      <c r="X656" s="305"/>
      <c r="Y656" s="305"/>
      <c r="Z656" s="305"/>
      <c r="AA656" s="305"/>
      <c r="AB656" s="305"/>
      <c r="AC656" s="307"/>
    </row>
    <row r="657" ht="13.5" customHeight="1">
      <c r="A657" s="312"/>
      <c r="B657" s="301"/>
      <c r="C657" s="301"/>
      <c r="D657" s="301"/>
      <c r="E657" s="301"/>
      <c r="F657" s="301"/>
      <c r="G657" s="301"/>
      <c r="H657" s="301"/>
      <c r="I657" s="301"/>
      <c r="J657" s="301"/>
      <c r="K657" s="301"/>
      <c r="L657" s="302"/>
      <c r="M657" s="302"/>
      <c r="N657" s="302"/>
      <c r="O657" s="302"/>
      <c r="P657" s="302"/>
      <c r="Q657" s="302"/>
      <c r="R657" s="302"/>
      <c r="S657" s="302"/>
      <c r="T657" s="302"/>
      <c r="U657" s="302"/>
      <c r="V657" s="302"/>
      <c r="W657" s="302"/>
      <c r="X657" s="302"/>
      <c r="Y657" s="302"/>
      <c r="Z657" s="302"/>
      <c r="AA657" s="302"/>
      <c r="AB657" s="302"/>
      <c r="AC657" s="303"/>
    </row>
    <row r="658" ht="13.5" customHeight="1">
      <c r="A658" s="326"/>
      <c r="B658" s="15"/>
      <c r="C658" s="7"/>
      <c r="D658" s="9"/>
      <c r="E658" s="13"/>
      <c r="F658" s="13"/>
      <c r="G658" s="308"/>
      <c r="H658" s="308"/>
      <c r="I658" s="7"/>
      <c r="J658" s="9"/>
      <c r="K658" s="7"/>
      <c r="L658" s="305"/>
      <c r="M658" s="305"/>
      <c r="N658" s="305"/>
      <c r="O658" s="305"/>
      <c r="P658" s="305"/>
      <c r="Q658" s="305"/>
      <c r="R658" s="305"/>
      <c r="S658" s="305"/>
      <c r="T658" s="305"/>
      <c r="U658" s="305"/>
      <c r="V658" s="305"/>
      <c r="W658" s="305"/>
      <c r="X658" s="305"/>
      <c r="Y658" s="305"/>
      <c r="Z658" s="305"/>
      <c r="AA658" s="305"/>
      <c r="AB658" s="305"/>
      <c r="AC658" s="307"/>
    </row>
    <row r="659" ht="13.5" customHeight="1">
      <c r="A659" s="312"/>
      <c r="B659" s="301"/>
      <c r="C659" s="301"/>
      <c r="D659" s="301"/>
      <c r="E659" s="301"/>
      <c r="F659" s="301"/>
      <c r="G659" s="301"/>
      <c r="H659" s="301"/>
      <c r="I659" s="301"/>
      <c r="J659" s="301"/>
      <c r="K659" s="301"/>
      <c r="L659" s="302"/>
      <c r="M659" s="302"/>
      <c r="N659" s="302"/>
      <c r="O659" s="302"/>
      <c r="P659" s="302"/>
      <c r="Q659" s="302"/>
      <c r="R659" s="302"/>
      <c r="S659" s="302"/>
      <c r="T659" s="302"/>
      <c r="U659" s="302"/>
      <c r="V659" s="302"/>
      <c r="W659" s="302"/>
      <c r="X659" s="302"/>
      <c r="Y659" s="302"/>
      <c r="Z659" s="302"/>
      <c r="AA659" s="302"/>
      <c r="AB659" s="302"/>
      <c r="AC659" s="303"/>
    </row>
    <row r="660" ht="13.5" customHeight="1">
      <c r="A660" s="326"/>
      <c r="B660" s="15"/>
      <c r="C660" s="7"/>
      <c r="D660" s="9"/>
      <c r="E660" s="13"/>
      <c r="F660" s="13"/>
      <c r="G660" s="308"/>
      <c r="H660" s="308"/>
      <c r="I660" s="7"/>
      <c r="J660" s="9"/>
      <c r="K660" s="7"/>
      <c r="L660" s="305"/>
      <c r="M660" s="305"/>
      <c r="N660" s="305"/>
      <c r="O660" s="305"/>
      <c r="P660" s="305"/>
      <c r="Q660" s="305"/>
      <c r="R660" s="305"/>
      <c r="S660" s="305"/>
      <c r="T660" s="305"/>
      <c r="U660" s="305"/>
      <c r="V660" s="305"/>
      <c r="W660" s="305"/>
      <c r="X660" s="305"/>
      <c r="Y660" s="305"/>
      <c r="Z660" s="305"/>
      <c r="AA660" s="305"/>
      <c r="AB660" s="305"/>
      <c r="AC660" s="307"/>
    </row>
    <row r="661" ht="13.5" customHeight="1">
      <c r="A661" s="312"/>
      <c r="B661" s="301"/>
      <c r="C661" s="301"/>
      <c r="D661" s="301"/>
      <c r="E661" s="301"/>
      <c r="F661" s="301"/>
      <c r="G661" s="301"/>
      <c r="H661" s="301"/>
      <c r="I661" s="301"/>
      <c r="J661" s="301"/>
      <c r="K661" s="301"/>
      <c r="L661" s="302"/>
      <c r="M661" s="302"/>
      <c r="N661" s="302"/>
      <c r="O661" s="302"/>
      <c r="P661" s="302"/>
      <c r="Q661" s="302"/>
      <c r="R661" s="302"/>
      <c r="S661" s="302"/>
      <c r="T661" s="302"/>
      <c r="U661" s="302"/>
      <c r="V661" s="302"/>
      <c r="W661" s="302"/>
      <c r="X661" s="302"/>
      <c r="Y661" s="302"/>
      <c r="Z661" s="302"/>
      <c r="AA661" s="302"/>
      <c r="AB661" s="302"/>
      <c r="AC661" s="303"/>
    </row>
    <row r="662" ht="13.5" customHeight="1">
      <c r="A662" s="326"/>
      <c r="B662" s="15"/>
      <c r="C662" s="7"/>
      <c r="D662" s="9"/>
      <c r="E662" s="13"/>
      <c r="F662" s="13"/>
      <c r="G662" s="308"/>
      <c r="H662" s="308"/>
      <c r="I662" s="7"/>
      <c r="J662" s="9"/>
      <c r="K662" s="7"/>
      <c r="L662" s="305"/>
      <c r="M662" s="305"/>
      <c r="N662" s="305"/>
      <c r="O662" s="305"/>
      <c r="P662" s="305"/>
      <c r="Q662" s="305"/>
      <c r="R662" s="305"/>
      <c r="S662" s="305"/>
      <c r="T662" s="305"/>
      <c r="U662" s="305"/>
      <c r="V662" s="305"/>
      <c r="W662" s="305"/>
      <c r="X662" s="305"/>
      <c r="Y662" s="305"/>
      <c r="Z662" s="305"/>
      <c r="AA662" s="305"/>
      <c r="AB662" s="305"/>
      <c r="AC662" s="307"/>
    </row>
    <row r="663" ht="13.5" customHeight="1">
      <c r="A663" s="312"/>
      <c r="B663" s="301"/>
      <c r="C663" s="301"/>
      <c r="D663" s="301"/>
      <c r="E663" s="301"/>
      <c r="F663" s="301"/>
      <c r="G663" s="301"/>
      <c r="H663" s="301"/>
      <c r="I663" s="301"/>
      <c r="J663" s="301"/>
      <c r="K663" s="301"/>
      <c r="L663" s="302"/>
      <c r="M663" s="302"/>
      <c r="N663" s="302"/>
      <c r="O663" s="302"/>
      <c r="P663" s="302"/>
      <c r="Q663" s="302"/>
      <c r="R663" s="302"/>
      <c r="S663" s="302"/>
      <c r="T663" s="302"/>
      <c r="U663" s="302"/>
      <c r="V663" s="302"/>
      <c r="W663" s="302"/>
      <c r="X663" s="302"/>
      <c r="Y663" s="302"/>
      <c r="Z663" s="302"/>
      <c r="AA663" s="302"/>
      <c r="AB663" s="302"/>
      <c r="AC663" s="303"/>
    </row>
    <row r="664" ht="13.5" customHeight="1">
      <c r="A664" s="326"/>
      <c r="B664" s="15"/>
      <c r="C664" s="7"/>
      <c r="D664" s="9"/>
      <c r="E664" s="13"/>
      <c r="F664" s="13"/>
      <c r="G664" s="308"/>
      <c r="H664" s="308"/>
      <c r="I664" s="7"/>
      <c r="J664" s="9"/>
      <c r="K664" s="7"/>
      <c r="L664" s="305"/>
      <c r="M664" s="305"/>
      <c r="N664" s="305"/>
      <c r="O664" s="305"/>
      <c r="P664" s="305"/>
      <c r="Q664" s="305"/>
      <c r="R664" s="305"/>
      <c r="S664" s="305"/>
      <c r="T664" s="305"/>
      <c r="U664" s="305"/>
      <c r="V664" s="305"/>
      <c r="W664" s="305"/>
      <c r="X664" s="305"/>
      <c r="Y664" s="305"/>
      <c r="Z664" s="305"/>
      <c r="AA664" s="305"/>
      <c r="AB664" s="305"/>
      <c r="AC664" s="307"/>
    </row>
    <row r="665" ht="13.5" customHeight="1">
      <c r="A665" s="312"/>
      <c r="B665" s="301"/>
      <c r="C665" s="301"/>
      <c r="D665" s="301"/>
      <c r="E665" s="301"/>
      <c r="F665" s="301"/>
      <c r="G665" s="301"/>
      <c r="H665" s="301"/>
      <c r="I665" s="301"/>
      <c r="J665" s="301"/>
      <c r="K665" s="301"/>
      <c r="L665" s="302"/>
      <c r="M665" s="302"/>
      <c r="N665" s="302"/>
      <c r="O665" s="302"/>
      <c r="P665" s="302"/>
      <c r="Q665" s="302"/>
      <c r="R665" s="302"/>
      <c r="S665" s="302"/>
      <c r="T665" s="302"/>
      <c r="U665" s="302"/>
      <c r="V665" s="302"/>
      <c r="W665" s="302"/>
      <c r="X665" s="302"/>
      <c r="Y665" s="302"/>
      <c r="Z665" s="302"/>
      <c r="AA665" s="302"/>
      <c r="AB665" s="302"/>
      <c r="AC665" s="303"/>
    </row>
    <row r="666" ht="13.5" customHeight="1">
      <c r="A666" s="326"/>
      <c r="B666" s="15"/>
      <c r="C666" s="7"/>
      <c r="D666" s="9"/>
      <c r="E666" s="13"/>
      <c r="F666" s="13"/>
      <c r="G666" s="308"/>
      <c r="H666" s="308"/>
      <c r="I666" s="7"/>
      <c r="J666" s="9"/>
      <c r="K666" s="7"/>
      <c r="L666" s="305"/>
      <c r="M666" s="305"/>
      <c r="N666" s="305"/>
      <c r="O666" s="305"/>
      <c r="P666" s="305"/>
      <c r="Q666" s="305"/>
      <c r="R666" s="305"/>
      <c r="S666" s="305"/>
      <c r="T666" s="305"/>
      <c r="U666" s="305"/>
      <c r="V666" s="305"/>
      <c r="W666" s="305"/>
      <c r="X666" s="305"/>
      <c r="Y666" s="305"/>
      <c r="Z666" s="305"/>
      <c r="AA666" s="305"/>
      <c r="AB666" s="305"/>
      <c r="AC666" s="307"/>
    </row>
    <row r="667" ht="13.5" customHeight="1">
      <c r="A667" s="312"/>
      <c r="B667" s="301"/>
      <c r="C667" s="301"/>
      <c r="D667" s="301"/>
      <c r="E667" s="301"/>
      <c r="F667" s="301"/>
      <c r="G667" s="301"/>
      <c r="H667" s="301"/>
      <c r="I667" s="301"/>
      <c r="J667" s="301"/>
      <c r="K667" s="301"/>
      <c r="L667" s="302"/>
      <c r="M667" s="302"/>
      <c r="N667" s="302"/>
      <c r="O667" s="302"/>
      <c r="P667" s="302"/>
      <c r="Q667" s="302"/>
      <c r="R667" s="302"/>
      <c r="S667" s="302"/>
      <c r="T667" s="302"/>
      <c r="U667" s="302"/>
      <c r="V667" s="302"/>
      <c r="W667" s="302"/>
      <c r="X667" s="302"/>
      <c r="Y667" s="302"/>
      <c r="Z667" s="302"/>
      <c r="AA667" s="302"/>
      <c r="AB667" s="302"/>
      <c r="AC667" s="303"/>
    </row>
    <row r="668" ht="13.5" customHeight="1">
      <c r="A668" s="326"/>
      <c r="B668" s="15"/>
      <c r="C668" s="7"/>
      <c r="D668" s="9"/>
      <c r="E668" s="13"/>
      <c r="F668" s="13"/>
      <c r="G668" s="308"/>
      <c r="H668" s="308"/>
      <c r="I668" s="7"/>
      <c r="J668" s="9"/>
      <c r="K668" s="7"/>
      <c r="L668" s="305"/>
      <c r="M668" s="305"/>
      <c r="N668" s="305"/>
      <c r="O668" s="305"/>
      <c r="P668" s="305"/>
      <c r="Q668" s="305"/>
      <c r="R668" s="305"/>
      <c r="S668" s="305"/>
      <c r="T668" s="305"/>
      <c r="U668" s="305"/>
      <c r="V668" s="305"/>
      <c r="W668" s="305"/>
      <c r="X668" s="305"/>
      <c r="Y668" s="305"/>
      <c r="Z668" s="305"/>
      <c r="AA668" s="305"/>
      <c r="AB668" s="305"/>
      <c r="AC668" s="307"/>
    </row>
    <row r="669" ht="13.5" customHeight="1">
      <c r="A669" s="312"/>
      <c r="B669" s="301"/>
      <c r="C669" s="301"/>
      <c r="D669" s="301"/>
      <c r="E669" s="301"/>
      <c r="F669" s="301"/>
      <c r="G669" s="301"/>
      <c r="H669" s="301"/>
      <c r="I669" s="301"/>
      <c r="J669" s="301"/>
      <c r="K669" s="301"/>
      <c r="L669" s="302"/>
      <c r="M669" s="302"/>
      <c r="N669" s="302"/>
      <c r="O669" s="302"/>
      <c r="P669" s="302"/>
      <c r="Q669" s="302"/>
      <c r="R669" s="302"/>
      <c r="S669" s="302"/>
      <c r="T669" s="302"/>
      <c r="U669" s="302"/>
      <c r="V669" s="302"/>
      <c r="W669" s="302"/>
      <c r="X669" s="302"/>
      <c r="Y669" s="302"/>
      <c r="Z669" s="302"/>
      <c r="AA669" s="302"/>
      <c r="AB669" s="302"/>
      <c r="AC669" s="303"/>
    </row>
    <row r="670" ht="13.5" customHeight="1">
      <c r="A670" s="326"/>
      <c r="B670" s="15"/>
      <c r="C670" s="7"/>
      <c r="D670" s="9"/>
      <c r="E670" s="13"/>
      <c r="F670" s="13"/>
      <c r="G670" s="308"/>
      <c r="H670" s="308"/>
      <c r="I670" s="7"/>
      <c r="J670" s="9"/>
      <c r="K670" s="7"/>
      <c r="L670" s="305"/>
      <c r="M670" s="305"/>
      <c r="N670" s="305"/>
      <c r="O670" s="305"/>
      <c r="P670" s="305"/>
      <c r="Q670" s="305"/>
      <c r="R670" s="305"/>
      <c r="S670" s="305"/>
      <c r="T670" s="305"/>
      <c r="U670" s="305"/>
      <c r="V670" s="305"/>
      <c r="W670" s="305"/>
      <c r="X670" s="305"/>
      <c r="Y670" s="305"/>
      <c r="Z670" s="305"/>
      <c r="AA670" s="305"/>
      <c r="AB670" s="305"/>
      <c r="AC670" s="307"/>
    </row>
    <row r="671" ht="13.5" customHeight="1">
      <c r="A671" s="312"/>
      <c r="B671" s="301"/>
      <c r="C671" s="301"/>
      <c r="D671" s="301"/>
      <c r="E671" s="301"/>
      <c r="F671" s="301"/>
      <c r="G671" s="301"/>
      <c r="H671" s="301"/>
      <c r="I671" s="301"/>
      <c r="J671" s="301"/>
      <c r="K671" s="301"/>
      <c r="L671" s="302"/>
      <c r="M671" s="302"/>
      <c r="N671" s="302"/>
      <c r="O671" s="302"/>
      <c r="P671" s="302"/>
      <c r="Q671" s="302"/>
      <c r="R671" s="302"/>
      <c r="S671" s="302"/>
      <c r="T671" s="302"/>
      <c r="U671" s="302"/>
      <c r="V671" s="302"/>
      <c r="W671" s="302"/>
      <c r="X671" s="302"/>
      <c r="Y671" s="302"/>
      <c r="Z671" s="302"/>
      <c r="AA671" s="302"/>
      <c r="AB671" s="302"/>
      <c r="AC671" s="303"/>
    </row>
    <row r="672" ht="13.5" customHeight="1">
      <c r="A672" s="326"/>
      <c r="B672" s="15"/>
      <c r="C672" s="7"/>
      <c r="D672" s="9"/>
      <c r="E672" s="13"/>
      <c r="F672" s="13"/>
      <c r="G672" s="308"/>
      <c r="H672" s="308"/>
      <c r="I672" s="7"/>
      <c r="J672" s="9"/>
      <c r="K672" s="7"/>
      <c r="L672" s="305"/>
      <c r="M672" s="305"/>
      <c r="N672" s="305"/>
      <c r="O672" s="305"/>
      <c r="P672" s="305"/>
      <c r="Q672" s="305"/>
      <c r="R672" s="305"/>
      <c r="S672" s="305"/>
      <c r="T672" s="305"/>
      <c r="U672" s="305"/>
      <c r="V672" s="305"/>
      <c r="W672" s="305"/>
      <c r="X672" s="305"/>
      <c r="Y672" s="305"/>
      <c r="Z672" s="305"/>
      <c r="AA672" s="305"/>
      <c r="AB672" s="305"/>
      <c r="AC672" s="307"/>
    </row>
    <row r="673" ht="13.5" customHeight="1">
      <c r="A673" s="312"/>
      <c r="B673" s="301"/>
      <c r="C673" s="301"/>
      <c r="D673" s="301"/>
      <c r="E673" s="301"/>
      <c r="F673" s="301"/>
      <c r="G673" s="301"/>
      <c r="H673" s="301"/>
      <c r="I673" s="301"/>
      <c r="J673" s="301"/>
      <c r="K673" s="301"/>
      <c r="L673" s="302"/>
      <c r="M673" s="302"/>
      <c r="N673" s="302"/>
      <c r="O673" s="302"/>
      <c r="P673" s="302"/>
      <c r="Q673" s="302"/>
      <c r="R673" s="302"/>
      <c r="S673" s="302"/>
      <c r="T673" s="302"/>
      <c r="U673" s="302"/>
      <c r="V673" s="302"/>
      <c r="W673" s="302"/>
      <c r="X673" s="302"/>
      <c r="Y673" s="302"/>
      <c r="Z673" s="302"/>
      <c r="AA673" s="302"/>
      <c r="AB673" s="302"/>
      <c r="AC673" s="303"/>
    </row>
    <row r="674" ht="13.5" customHeight="1">
      <c r="A674" s="326"/>
      <c r="B674" s="15"/>
      <c r="C674" s="7"/>
      <c r="D674" s="9"/>
      <c r="E674" s="13"/>
      <c r="F674" s="13"/>
      <c r="G674" s="308"/>
      <c r="H674" s="308"/>
      <c r="I674" s="7"/>
      <c r="J674" s="9"/>
      <c r="K674" s="7"/>
      <c r="L674" s="305"/>
      <c r="M674" s="305"/>
      <c r="N674" s="305"/>
      <c r="O674" s="305"/>
      <c r="P674" s="305"/>
      <c r="Q674" s="305"/>
      <c r="R674" s="305"/>
      <c r="S674" s="305"/>
      <c r="T674" s="305"/>
      <c r="U674" s="305"/>
      <c r="V674" s="305"/>
      <c r="W674" s="305"/>
      <c r="X674" s="305"/>
      <c r="Y674" s="305"/>
      <c r="Z674" s="305"/>
      <c r="AA674" s="305"/>
      <c r="AB674" s="305"/>
      <c r="AC674" s="307"/>
    </row>
    <row r="675" ht="13.5" customHeight="1">
      <c r="A675" s="312"/>
      <c r="B675" s="301"/>
      <c r="C675" s="301"/>
      <c r="D675" s="301"/>
      <c r="E675" s="301"/>
      <c r="F675" s="301"/>
      <c r="G675" s="301"/>
      <c r="H675" s="301"/>
      <c r="I675" s="301"/>
      <c r="J675" s="301"/>
      <c r="K675" s="301"/>
      <c r="L675" s="302"/>
      <c r="M675" s="302"/>
      <c r="N675" s="302"/>
      <c r="O675" s="302"/>
      <c r="P675" s="302"/>
      <c r="Q675" s="302"/>
      <c r="R675" s="302"/>
      <c r="S675" s="302"/>
      <c r="T675" s="302"/>
      <c r="U675" s="302"/>
      <c r="V675" s="302"/>
      <c r="W675" s="302"/>
      <c r="X675" s="302"/>
      <c r="Y675" s="302"/>
      <c r="Z675" s="302"/>
      <c r="AA675" s="302"/>
      <c r="AB675" s="302"/>
      <c r="AC675" s="303"/>
    </row>
    <row r="676" ht="13.5" customHeight="1">
      <c r="A676" s="326"/>
      <c r="B676" s="15"/>
      <c r="C676" s="7"/>
      <c r="D676" s="9"/>
      <c r="E676" s="13"/>
      <c r="F676" s="13"/>
      <c r="G676" s="308"/>
      <c r="H676" s="308"/>
      <c r="I676" s="7"/>
      <c r="J676" s="9"/>
      <c r="K676" s="7"/>
      <c r="L676" s="305"/>
      <c r="M676" s="305"/>
      <c r="N676" s="305"/>
      <c r="O676" s="305"/>
      <c r="P676" s="305"/>
      <c r="Q676" s="305"/>
      <c r="R676" s="305"/>
      <c r="S676" s="305"/>
      <c r="T676" s="305"/>
      <c r="U676" s="305"/>
      <c r="V676" s="305"/>
      <c r="W676" s="305"/>
      <c r="X676" s="305"/>
      <c r="Y676" s="305"/>
      <c r="Z676" s="305"/>
      <c r="AA676" s="305"/>
      <c r="AB676" s="305"/>
      <c r="AC676" s="307"/>
    </row>
    <row r="677" ht="13.5" customHeight="1">
      <c r="A677" s="312"/>
      <c r="B677" s="301"/>
      <c r="C677" s="301"/>
      <c r="D677" s="301"/>
      <c r="E677" s="301"/>
      <c r="F677" s="301"/>
      <c r="G677" s="301"/>
      <c r="H677" s="301"/>
      <c r="I677" s="301"/>
      <c r="J677" s="301"/>
      <c r="K677" s="301"/>
      <c r="L677" s="302"/>
      <c r="M677" s="302"/>
      <c r="N677" s="302"/>
      <c r="O677" s="302"/>
      <c r="P677" s="302"/>
      <c r="Q677" s="302"/>
      <c r="R677" s="302"/>
      <c r="S677" s="302"/>
      <c r="T677" s="302"/>
      <c r="U677" s="302"/>
      <c r="V677" s="302"/>
      <c r="W677" s="302"/>
      <c r="X677" s="302"/>
      <c r="Y677" s="302"/>
      <c r="Z677" s="302"/>
      <c r="AA677" s="302"/>
      <c r="AB677" s="302"/>
      <c r="AC677" s="303"/>
    </row>
    <row r="678" ht="13.5" customHeight="1">
      <c r="A678" s="326"/>
      <c r="B678" s="15"/>
      <c r="C678" s="7"/>
      <c r="D678" s="9"/>
      <c r="E678" s="13"/>
      <c r="F678" s="13"/>
      <c r="G678" s="308"/>
      <c r="H678" s="308"/>
      <c r="I678" s="7"/>
      <c r="J678" s="9"/>
      <c r="K678" s="7"/>
      <c r="L678" s="305"/>
      <c r="M678" s="305"/>
      <c r="N678" s="305"/>
      <c r="O678" s="305"/>
      <c r="P678" s="305"/>
      <c r="Q678" s="305"/>
      <c r="R678" s="305"/>
      <c r="S678" s="305"/>
      <c r="T678" s="305"/>
      <c r="U678" s="305"/>
      <c r="V678" s="305"/>
      <c r="W678" s="305"/>
      <c r="X678" s="305"/>
      <c r="Y678" s="305"/>
      <c r="Z678" s="305"/>
      <c r="AA678" s="305"/>
      <c r="AB678" s="305"/>
      <c r="AC678" s="307"/>
    </row>
    <row r="679" ht="13.5" customHeight="1">
      <c r="A679" s="312"/>
      <c r="B679" s="301"/>
      <c r="C679" s="301"/>
      <c r="D679" s="301"/>
      <c r="E679" s="301"/>
      <c r="F679" s="301"/>
      <c r="G679" s="301"/>
      <c r="H679" s="301"/>
      <c r="I679" s="301"/>
      <c r="J679" s="301"/>
      <c r="K679" s="301"/>
      <c r="L679" s="302"/>
      <c r="M679" s="302"/>
      <c r="N679" s="302"/>
      <c r="O679" s="302"/>
      <c r="P679" s="302"/>
      <c r="Q679" s="302"/>
      <c r="R679" s="302"/>
      <c r="S679" s="302"/>
      <c r="T679" s="302"/>
      <c r="U679" s="302"/>
      <c r="V679" s="302"/>
      <c r="W679" s="302"/>
      <c r="X679" s="302"/>
      <c r="Y679" s="302"/>
      <c r="Z679" s="302"/>
      <c r="AA679" s="302"/>
      <c r="AB679" s="302"/>
      <c r="AC679" s="303"/>
    </row>
    <row r="680" ht="13.5" customHeight="1">
      <c r="A680" s="326"/>
      <c r="B680" s="15"/>
      <c r="C680" s="7"/>
      <c r="D680" s="9"/>
      <c r="E680" s="13"/>
      <c r="F680" s="13"/>
      <c r="G680" s="308"/>
      <c r="H680" s="308"/>
      <c r="I680" s="7"/>
      <c r="J680" s="9"/>
      <c r="K680" s="7"/>
      <c r="L680" s="305"/>
      <c r="M680" s="305"/>
      <c r="N680" s="305"/>
      <c r="O680" s="305"/>
      <c r="P680" s="305"/>
      <c r="Q680" s="305"/>
      <c r="R680" s="305"/>
      <c r="S680" s="305"/>
      <c r="T680" s="305"/>
      <c r="U680" s="305"/>
      <c r="V680" s="305"/>
      <c r="W680" s="305"/>
      <c r="X680" s="305"/>
      <c r="Y680" s="305"/>
      <c r="Z680" s="305"/>
      <c r="AA680" s="305"/>
      <c r="AB680" s="305"/>
      <c r="AC680" s="307"/>
    </row>
    <row r="681" ht="13.5" customHeight="1">
      <c r="A681" s="312"/>
      <c r="B681" s="301"/>
      <c r="C681" s="301"/>
      <c r="D681" s="301"/>
      <c r="E681" s="301"/>
      <c r="F681" s="301"/>
      <c r="G681" s="301"/>
      <c r="H681" s="301"/>
      <c r="I681" s="301"/>
      <c r="J681" s="301"/>
      <c r="K681" s="301"/>
      <c r="L681" s="302"/>
      <c r="M681" s="302"/>
      <c r="N681" s="302"/>
      <c r="O681" s="302"/>
      <c r="P681" s="302"/>
      <c r="Q681" s="302"/>
      <c r="R681" s="302"/>
      <c r="S681" s="302"/>
      <c r="T681" s="302"/>
      <c r="U681" s="302"/>
      <c r="V681" s="302"/>
      <c r="W681" s="302"/>
      <c r="X681" s="302"/>
      <c r="Y681" s="302"/>
      <c r="Z681" s="302"/>
      <c r="AA681" s="302"/>
      <c r="AB681" s="302"/>
      <c r="AC681" s="303"/>
    </row>
    <row r="682" ht="13.5" customHeight="1">
      <c r="A682" s="326"/>
      <c r="B682" s="15"/>
      <c r="C682" s="7"/>
      <c r="D682" s="9"/>
      <c r="E682" s="13"/>
      <c r="F682" s="13"/>
      <c r="G682" s="308"/>
      <c r="H682" s="308"/>
      <c r="I682" s="7"/>
      <c r="J682" s="9"/>
      <c r="K682" s="7"/>
      <c r="L682" s="305"/>
      <c r="M682" s="305"/>
      <c r="N682" s="305"/>
      <c r="O682" s="305"/>
      <c r="P682" s="305"/>
      <c r="Q682" s="305"/>
      <c r="R682" s="305"/>
      <c r="S682" s="305"/>
      <c r="T682" s="305"/>
      <c r="U682" s="305"/>
      <c r="V682" s="305"/>
      <c r="W682" s="305"/>
      <c r="X682" s="305"/>
      <c r="Y682" s="305"/>
      <c r="Z682" s="305"/>
      <c r="AA682" s="305"/>
      <c r="AB682" s="305"/>
      <c r="AC682" s="307"/>
    </row>
    <row r="683" ht="13.5" customHeight="1">
      <c r="A683" s="312"/>
      <c r="B683" s="301"/>
      <c r="C683" s="301"/>
      <c r="D683" s="301"/>
      <c r="E683" s="301"/>
      <c r="F683" s="301"/>
      <c r="G683" s="301"/>
      <c r="H683" s="301"/>
      <c r="I683" s="301"/>
      <c r="J683" s="301"/>
      <c r="K683" s="301"/>
      <c r="L683" s="302"/>
      <c r="M683" s="302"/>
      <c r="N683" s="302"/>
      <c r="O683" s="302"/>
      <c r="P683" s="302"/>
      <c r="Q683" s="302"/>
      <c r="R683" s="302"/>
      <c r="S683" s="302"/>
      <c r="T683" s="302"/>
      <c r="U683" s="302"/>
      <c r="V683" s="302"/>
      <c r="W683" s="302"/>
      <c r="X683" s="302"/>
      <c r="Y683" s="302"/>
      <c r="Z683" s="302"/>
      <c r="AA683" s="302"/>
      <c r="AB683" s="302"/>
      <c r="AC683" s="303"/>
    </row>
    <row r="684" ht="13.5" customHeight="1">
      <c r="A684" s="326"/>
      <c r="B684" s="15"/>
      <c r="C684" s="7"/>
      <c r="D684" s="9"/>
      <c r="E684" s="13"/>
      <c r="F684" s="13"/>
      <c r="G684" s="308"/>
      <c r="H684" s="308"/>
      <c r="I684" s="7"/>
      <c r="J684" s="9"/>
      <c r="K684" s="7"/>
      <c r="L684" s="305"/>
      <c r="M684" s="305"/>
      <c r="N684" s="305"/>
      <c r="O684" s="305"/>
      <c r="P684" s="305"/>
      <c r="Q684" s="305"/>
      <c r="R684" s="305"/>
      <c r="S684" s="305"/>
      <c r="T684" s="305"/>
      <c r="U684" s="305"/>
      <c r="V684" s="305"/>
      <c r="W684" s="305"/>
      <c r="X684" s="305"/>
      <c r="Y684" s="305"/>
      <c r="Z684" s="305"/>
      <c r="AA684" s="305"/>
      <c r="AB684" s="305"/>
      <c r="AC684" s="307"/>
    </row>
    <row r="685" ht="13.5" customHeight="1">
      <c r="A685" s="312"/>
      <c r="B685" s="301"/>
      <c r="C685" s="301"/>
      <c r="D685" s="301"/>
      <c r="E685" s="301"/>
      <c r="F685" s="301"/>
      <c r="G685" s="301"/>
      <c r="H685" s="301"/>
      <c r="I685" s="301"/>
      <c r="J685" s="301"/>
      <c r="K685" s="301"/>
      <c r="L685" s="302"/>
      <c r="M685" s="302"/>
      <c r="N685" s="302"/>
      <c r="O685" s="302"/>
      <c r="P685" s="302"/>
      <c r="Q685" s="302"/>
      <c r="R685" s="302"/>
      <c r="S685" s="302"/>
      <c r="T685" s="302"/>
      <c r="U685" s="302"/>
      <c r="V685" s="302"/>
      <c r="W685" s="302"/>
      <c r="X685" s="302"/>
      <c r="Y685" s="302"/>
      <c r="Z685" s="302"/>
      <c r="AA685" s="302"/>
      <c r="AB685" s="302"/>
      <c r="AC685" s="303"/>
    </row>
    <row r="686" ht="13.5" customHeight="1">
      <c r="A686" s="326"/>
      <c r="B686" s="15"/>
      <c r="C686" s="7"/>
      <c r="D686" s="9"/>
      <c r="E686" s="13"/>
      <c r="F686" s="13"/>
      <c r="G686" s="308"/>
      <c r="H686" s="308"/>
      <c r="I686" s="7"/>
      <c r="J686" s="9"/>
      <c r="K686" s="7"/>
      <c r="L686" s="305"/>
      <c r="M686" s="305"/>
      <c r="N686" s="305"/>
      <c r="O686" s="305"/>
      <c r="P686" s="305"/>
      <c r="Q686" s="305"/>
      <c r="R686" s="305"/>
      <c r="S686" s="305"/>
      <c r="T686" s="305"/>
      <c r="U686" s="305"/>
      <c r="V686" s="305"/>
      <c r="W686" s="305"/>
      <c r="X686" s="305"/>
      <c r="Y686" s="305"/>
      <c r="Z686" s="305"/>
      <c r="AA686" s="305"/>
      <c r="AB686" s="305"/>
      <c r="AC686" s="307"/>
    </row>
    <row r="687" ht="13.5" customHeight="1">
      <c r="A687" s="312"/>
      <c r="B687" s="301"/>
      <c r="C687" s="301"/>
      <c r="D687" s="301"/>
      <c r="E687" s="301"/>
      <c r="F687" s="301"/>
      <c r="G687" s="301"/>
      <c r="H687" s="301"/>
      <c r="I687" s="301"/>
      <c r="J687" s="301"/>
      <c r="K687" s="301"/>
      <c r="L687" s="302"/>
      <c r="M687" s="302"/>
      <c r="N687" s="302"/>
      <c r="O687" s="302"/>
      <c r="P687" s="302"/>
      <c r="Q687" s="302"/>
      <c r="R687" s="302"/>
      <c r="S687" s="302"/>
      <c r="T687" s="302"/>
      <c r="U687" s="302"/>
      <c r="V687" s="302"/>
      <c r="W687" s="302"/>
      <c r="X687" s="302"/>
      <c r="Y687" s="302"/>
      <c r="Z687" s="302"/>
      <c r="AA687" s="302"/>
      <c r="AB687" s="302"/>
      <c r="AC687" s="303"/>
    </row>
    <row r="688" ht="13.5" customHeight="1">
      <c r="A688" s="326"/>
      <c r="B688" s="15"/>
      <c r="C688" s="7"/>
      <c r="D688" s="9"/>
      <c r="E688" s="13"/>
      <c r="F688" s="13"/>
      <c r="G688" s="308"/>
      <c r="H688" s="308"/>
      <c r="I688" s="7"/>
      <c r="J688" s="9"/>
      <c r="K688" s="7"/>
      <c r="L688" s="305"/>
      <c r="M688" s="305"/>
      <c r="N688" s="305"/>
      <c r="O688" s="305"/>
      <c r="P688" s="305"/>
      <c r="Q688" s="305"/>
      <c r="R688" s="305"/>
      <c r="S688" s="305"/>
      <c r="T688" s="305"/>
      <c r="U688" s="305"/>
      <c r="V688" s="305"/>
      <c r="W688" s="305"/>
      <c r="X688" s="305"/>
      <c r="Y688" s="305"/>
      <c r="Z688" s="305"/>
      <c r="AA688" s="305"/>
      <c r="AB688" s="305"/>
      <c r="AC688" s="307"/>
    </row>
    <row r="689" ht="13.5" customHeight="1">
      <c r="A689" s="312"/>
      <c r="B689" s="301"/>
      <c r="C689" s="301"/>
      <c r="D689" s="301"/>
      <c r="E689" s="301"/>
      <c r="F689" s="301"/>
      <c r="G689" s="301"/>
      <c r="H689" s="301"/>
      <c r="I689" s="301"/>
      <c r="J689" s="301"/>
      <c r="K689" s="301"/>
      <c r="L689" s="302"/>
      <c r="M689" s="302"/>
      <c r="N689" s="302"/>
      <c r="O689" s="302"/>
      <c r="P689" s="302"/>
      <c r="Q689" s="302"/>
      <c r="R689" s="302"/>
      <c r="S689" s="302"/>
      <c r="T689" s="302"/>
      <c r="U689" s="302"/>
      <c r="V689" s="302"/>
      <c r="W689" s="302"/>
      <c r="X689" s="302"/>
      <c r="Y689" s="302"/>
      <c r="Z689" s="302"/>
      <c r="AA689" s="302"/>
      <c r="AB689" s="302"/>
      <c r="AC689" s="303"/>
    </row>
    <row r="690" ht="13.5" customHeight="1">
      <c r="A690" s="326"/>
      <c r="B690" s="15"/>
      <c r="C690" s="7"/>
      <c r="D690" s="9"/>
      <c r="E690" s="13"/>
      <c r="F690" s="13"/>
      <c r="G690" s="308"/>
      <c r="H690" s="308"/>
      <c r="I690" s="7"/>
      <c r="J690" s="9"/>
      <c r="K690" s="7"/>
      <c r="L690" s="305"/>
      <c r="M690" s="305"/>
      <c r="N690" s="305"/>
      <c r="O690" s="305"/>
      <c r="P690" s="305"/>
      <c r="Q690" s="305"/>
      <c r="R690" s="305"/>
      <c r="S690" s="305"/>
      <c r="T690" s="305"/>
      <c r="U690" s="305"/>
      <c r="V690" s="305"/>
      <c r="W690" s="305"/>
      <c r="X690" s="305"/>
      <c r="Y690" s="305"/>
      <c r="Z690" s="305"/>
      <c r="AA690" s="305"/>
      <c r="AB690" s="305"/>
      <c r="AC690" s="307"/>
    </row>
    <row r="691" ht="13.5" customHeight="1">
      <c r="A691" s="312"/>
      <c r="B691" s="301"/>
      <c r="C691" s="301"/>
      <c r="D691" s="301"/>
      <c r="E691" s="301"/>
      <c r="F691" s="301"/>
      <c r="G691" s="301"/>
      <c r="H691" s="301"/>
      <c r="I691" s="301"/>
      <c r="J691" s="301"/>
      <c r="K691" s="301"/>
      <c r="L691" s="302"/>
      <c r="M691" s="302"/>
      <c r="N691" s="302"/>
      <c r="O691" s="302"/>
      <c r="P691" s="302"/>
      <c r="Q691" s="302"/>
      <c r="R691" s="302"/>
      <c r="S691" s="302"/>
      <c r="T691" s="302"/>
      <c r="U691" s="302"/>
      <c r="V691" s="302"/>
      <c r="W691" s="302"/>
      <c r="X691" s="302"/>
      <c r="Y691" s="302"/>
      <c r="Z691" s="302"/>
      <c r="AA691" s="302"/>
      <c r="AB691" s="302"/>
      <c r="AC691" s="303"/>
    </row>
    <row r="692" ht="13.5" customHeight="1">
      <c r="A692" s="326"/>
      <c r="B692" s="15"/>
      <c r="C692" s="7"/>
      <c r="D692" s="9"/>
      <c r="E692" s="13"/>
      <c r="F692" s="13"/>
      <c r="G692" s="308"/>
      <c r="H692" s="308"/>
      <c r="I692" s="7"/>
      <c r="J692" s="9"/>
      <c r="K692" s="7"/>
      <c r="L692" s="305"/>
      <c r="M692" s="305"/>
      <c r="N692" s="305"/>
      <c r="O692" s="305"/>
      <c r="P692" s="305"/>
      <c r="Q692" s="305"/>
      <c r="R692" s="305"/>
      <c r="S692" s="305"/>
      <c r="T692" s="305"/>
      <c r="U692" s="305"/>
      <c r="V692" s="305"/>
      <c r="W692" s="305"/>
      <c r="X692" s="305"/>
      <c r="Y692" s="305"/>
      <c r="Z692" s="305"/>
      <c r="AA692" s="305"/>
      <c r="AB692" s="305"/>
      <c r="AC692" s="307"/>
    </row>
    <row r="693" ht="13.5" customHeight="1">
      <c r="A693" s="312"/>
      <c r="B693" s="301"/>
      <c r="C693" s="301"/>
      <c r="D693" s="301"/>
      <c r="E693" s="301"/>
      <c r="F693" s="301"/>
      <c r="G693" s="301"/>
      <c r="H693" s="301"/>
      <c r="I693" s="301"/>
      <c r="J693" s="301"/>
      <c r="K693" s="301"/>
      <c r="L693" s="302"/>
      <c r="M693" s="302"/>
      <c r="N693" s="302"/>
      <c r="O693" s="302"/>
      <c r="P693" s="302"/>
      <c r="Q693" s="302"/>
      <c r="R693" s="302"/>
      <c r="S693" s="302"/>
      <c r="T693" s="302"/>
      <c r="U693" s="302"/>
      <c r="V693" s="302"/>
      <c r="W693" s="302"/>
      <c r="X693" s="302"/>
      <c r="Y693" s="302"/>
      <c r="Z693" s="302"/>
      <c r="AA693" s="302"/>
      <c r="AB693" s="302"/>
      <c r="AC693" s="303"/>
    </row>
    <row r="694" ht="13.5" customHeight="1">
      <c r="A694" s="326"/>
      <c r="B694" s="15"/>
      <c r="C694" s="7"/>
      <c r="D694" s="9"/>
      <c r="E694" s="13"/>
      <c r="F694" s="13"/>
      <c r="G694" s="308"/>
      <c r="H694" s="308"/>
      <c r="I694" s="7"/>
      <c r="J694" s="9"/>
      <c r="K694" s="7"/>
      <c r="L694" s="305"/>
      <c r="M694" s="305"/>
      <c r="N694" s="305"/>
      <c r="O694" s="305"/>
      <c r="P694" s="305"/>
      <c r="Q694" s="305"/>
      <c r="R694" s="305"/>
      <c r="S694" s="305"/>
      <c r="T694" s="305"/>
      <c r="U694" s="305"/>
      <c r="V694" s="305"/>
      <c r="W694" s="305"/>
      <c r="X694" s="305"/>
      <c r="Y694" s="305"/>
      <c r="Z694" s="305"/>
      <c r="AA694" s="305"/>
      <c r="AB694" s="305"/>
      <c r="AC694" s="307"/>
    </row>
    <row r="695" ht="13.5" customHeight="1">
      <c r="A695" s="312"/>
      <c r="B695" s="301"/>
      <c r="C695" s="301"/>
      <c r="D695" s="301"/>
      <c r="E695" s="301"/>
      <c r="F695" s="301"/>
      <c r="G695" s="301"/>
      <c r="H695" s="301"/>
      <c r="I695" s="301"/>
      <c r="J695" s="301"/>
      <c r="K695" s="301"/>
      <c r="L695" s="302"/>
      <c r="M695" s="302"/>
      <c r="N695" s="302"/>
      <c r="O695" s="302"/>
      <c r="P695" s="302"/>
      <c r="Q695" s="302"/>
      <c r="R695" s="302"/>
      <c r="S695" s="302"/>
      <c r="T695" s="302"/>
      <c r="U695" s="302"/>
      <c r="V695" s="302"/>
      <c r="W695" s="302"/>
      <c r="X695" s="302"/>
      <c r="Y695" s="302"/>
      <c r="Z695" s="302"/>
      <c r="AA695" s="302"/>
      <c r="AB695" s="302"/>
      <c r="AC695" s="303"/>
    </row>
    <row r="696" ht="13.5" customHeight="1">
      <c r="A696" s="326"/>
      <c r="B696" s="15"/>
      <c r="C696" s="7"/>
      <c r="D696" s="9"/>
      <c r="E696" s="13"/>
      <c r="F696" s="13"/>
      <c r="G696" s="308"/>
      <c r="H696" s="308"/>
      <c r="I696" s="7"/>
      <c r="J696" s="9"/>
      <c r="K696" s="7"/>
      <c r="L696" s="305"/>
      <c r="M696" s="305"/>
      <c r="N696" s="305"/>
      <c r="O696" s="305"/>
      <c r="P696" s="305"/>
      <c r="Q696" s="305"/>
      <c r="R696" s="305"/>
      <c r="S696" s="305"/>
      <c r="T696" s="305"/>
      <c r="U696" s="305"/>
      <c r="V696" s="305"/>
      <c r="W696" s="305"/>
      <c r="X696" s="305"/>
      <c r="Y696" s="305"/>
      <c r="Z696" s="305"/>
      <c r="AA696" s="305"/>
      <c r="AB696" s="305"/>
      <c r="AC696" s="307"/>
    </row>
    <row r="697" ht="13.5" customHeight="1">
      <c r="A697" s="312"/>
      <c r="B697" s="301"/>
      <c r="C697" s="301"/>
      <c r="D697" s="301"/>
      <c r="E697" s="301"/>
      <c r="F697" s="301"/>
      <c r="G697" s="301"/>
      <c r="H697" s="301"/>
      <c r="I697" s="301"/>
      <c r="J697" s="301"/>
      <c r="K697" s="301"/>
      <c r="L697" s="302"/>
      <c r="M697" s="302"/>
      <c r="N697" s="302"/>
      <c r="O697" s="302"/>
      <c r="P697" s="302"/>
      <c r="Q697" s="302"/>
      <c r="R697" s="302"/>
      <c r="S697" s="302"/>
      <c r="T697" s="302"/>
      <c r="U697" s="302"/>
      <c r="V697" s="302"/>
      <c r="W697" s="302"/>
      <c r="X697" s="302"/>
      <c r="Y697" s="302"/>
      <c r="Z697" s="302"/>
      <c r="AA697" s="302"/>
      <c r="AB697" s="302"/>
      <c r="AC697" s="303"/>
    </row>
    <row r="698" ht="13.5" customHeight="1">
      <c r="A698" s="326"/>
      <c r="B698" s="15"/>
      <c r="C698" s="7"/>
      <c r="D698" s="9"/>
      <c r="E698" s="13"/>
      <c r="F698" s="13"/>
      <c r="G698" s="308"/>
      <c r="H698" s="308"/>
      <c r="I698" s="7"/>
      <c r="J698" s="9"/>
      <c r="K698" s="7"/>
      <c r="L698" s="305"/>
      <c r="M698" s="305"/>
      <c r="N698" s="305"/>
      <c r="O698" s="305"/>
      <c r="P698" s="305"/>
      <c r="Q698" s="305"/>
      <c r="R698" s="305"/>
      <c r="S698" s="305"/>
      <c r="T698" s="305"/>
      <c r="U698" s="305"/>
      <c r="V698" s="305"/>
      <c r="W698" s="305"/>
      <c r="X698" s="305"/>
      <c r="Y698" s="305"/>
      <c r="Z698" s="305"/>
      <c r="AA698" s="305"/>
      <c r="AB698" s="305"/>
      <c r="AC698" s="307"/>
    </row>
    <row r="699" ht="13.5" customHeight="1">
      <c r="A699" s="312"/>
      <c r="B699" s="301"/>
      <c r="C699" s="301"/>
      <c r="D699" s="301"/>
      <c r="E699" s="301"/>
      <c r="F699" s="301"/>
      <c r="G699" s="301"/>
      <c r="H699" s="301"/>
      <c r="I699" s="301"/>
      <c r="J699" s="301"/>
      <c r="K699" s="301"/>
      <c r="L699" s="302"/>
      <c r="M699" s="302"/>
      <c r="N699" s="302"/>
      <c r="O699" s="302"/>
      <c r="P699" s="302"/>
      <c r="Q699" s="302"/>
      <c r="R699" s="302"/>
      <c r="S699" s="302"/>
      <c r="T699" s="302"/>
      <c r="U699" s="302"/>
      <c r="V699" s="302"/>
      <c r="W699" s="302"/>
      <c r="X699" s="302"/>
      <c r="Y699" s="302"/>
      <c r="Z699" s="302"/>
      <c r="AA699" s="302"/>
      <c r="AB699" s="302"/>
      <c r="AC699" s="303"/>
    </row>
    <row r="700" ht="13.5" customHeight="1">
      <c r="A700" s="326"/>
      <c r="B700" s="15"/>
      <c r="C700" s="7"/>
      <c r="D700" s="9"/>
      <c r="E700" s="13"/>
      <c r="F700" s="13"/>
      <c r="G700" s="308"/>
      <c r="H700" s="308"/>
      <c r="I700" s="7"/>
      <c r="J700" s="9"/>
      <c r="K700" s="7"/>
      <c r="L700" s="305"/>
      <c r="M700" s="305"/>
      <c r="N700" s="305"/>
      <c r="O700" s="305"/>
      <c r="P700" s="305"/>
      <c r="Q700" s="305"/>
      <c r="R700" s="305"/>
      <c r="S700" s="305"/>
      <c r="T700" s="305"/>
      <c r="U700" s="305"/>
      <c r="V700" s="305"/>
      <c r="W700" s="305"/>
      <c r="X700" s="305"/>
      <c r="Y700" s="305"/>
      <c r="Z700" s="305"/>
      <c r="AA700" s="305"/>
      <c r="AB700" s="305"/>
      <c r="AC700" s="307"/>
    </row>
    <row r="701" ht="13.5" customHeight="1">
      <c r="A701" s="312"/>
      <c r="B701" s="301"/>
      <c r="C701" s="301"/>
      <c r="D701" s="301"/>
      <c r="E701" s="301"/>
      <c r="F701" s="301"/>
      <c r="G701" s="301"/>
      <c r="H701" s="301"/>
      <c r="I701" s="301"/>
      <c r="J701" s="301"/>
      <c r="K701" s="301"/>
      <c r="L701" s="302"/>
      <c r="M701" s="302"/>
      <c r="N701" s="302"/>
      <c r="O701" s="302"/>
      <c r="P701" s="302"/>
      <c r="Q701" s="302"/>
      <c r="R701" s="302"/>
      <c r="S701" s="302"/>
      <c r="T701" s="302"/>
      <c r="U701" s="302"/>
      <c r="V701" s="302"/>
      <c r="W701" s="302"/>
      <c r="X701" s="302"/>
      <c r="Y701" s="302"/>
      <c r="Z701" s="302"/>
      <c r="AA701" s="302"/>
      <c r="AB701" s="302"/>
      <c r="AC701" s="303"/>
    </row>
    <row r="702" ht="13.5" customHeight="1">
      <c r="A702" s="326"/>
      <c r="B702" s="15"/>
      <c r="C702" s="7"/>
      <c r="D702" s="9"/>
      <c r="E702" s="13"/>
      <c r="F702" s="13"/>
      <c r="G702" s="308"/>
      <c r="H702" s="308"/>
      <c r="I702" s="7"/>
      <c r="J702" s="9"/>
      <c r="K702" s="7"/>
      <c r="L702" s="305"/>
      <c r="M702" s="305"/>
      <c r="N702" s="305"/>
      <c r="O702" s="305"/>
      <c r="P702" s="305"/>
      <c r="Q702" s="305"/>
      <c r="R702" s="305"/>
      <c r="S702" s="305"/>
      <c r="T702" s="305"/>
      <c r="U702" s="305"/>
      <c r="V702" s="305"/>
      <c r="W702" s="305"/>
      <c r="X702" s="305"/>
      <c r="Y702" s="305"/>
      <c r="Z702" s="305"/>
      <c r="AA702" s="305"/>
      <c r="AB702" s="305"/>
      <c r="AC702" s="307"/>
    </row>
    <row r="703" ht="13.5" customHeight="1">
      <c r="A703" s="312"/>
      <c r="B703" s="301"/>
      <c r="C703" s="301"/>
      <c r="D703" s="301"/>
      <c r="E703" s="301"/>
      <c r="F703" s="301"/>
      <c r="G703" s="301"/>
      <c r="H703" s="301"/>
      <c r="I703" s="301"/>
      <c r="J703" s="301"/>
      <c r="K703" s="301"/>
      <c r="L703" s="302"/>
      <c r="M703" s="302"/>
      <c r="N703" s="302"/>
      <c r="O703" s="302"/>
      <c r="P703" s="302"/>
      <c r="Q703" s="302"/>
      <c r="R703" s="302"/>
      <c r="S703" s="302"/>
      <c r="T703" s="302"/>
      <c r="U703" s="302"/>
      <c r="V703" s="302"/>
      <c r="W703" s="302"/>
      <c r="X703" s="302"/>
      <c r="Y703" s="302"/>
      <c r="Z703" s="302"/>
      <c r="AA703" s="302"/>
      <c r="AB703" s="302"/>
      <c r="AC703" s="303"/>
    </row>
    <row r="704" ht="13.5" customHeight="1">
      <c r="A704" s="326"/>
      <c r="B704" s="15"/>
      <c r="C704" s="7"/>
      <c r="D704" s="9"/>
      <c r="E704" s="13"/>
      <c r="F704" s="13"/>
      <c r="G704" s="308"/>
      <c r="H704" s="308"/>
      <c r="I704" s="7"/>
      <c r="J704" s="9"/>
      <c r="K704" s="7"/>
      <c r="L704" s="305"/>
      <c r="M704" s="305"/>
      <c r="N704" s="305"/>
      <c r="O704" s="305"/>
      <c r="P704" s="305"/>
      <c r="Q704" s="305"/>
      <c r="R704" s="305"/>
      <c r="S704" s="305"/>
      <c r="T704" s="305"/>
      <c r="U704" s="305"/>
      <c r="V704" s="305"/>
      <c r="W704" s="305"/>
      <c r="X704" s="305"/>
      <c r="Y704" s="305"/>
      <c r="Z704" s="305"/>
      <c r="AA704" s="305"/>
      <c r="AB704" s="305"/>
      <c r="AC704" s="307"/>
    </row>
    <row r="705" ht="13.5" customHeight="1">
      <c r="A705" s="312"/>
      <c r="B705" s="301"/>
      <c r="C705" s="301"/>
      <c r="D705" s="301"/>
      <c r="E705" s="301"/>
      <c r="F705" s="301"/>
      <c r="G705" s="301"/>
      <c r="H705" s="301"/>
      <c r="I705" s="301"/>
      <c r="J705" s="301"/>
      <c r="K705" s="301"/>
      <c r="L705" s="302"/>
      <c r="M705" s="302"/>
      <c r="N705" s="302"/>
      <c r="O705" s="302"/>
      <c r="P705" s="302"/>
      <c r="Q705" s="302"/>
      <c r="R705" s="302"/>
      <c r="S705" s="302"/>
      <c r="T705" s="302"/>
      <c r="U705" s="302"/>
      <c r="V705" s="302"/>
      <c r="W705" s="302"/>
      <c r="X705" s="302"/>
      <c r="Y705" s="302"/>
      <c r="Z705" s="302"/>
      <c r="AA705" s="302"/>
      <c r="AB705" s="302"/>
      <c r="AC705" s="303"/>
    </row>
    <row r="706" ht="13.5" customHeight="1">
      <c r="A706" s="326"/>
      <c r="B706" s="15"/>
      <c r="C706" s="7"/>
      <c r="D706" s="9"/>
      <c r="E706" s="13"/>
      <c r="F706" s="13"/>
      <c r="G706" s="308"/>
      <c r="H706" s="308"/>
      <c r="I706" s="7"/>
      <c r="J706" s="9"/>
      <c r="K706" s="7"/>
      <c r="L706" s="305"/>
      <c r="M706" s="305"/>
      <c r="N706" s="305"/>
      <c r="O706" s="305"/>
      <c r="P706" s="305"/>
      <c r="Q706" s="305"/>
      <c r="R706" s="305"/>
      <c r="S706" s="305"/>
      <c r="T706" s="305"/>
      <c r="U706" s="305"/>
      <c r="V706" s="305"/>
      <c r="W706" s="305"/>
      <c r="X706" s="305"/>
      <c r="Y706" s="305"/>
      <c r="Z706" s="305"/>
      <c r="AA706" s="305"/>
      <c r="AB706" s="305"/>
      <c r="AC706" s="307"/>
    </row>
    <row r="707" ht="13.5" customHeight="1">
      <c r="A707" s="312"/>
      <c r="B707" s="301"/>
      <c r="C707" s="301"/>
      <c r="D707" s="301"/>
      <c r="E707" s="301"/>
      <c r="F707" s="301"/>
      <c r="G707" s="301"/>
      <c r="H707" s="301"/>
      <c r="I707" s="301"/>
      <c r="J707" s="301"/>
      <c r="K707" s="301"/>
      <c r="L707" s="302"/>
      <c r="M707" s="302"/>
      <c r="N707" s="302"/>
      <c r="O707" s="302"/>
      <c r="P707" s="302"/>
      <c r="Q707" s="302"/>
      <c r="R707" s="302"/>
      <c r="S707" s="302"/>
      <c r="T707" s="302"/>
      <c r="U707" s="302"/>
      <c r="V707" s="302"/>
      <c r="W707" s="302"/>
      <c r="X707" s="302"/>
      <c r="Y707" s="302"/>
      <c r="Z707" s="302"/>
      <c r="AA707" s="302"/>
      <c r="AB707" s="302"/>
      <c r="AC707" s="303"/>
    </row>
    <row r="708" ht="13.5" customHeight="1">
      <c r="A708" s="326"/>
      <c r="B708" s="15"/>
      <c r="C708" s="7"/>
      <c r="D708" s="9"/>
      <c r="E708" s="13"/>
      <c r="F708" s="13"/>
      <c r="G708" s="308"/>
      <c r="H708" s="308"/>
      <c r="I708" s="7"/>
      <c r="J708" s="9"/>
      <c r="K708" s="7"/>
      <c r="L708" s="305"/>
      <c r="M708" s="305"/>
      <c r="N708" s="305"/>
      <c r="O708" s="305"/>
      <c r="P708" s="305"/>
      <c r="Q708" s="305"/>
      <c r="R708" s="305"/>
      <c r="S708" s="305"/>
      <c r="T708" s="305"/>
      <c r="U708" s="305"/>
      <c r="V708" s="305"/>
      <c r="W708" s="305"/>
      <c r="X708" s="305"/>
      <c r="Y708" s="305"/>
      <c r="Z708" s="305"/>
      <c r="AA708" s="305"/>
      <c r="AB708" s="305"/>
      <c r="AC708" s="307"/>
    </row>
    <row r="709" ht="13.5" customHeight="1">
      <c r="A709" s="312"/>
      <c r="B709" s="301"/>
      <c r="C709" s="301"/>
      <c r="D709" s="301"/>
      <c r="E709" s="301"/>
      <c r="F709" s="301"/>
      <c r="G709" s="301"/>
      <c r="H709" s="301"/>
      <c r="I709" s="301"/>
      <c r="J709" s="301"/>
      <c r="K709" s="301"/>
      <c r="L709" s="302"/>
      <c r="M709" s="302"/>
      <c r="N709" s="302"/>
      <c r="O709" s="302"/>
      <c r="P709" s="302"/>
      <c r="Q709" s="302"/>
      <c r="R709" s="302"/>
      <c r="S709" s="302"/>
      <c r="T709" s="302"/>
      <c r="U709" s="302"/>
      <c r="V709" s="302"/>
      <c r="W709" s="302"/>
      <c r="X709" s="302"/>
      <c r="Y709" s="302"/>
      <c r="Z709" s="302"/>
      <c r="AA709" s="302"/>
      <c r="AB709" s="302"/>
      <c r="AC709" s="303"/>
    </row>
    <row r="710" ht="13.5" customHeight="1">
      <c r="A710" s="326"/>
      <c r="B710" s="15"/>
      <c r="C710" s="7"/>
      <c r="D710" s="9"/>
      <c r="E710" s="13"/>
      <c r="F710" s="13"/>
      <c r="G710" s="308"/>
      <c r="H710" s="308"/>
      <c r="I710" s="7"/>
      <c r="J710" s="9"/>
      <c r="K710" s="7"/>
      <c r="L710" s="305"/>
      <c r="M710" s="305"/>
      <c r="N710" s="305"/>
      <c r="O710" s="305"/>
      <c r="P710" s="305"/>
      <c r="Q710" s="305"/>
      <c r="R710" s="305"/>
      <c r="S710" s="305"/>
      <c r="T710" s="305"/>
      <c r="U710" s="305"/>
      <c r="V710" s="305"/>
      <c r="W710" s="305"/>
      <c r="X710" s="305"/>
      <c r="Y710" s="305"/>
      <c r="Z710" s="305"/>
      <c r="AA710" s="305"/>
      <c r="AB710" s="305"/>
      <c r="AC710" s="307"/>
    </row>
    <row r="711" ht="13.5" customHeight="1">
      <c r="A711" s="312"/>
      <c r="B711" s="301"/>
      <c r="C711" s="301"/>
      <c r="D711" s="301"/>
      <c r="E711" s="301"/>
      <c r="F711" s="301"/>
      <c r="G711" s="301"/>
      <c r="H711" s="301"/>
      <c r="I711" s="301"/>
      <c r="J711" s="301"/>
      <c r="K711" s="301"/>
      <c r="L711" s="302"/>
      <c r="M711" s="302"/>
      <c r="N711" s="302"/>
      <c r="O711" s="302"/>
      <c r="P711" s="302"/>
      <c r="Q711" s="302"/>
      <c r="R711" s="302"/>
      <c r="S711" s="302"/>
      <c r="T711" s="302"/>
      <c r="U711" s="302"/>
      <c r="V711" s="302"/>
      <c r="W711" s="302"/>
      <c r="X711" s="302"/>
      <c r="Y711" s="302"/>
      <c r="Z711" s="302"/>
      <c r="AA711" s="302"/>
      <c r="AB711" s="302"/>
      <c r="AC711" s="303"/>
    </row>
    <row r="712" ht="13.5" customHeight="1">
      <c r="A712" s="326"/>
      <c r="B712" s="15"/>
      <c r="C712" s="7"/>
      <c r="D712" s="9"/>
      <c r="E712" s="13"/>
      <c r="F712" s="13"/>
      <c r="G712" s="308"/>
      <c r="H712" s="308"/>
      <c r="I712" s="7"/>
      <c r="J712" s="9"/>
      <c r="K712" s="7"/>
      <c r="L712" s="305"/>
      <c r="M712" s="305"/>
      <c r="N712" s="305"/>
      <c r="O712" s="305"/>
      <c r="P712" s="305"/>
      <c r="Q712" s="305"/>
      <c r="R712" s="305"/>
      <c r="S712" s="305"/>
      <c r="T712" s="305"/>
      <c r="U712" s="305"/>
      <c r="V712" s="305"/>
      <c r="W712" s="305"/>
      <c r="X712" s="305"/>
      <c r="Y712" s="305"/>
      <c r="Z712" s="305"/>
      <c r="AA712" s="305"/>
      <c r="AB712" s="305"/>
      <c r="AC712" s="307"/>
    </row>
    <row r="713" ht="13.5" customHeight="1">
      <c r="A713" s="312"/>
      <c r="B713" s="301"/>
      <c r="C713" s="301"/>
      <c r="D713" s="301"/>
      <c r="E713" s="301"/>
      <c r="F713" s="301"/>
      <c r="G713" s="301"/>
      <c r="H713" s="301"/>
      <c r="I713" s="301"/>
      <c r="J713" s="301"/>
      <c r="K713" s="301"/>
      <c r="L713" s="302"/>
      <c r="M713" s="302"/>
      <c r="N713" s="302"/>
      <c r="O713" s="302"/>
      <c r="P713" s="302"/>
      <c r="Q713" s="302"/>
      <c r="R713" s="302"/>
      <c r="S713" s="302"/>
      <c r="T713" s="302"/>
      <c r="U713" s="302"/>
      <c r="V713" s="302"/>
      <c r="W713" s="302"/>
      <c r="X713" s="302"/>
      <c r="Y713" s="302"/>
      <c r="Z713" s="302"/>
      <c r="AA713" s="302"/>
      <c r="AB713" s="302"/>
      <c r="AC713" s="303"/>
    </row>
    <row r="714" ht="13.5" customHeight="1">
      <c r="A714" s="326"/>
      <c r="B714" s="15"/>
      <c r="C714" s="7"/>
      <c r="D714" s="9"/>
      <c r="E714" s="13"/>
      <c r="F714" s="13"/>
      <c r="G714" s="308"/>
      <c r="H714" s="308"/>
      <c r="I714" s="7"/>
      <c r="J714" s="9"/>
      <c r="K714" s="7"/>
      <c r="L714" s="305"/>
      <c r="M714" s="305"/>
      <c r="N714" s="305"/>
      <c r="O714" s="305"/>
      <c r="P714" s="305"/>
      <c r="Q714" s="305"/>
      <c r="R714" s="305"/>
      <c r="S714" s="305"/>
      <c r="T714" s="305"/>
      <c r="U714" s="305"/>
      <c r="V714" s="305"/>
      <c r="W714" s="305"/>
      <c r="X714" s="305"/>
      <c r="Y714" s="305"/>
      <c r="Z714" s="305"/>
      <c r="AA714" s="305"/>
      <c r="AB714" s="305"/>
      <c r="AC714" s="307"/>
    </row>
    <row r="715" ht="13.5" customHeight="1">
      <c r="A715" s="312"/>
      <c r="B715" s="301"/>
      <c r="C715" s="301"/>
      <c r="D715" s="301"/>
      <c r="E715" s="301"/>
      <c r="F715" s="301"/>
      <c r="G715" s="301"/>
      <c r="H715" s="301"/>
      <c r="I715" s="301"/>
      <c r="J715" s="301"/>
      <c r="K715" s="301"/>
      <c r="L715" s="302"/>
      <c r="M715" s="302"/>
      <c r="N715" s="302"/>
      <c r="O715" s="302"/>
      <c r="P715" s="302"/>
      <c r="Q715" s="302"/>
      <c r="R715" s="302"/>
      <c r="S715" s="302"/>
      <c r="T715" s="302"/>
      <c r="U715" s="302"/>
      <c r="V715" s="302"/>
      <c r="W715" s="302"/>
      <c r="X715" s="302"/>
      <c r="Y715" s="302"/>
      <c r="Z715" s="302"/>
      <c r="AA715" s="302"/>
      <c r="AB715" s="302"/>
      <c r="AC715" s="303"/>
    </row>
    <row r="716" ht="13.5" customHeight="1">
      <c r="A716" s="326"/>
      <c r="B716" s="15"/>
      <c r="C716" s="7"/>
      <c r="D716" s="9"/>
      <c r="E716" s="13"/>
      <c r="F716" s="13"/>
      <c r="G716" s="308"/>
      <c r="H716" s="308"/>
      <c r="I716" s="7"/>
      <c r="J716" s="9"/>
      <c r="K716" s="7"/>
      <c r="L716" s="305"/>
      <c r="M716" s="305"/>
      <c r="N716" s="305"/>
      <c r="O716" s="305"/>
      <c r="P716" s="305"/>
      <c r="Q716" s="305"/>
      <c r="R716" s="305"/>
      <c r="S716" s="305"/>
      <c r="T716" s="305"/>
      <c r="U716" s="305"/>
      <c r="V716" s="305"/>
      <c r="W716" s="305"/>
      <c r="X716" s="305"/>
      <c r="Y716" s="305"/>
      <c r="Z716" s="305"/>
      <c r="AA716" s="305"/>
      <c r="AB716" s="305"/>
      <c r="AC716" s="307"/>
    </row>
    <row r="717" ht="13.5" customHeight="1">
      <c r="A717" s="312"/>
      <c r="B717" s="301"/>
      <c r="C717" s="301"/>
      <c r="D717" s="301"/>
      <c r="E717" s="301"/>
      <c r="F717" s="301"/>
      <c r="G717" s="301"/>
      <c r="H717" s="301"/>
      <c r="I717" s="301"/>
      <c r="J717" s="301"/>
      <c r="K717" s="301"/>
      <c r="L717" s="302"/>
      <c r="M717" s="302"/>
      <c r="N717" s="302"/>
      <c r="O717" s="302"/>
      <c r="P717" s="302"/>
      <c r="Q717" s="302"/>
      <c r="R717" s="302"/>
      <c r="S717" s="302"/>
      <c r="T717" s="302"/>
      <c r="U717" s="302"/>
      <c r="V717" s="302"/>
      <c r="W717" s="302"/>
      <c r="X717" s="302"/>
      <c r="Y717" s="302"/>
      <c r="Z717" s="302"/>
      <c r="AA717" s="302"/>
      <c r="AB717" s="302"/>
      <c r="AC717" s="303"/>
    </row>
    <row r="718" ht="13.5" customHeight="1">
      <c r="A718" s="326"/>
      <c r="B718" s="15"/>
      <c r="C718" s="7"/>
      <c r="D718" s="9"/>
      <c r="E718" s="13"/>
      <c r="F718" s="13"/>
      <c r="G718" s="308"/>
      <c r="H718" s="308"/>
      <c r="I718" s="7"/>
      <c r="J718" s="9"/>
      <c r="K718" s="7"/>
      <c r="L718" s="305"/>
      <c r="M718" s="305"/>
      <c r="N718" s="305"/>
      <c r="O718" s="305"/>
      <c r="P718" s="305"/>
      <c r="Q718" s="305"/>
      <c r="R718" s="305"/>
      <c r="S718" s="305"/>
      <c r="T718" s="305"/>
      <c r="U718" s="305"/>
      <c r="V718" s="305"/>
      <c r="W718" s="305"/>
      <c r="X718" s="305"/>
      <c r="Y718" s="305"/>
      <c r="Z718" s="305"/>
      <c r="AA718" s="305"/>
      <c r="AB718" s="305"/>
      <c r="AC718" s="307"/>
    </row>
    <row r="719" ht="13.5" customHeight="1">
      <c r="A719" s="312"/>
      <c r="B719" s="301"/>
      <c r="C719" s="301"/>
      <c r="D719" s="301"/>
      <c r="E719" s="301"/>
      <c r="F719" s="301"/>
      <c r="G719" s="301"/>
      <c r="H719" s="301"/>
      <c r="I719" s="301"/>
      <c r="J719" s="301"/>
      <c r="K719" s="301"/>
      <c r="L719" s="302"/>
      <c r="M719" s="302"/>
      <c r="N719" s="302"/>
      <c r="O719" s="302"/>
      <c r="P719" s="302"/>
      <c r="Q719" s="302"/>
      <c r="R719" s="302"/>
      <c r="S719" s="302"/>
      <c r="T719" s="302"/>
      <c r="U719" s="302"/>
      <c r="V719" s="302"/>
      <c r="W719" s="302"/>
      <c r="X719" s="302"/>
      <c r="Y719" s="302"/>
      <c r="Z719" s="302"/>
      <c r="AA719" s="302"/>
      <c r="AB719" s="302"/>
      <c r="AC719" s="303"/>
    </row>
    <row r="720" ht="13.5" customHeight="1">
      <c r="A720" s="326"/>
      <c r="B720" s="15"/>
      <c r="C720" s="7"/>
      <c r="D720" s="9"/>
      <c r="E720" s="13"/>
      <c r="F720" s="13"/>
      <c r="G720" s="308"/>
      <c r="H720" s="308"/>
      <c r="I720" s="7"/>
      <c r="J720" s="9"/>
      <c r="K720" s="7"/>
      <c r="L720" s="305"/>
      <c r="M720" s="305"/>
      <c r="N720" s="305"/>
      <c r="O720" s="305"/>
      <c r="P720" s="305"/>
      <c r="Q720" s="305"/>
      <c r="R720" s="305"/>
      <c r="S720" s="305"/>
      <c r="T720" s="305"/>
      <c r="U720" s="305"/>
      <c r="V720" s="305"/>
      <c r="W720" s="305"/>
      <c r="X720" s="305"/>
      <c r="Y720" s="305"/>
      <c r="Z720" s="305"/>
      <c r="AA720" s="305"/>
      <c r="AB720" s="305"/>
      <c r="AC720" s="307"/>
    </row>
    <row r="721" ht="13.5" customHeight="1">
      <c r="A721" s="312"/>
      <c r="B721" s="301"/>
      <c r="C721" s="301"/>
      <c r="D721" s="301"/>
      <c r="E721" s="301"/>
      <c r="F721" s="301"/>
      <c r="G721" s="301"/>
      <c r="H721" s="301"/>
      <c r="I721" s="301"/>
      <c r="J721" s="301"/>
      <c r="K721" s="301"/>
      <c r="L721" s="302"/>
      <c r="M721" s="302"/>
      <c r="N721" s="302"/>
      <c r="O721" s="302"/>
      <c r="P721" s="302"/>
      <c r="Q721" s="302"/>
      <c r="R721" s="302"/>
      <c r="S721" s="302"/>
      <c r="T721" s="302"/>
      <c r="U721" s="302"/>
      <c r="V721" s="302"/>
      <c r="W721" s="302"/>
      <c r="X721" s="302"/>
      <c r="Y721" s="302"/>
      <c r="Z721" s="302"/>
      <c r="AA721" s="302"/>
      <c r="AB721" s="302"/>
      <c r="AC721" s="303"/>
    </row>
    <row r="722" ht="13.5" customHeight="1">
      <c r="A722" s="326"/>
      <c r="B722" s="15"/>
      <c r="C722" s="7"/>
      <c r="D722" s="9"/>
      <c r="E722" s="13"/>
      <c r="F722" s="13"/>
      <c r="G722" s="308"/>
      <c r="H722" s="308"/>
      <c r="I722" s="7"/>
      <c r="J722" s="9"/>
      <c r="K722" s="7"/>
      <c r="L722" s="305"/>
      <c r="M722" s="305"/>
      <c r="N722" s="305"/>
      <c r="O722" s="305"/>
      <c r="P722" s="305"/>
      <c r="Q722" s="305"/>
      <c r="R722" s="305"/>
      <c r="S722" s="305"/>
      <c r="T722" s="305"/>
      <c r="U722" s="305"/>
      <c r="V722" s="305"/>
      <c r="W722" s="305"/>
      <c r="X722" s="305"/>
      <c r="Y722" s="305"/>
      <c r="Z722" s="305"/>
      <c r="AA722" s="305"/>
      <c r="AB722" s="305"/>
      <c r="AC722" s="307"/>
    </row>
    <row r="723" ht="13.5" customHeight="1">
      <c r="A723" s="312"/>
      <c r="B723" s="301"/>
      <c r="C723" s="301"/>
      <c r="D723" s="301"/>
      <c r="E723" s="301"/>
      <c r="F723" s="301"/>
      <c r="G723" s="301"/>
      <c r="H723" s="301"/>
      <c r="I723" s="301"/>
      <c r="J723" s="301"/>
      <c r="K723" s="301"/>
      <c r="L723" s="302"/>
      <c r="M723" s="302"/>
      <c r="N723" s="302"/>
      <c r="O723" s="302"/>
      <c r="P723" s="302"/>
      <c r="Q723" s="302"/>
      <c r="R723" s="302"/>
      <c r="S723" s="302"/>
      <c r="T723" s="302"/>
      <c r="U723" s="302"/>
      <c r="V723" s="302"/>
      <c r="W723" s="302"/>
      <c r="X723" s="302"/>
      <c r="Y723" s="302"/>
      <c r="Z723" s="302"/>
      <c r="AA723" s="302"/>
      <c r="AB723" s="302"/>
      <c r="AC723" s="303"/>
    </row>
    <row r="724" ht="13.5" customHeight="1">
      <c r="A724" s="326"/>
      <c r="B724" s="15"/>
      <c r="C724" s="7"/>
      <c r="D724" s="9"/>
      <c r="E724" s="13"/>
      <c r="F724" s="13"/>
      <c r="G724" s="308"/>
      <c r="H724" s="308"/>
      <c r="I724" s="7"/>
      <c r="J724" s="9"/>
      <c r="K724" s="7"/>
      <c r="L724" s="305"/>
      <c r="M724" s="305"/>
      <c r="N724" s="305"/>
      <c r="O724" s="305"/>
      <c r="P724" s="305"/>
      <c r="Q724" s="305"/>
      <c r="R724" s="305"/>
      <c r="S724" s="305"/>
      <c r="T724" s="305"/>
      <c r="U724" s="305"/>
      <c r="V724" s="305"/>
      <c r="W724" s="305"/>
      <c r="X724" s="305"/>
      <c r="Y724" s="305"/>
      <c r="Z724" s="305"/>
      <c r="AA724" s="305"/>
      <c r="AB724" s="305"/>
      <c r="AC724" s="307"/>
    </row>
    <row r="725" ht="13.5" customHeight="1">
      <c r="A725" s="312"/>
      <c r="B725" s="301"/>
      <c r="C725" s="301"/>
      <c r="D725" s="301"/>
      <c r="E725" s="301"/>
      <c r="F725" s="301"/>
      <c r="G725" s="301"/>
      <c r="H725" s="301"/>
      <c r="I725" s="301"/>
      <c r="J725" s="301"/>
      <c r="K725" s="301"/>
      <c r="L725" s="302"/>
      <c r="M725" s="302"/>
      <c r="N725" s="302"/>
      <c r="O725" s="302"/>
      <c r="P725" s="302"/>
      <c r="Q725" s="302"/>
      <c r="R725" s="302"/>
      <c r="S725" s="302"/>
      <c r="T725" s="302"/>
      <c r="U725" s="302"/>
      <c r="V725" s="302"/>
      <c r="W725" s="302"/>
      <c r="X725" s="302"/>
      <c r="Y725" s="302"/>
      <c r="Z725" s="302"/>
      <c r="AA725" s="302"/>
      <c r="AB725" s="302"/>
      <c r="AC725" s="303"/>
    </row>
    <row r="726" ht="13.5" customHeight="1">
      <c r="A726" s="326"/>
      <c r="B726" s="15"/>
      <c r="C726" s="7"/>
      <c r="D726" s="9"/>
      <c r="E726" s="13"/>
      <c r="F726" s="13"/>
      <c r="G726" s="308"/>
      <c r="H726" s="308"/>
      <c r="I726" s="7"/>
      <c r="J726" s="9"/>
      <c r="K726" s="7"/>
      <c r="L726" s="305"/>
      <c r="M726" s="305"/>
      <c r="N726" s="305"/>
      <c r="O726" s="305"/>
      <c r="P726" s="305"/>
      <c r="Q726" s="305"/>
      <c r="R726" s="305"/>
      <c r="S726" s="305"/>
      <c r="T726" s="305"/>
      <c r="U726" s="305"/>
      <c r="V726" s="305"/>
      <c r="W726" s="305"/>
      <c r="X726" s="305"/>
      <c r="Y726" s="305"/>
      <c r="Z726" s="305"/>
      <c r="AA726" s="305"/>
      <c r="AB726" s="305"/>
      <c r="AC726" s="307"/>
    </row>
    <row r="727" ht="13.5" customHeight="1">
      <c r="A727" s="312"/>
      <c r="B727" s="301"/>
      <c r="C727" s="301"/>
      <c r="D727" s="301"/>
      <c r="E727" s="301"/>
      <c r="F727" s="301"/>
      <c r="G727" s="301"/>
      <c r="H727" s="301"/>
      <c r="I727" s="301"/>
      <c r="J727" s="301"/>
      <c r="K727" s="301"/>
      <c r="L727" s="302"/>
      <c r="M727" s="302"/>
      <c r="N727" s="302"/>
      <c r="O727" s="302"/>
      <c r="P727" s="302"/>
      <c r="Q727" s="302"/>
      <c r="R727" s="302"/>
      <c r="S727" s="302"/>
      <c r="T727" s="302"/>
      <c r="U727" s="302"/>
      <c r="V727" s="302"/>
      <c r="W727" s="302"/>
      <c r="X727" s="302"/>
      <c r="Y727" s="302"/>
      <c r="Z727" s="302"/>
      <c r="AA727" s="302"/>
      <c r="AB727" s="302"/>
      <c r="AC727" s="303"/>
    </row>
    <row r="728" ht="13.5" customHeight="1">
      <c r="A728" s="326"/>
      <c r="B728" s="15"/>
      <c r="C728" s="7"/>
      <c r="D728" s="9"/>
      <c r="E728" s="13"/>
      <c r="F728" s="13"/>
      <c r="G728" s="308"/>
      <c r="H728" s="308"/>
      <c r="I728" s="7"/>
      <c r="J728" s="9"/>
      <c r="K728" s="7"/>
      <c r="L728" s="305"/>
      <c r="M728" s="305"/>
      <c r="N728" s="305"/>
      <c r="O728" s="305"/>
      <c r="P728" s="305"/>
      <c r="Q728" s="305"/>
      <c r="R728" s="305"/>
      <c r="S728" s="305"/>
      <c r="T728" s="305"/>
      <c r="U728" s="305"/>
      <c r="V728" s="305"/>
      <c r="W728" s="305"/>
      <c r="X728" s="305"/>
      <c r="Y728" s="305"/>
      <c r="Z728" s="305"/>
      <c r="AA728" s="305"/>
      <c r="AB728" s="305"/>
      <c r="AC728" s="307"/>
    </row>
    <row r="729" ht="13.5" customHeight="1">
      <c r="A729" s="312"/>
      <c r="B729" s="301"/>
      <c r="C729" s="301"/>
      <c r="D729" s="301"/>
      <c r="E729" s="301"/>
      <c r="F729" s="301"/>
      <c r="G729" s="301"/>
      <c r="H729" s="301"/>
      <c r="I729" s="301"/>
      <c r="J729" s="301"/>
      <c r="K729" s="301"/>
      <c r="L729" s="302"/>
      <c r="M729" s="302"/>
      <c r="N729" s="302"/>
      <c r="O729" s="302"/>
      <c r="P729" s="302"/>
      <c r="Q729" s="302"/>
      <c r="R729" s="302"/>
      <c r="S729" s="302"/>
      <c r="T729" s="302"/>
      <c r="U729" s="302"/>
      <c r="V729" s="302"/>
      <c r="W729" s="302"/>
      <c r="X729" s="302"/>
      <c r="Y729" s="302"/>
      <c r="Z729" s="302"/>
      <c r="AA729" s="302"/>
      <c r="AB729" s="302"/>
      <c r="AC729" s="303"/>
    </row>
    <row r="730" ht="13.5" customHeight="1">
      <c r="A730" s="326"/>
      <c r="B730" s="15"/>
      <c r="C730" s="7"/>
      <c r="D730" s="9"/>
      <c r="E730" s="13"/>
      <c r="F730" s="13"/>
      <c r="G730" s="308"/>
      <c r="H730" s="308"/>
      <c r="I730" s="7"/>
      <c r="J730" s="9"/>
      <c r="K730" s="7"/>
      <c r="L730" s="305"/>
      <c r="M730" s="305"/>
      <c r="N730" s="305"/>
      <c r="O730" s="305"/>
      <c r="P730" s="305"/>
      <c r="Q730" s="305"/>
      <c r="R730" s="305"/>
      <c r="S730" s="305"/>
      <c r="T730" s="305"/>
      <c r="U730" s="305"/>
      <c r="V730" s="305"/>
      <c r="W730" s="305"/>
      <c r="X730" s="305"/>
      <c r="Y730" s="305"/>
      <c r="Z730" s="305"/>
      <c r="AA730" s="305"/>
      <c r="AB730" s="305"/>
      <c r="AC730" s="307"/>
    </row>
    <row r="731" ht="13.5" customHeight="1">
      <c r="A731" s="312"/>
      <c r="B731" s="301"/>
      <c r="C731" s="301"/>
      <c r="D731" s="301"/>
      <c r="E731" s="301"/>
      <c r="F731" s="301"/>
      <c r="G731" s="301"/>
      <c r="H731" s="301"/>
      <c r="I731" s="301"/>
      <c r="J731" s="301"/>
      <c r="K731" s="301"/>
      <c r="L731" s="302"/>
      <c r="M731" s="302"/>
      <c r="N731" s="302"/>
      <c r="O731" s="302"/>
      <c r="P731" s="302"/>
      <c r="Q731" s="302"/>
      <c r="R731" s="302"/>
      <c r="S731" s="302"/>
      <c r="T731" s="302"/>
      <c r="U731" s="302"/>
      <c r="V731" s="302"/>
      <c r="W731" s="302"/>
      <c r="X731" s="302"/>
      <c r="Y731" s="302"/>
      <c r="Z731" s="302"/>
      <c r="AA731" s="302"/>
      <c r="AB731" s="302"/>
      <c r="AC731" s="303"/>
    </row>
    <row r="732" ht="13.5" customHeight="1">
      <c r="A732" s="326"/>
      <c r="B732" s="15"/>
      <c r="C732" s="7"/>
      <c r="D732" s="9"/>
      <c r="E732" s="13"/>
      <c r="F732" s="13"/>
      <c r="G732" s="308"/>
      <c r="H732" s="308"/>
      <c r="I732" s="7"/>
      <c r="J732" s="9"/>
      <c r="K732" s="7"/>
      <c r="L732" s="305"/>
      <c r="M732" s="305"/>
      <c r="N732" s="305"/>
      <c r="O732" s="305"/>
      <c r="P732" s="305"/>
      <c r="Q732" s="305"/>
      <c r="R732" s="305"/>
      <c r="S732" s="305"/>
      <c r="T732" s="305"/>
      <c r="U732" s="305"/>
      <c r="V732" s="305"/>
      <c r="W732" s="305"/>
      <c r="X732" s="305"/>
      <c r="Y732" s="305"/>
      <c r="Z732" s="305"/>
      <c r="AA732" s="305"/>
      <c r="AB732" s="305"/>
      <c r="AC732" s="307"/>
    </row>
    <row r="733" ht="13.5" customHeight="1">
      <c r="A733" s="312"/>
      <c r="B733" s="301"/>
      <c r="C733" s="301"/>
      <c r="D733" s="301"/>
      <c r="E733" s="301"/>
      <c r="F733" s="301"/>
      <c r="G733" s="301"/>
      <c r="H733" s="301"/>
      <c r="I733" s="301"/>
      <c r="J733" s="301"/>
      <c r="K733" s="301"/>
      <c r="L733" s="302"/>
      <c r="M733" s="302"/>
      <c r="N733" s="302"/>
      <c r="O733" s="302"/>
      <c r="P733" s="302"/>
      <c r="Q733" s="302"/>
      <c r="R733" s="302"/>
      <c r="S733" s="302"/>
      <c r="T733" s="302"/>
      <c r="U733" s="302"/>
      <c r="V733" s="302"/>
      <c r="W733" s="302"/>
      <c r="X733" s="302"/>
      <c r="Y733" s="302"/>
      <c r="Z733" s="302"/>
      <c r="AA733" s="302"/>
      <c r="AB733" s="302"/>
      <c r="AC733" s="303"/>
    </row>
    <row r="734" ht="13.5" customHeight="1">
      <c r="A734" s="326"/>
      <c r="B734" s="15"/>
      <c r="C734" s="7"/>
      <c r="D734" s="9"/>
      <c r="E734" s="13"/>
      <c r="F734" s="13"/>
      <c r="G734" s="308"/>
      <c r="H734" s="308"/>
      <c r="I734" s="7"/>
      <c r="J734" s="9"/>
      <c r="K734" s="7"/>
      <c r="L734" s="305"/>
      <c r="M734" s="305"/>
      <c r="N734" s="305"/>
      <c r="O734" s="305"/>
      <c r="P734" s="305"/>
      <c r="Q734" s="305"/>
      <c r="R734" s="305"/>
      <c r="S734" s="305"/>
      <c r="T734" s="305"/>
      <c r="U734" s="305"/>
      <c r="V734" s="305"/>
      <c r="W734" s="305"/>
      <c r="X734" s="305"/>
      <c r="Y734" s="305"/>
      <c r="Z734" s="305"/>
      <c r="AA734" s="305"/>
      <c r="AB734" s="305"/>
      <c r="AC734" s="307"/>
    </row>
    <row r="735" ht="13.5" customHeight="1">
      <c r="A735" s="312"/>
      <c r="B735" s="301"/>
      <c r="C735" s="301"/>
      <c r="D735" s="301"/>
      <c r="E735" s="301"/>
      <c r="F735" s="301"/>
      <c r="G735" s="301"/>
      <c r="H735" s="301"/>
      <c r="I735" s="301"/>
      <c r="J735" s="301"/>
      <c r="K735" s="301"/>
      <c r="L735" s="302"/>
      <c r="M735" s="302"/>
      <c r="N735" s="302"/>
      <c r="O735" s="302"/>
      <c r="P735" s="302"/>
      <c r="Q735" s="302"/>
      <c r="R735" s="302"/>
      <c r="S735" s="302"/>
      <c r="T735" s="302"/>
      <c r="U735" s="302"/>
      <c r="V735" s="302"/>
      <c r="W735" s="302"/>
      <c r="X735" s="302"/>
      <c r="Y735" s="302"/>
      <c r="Z735" s="302"/>
      <c r="AA735" s="302"/>
      <c r="AB735" s="302"/>
      <c r="AC735" s="303"/>
    </row>
    <row r="736" ht="13.5" customHeight="1">
      <c r="A736" s="326"/>
      <c r="B736" s="15"/>
      <c r="C736" s="7"/>
      <c r="D736" s="9"/>
      <c r="E736" s="13"/>
      <c r="F736" s="13"/>
      <c r="G736" s="308"/>
      <c r="H736" s="308"/>
      <c r="I736" s="7"/>
      <c r="J736" s="9"/>
      <c r="K736" s="7"/>
      <c r="L736" s="305"/>
      <c r="M736" s="305"/>
      <c r="N736" s="305"/>
      <c r="O736" s="305"/>
      <c r="P736" s="305"/>
      <c r="Q736" s="305"/>
      <c r="R736" s="305"/>
      <c r="S736" s="305"/>
      <c r="T736" s="305"/>
      <c r="U736" s="305"/>
      <c r="V736" s="305"/>
      <c r="W736" s="305"/>
      <c r="X736" s="305"/>
      <c r="Y736" s="305"/>
      <c r="Z736" s="305"/>
      <c r="AA736" s="305"/>
      <c r="AB736" s="305"/>
      <c r="AC736" s="307"/>
    </row>
    <row r="737" ht="13.5" customHeight="1">
      <c r="A737" s="312"/>
      <c r="B737" s="301"/>
      <c r="C737" s="301"/>
      <c r="D737" s="301"/>
      <c r="E737" s="301"/>
      <c r="F737" s="301"/>
      <c r="G737" s="301"/>
      <c r="H737" s="301"/>
      <c r="I737" s="301"/>
      <c r="J737" s="301"/>
      <c r="K737" s="301"/>
      <c r="L737" s="302"/>
      <c r="M737" s="302"/>
      <c r="N737" s="302"/>
      <c r="O737" s="302"/>
      <c r="P737" s="302"/>
      <c r="Q737" s="302"/>
      <c r="R737" s="302"/>
      <c r="S737" s="302"/>
      <c r="T737" s="302"/>
      <c r="U737" s="302"/>
      <c r="V737" s="302"/>
      <c r="W737" s="302"/>
      <c r="X737" s="302"/>
      <c r="Y737" s="302"/>
      <c r="Z737" s="302"/>
      <c r="AA737" s="302"/>
      <c r="AB737" s="302"/>
      <c r="AC737" s="303"/>
    </row>
    <row r="738" ht="13.5" customHeight="1">
      <c r="A738" s="326"/>
      <c r="B738" s="15"/>
      <c r="C738" s="7"/>
      <c r="D738" s="9"/>
      <c r="E738" s="13"/>
      <c r="F738" s="13"/>
      <c r="G738" s="308"/>
      <c r="H738" s="308"/>
      <c r="I738" s="7"/>
      <c r="J738" s="9"/>
      <c r="K738" s="7"/>
      <c r="L738" s="305"/>
      <c r="M738" s="305"/>
      <c r="N738" s="305"/>
      <c r="O738" s="305"/>
      <c r="P738" s="305"/>
      <c r="Q738" s="305"/>
      <c r="R738" s="305"/>
      <c r="S738" s="305"/>
      <c r="T738" s="305"/>
      <c r="U738" s="305"/>
      <c r="V738" s="305"/>
      <c r="W738" s="305"/>
      <c r="X738" s="305"/>
      <c r="Y738" s="305"/>
      <c r="Z738" s="305"/>
      <c r="AA738" s="305"/>
      <c r="AB738" s="305"/>
      <c r="AC738" s="307"/>
    </row>
    <row r="739" ht="13.5" customHeight="1">
      <c r="A739" s="312"/>
      <c r="B739" s="301"/>
      <c r="C739" s="301"/>
      <c r="D739" s="301"/>
      <c r="E739" s="301"/>
      <c r="F739" s="301"/>
      <c r="G739" s="301"/>
      <c r="H739" s="301"/>
      <c r="I739" s="301"/>
      <c r="J739" s="301"/>
      <c r="K739" s="301"/>
      <c r="L739" s="302"/>
      <c r="M739" s="302"/>
      <c r="N739" s="302"/>
      <c r="O739" s="302"/>
      <c r="P739" s="302"/>
      <c r="Q739" s="302"/>
      <c r="R739" s="302"/>
      <c r="S739" s="302"/>
      <c r="T739" s="302"/>
      <c r="U739" s="302"/>
      <c r="V739" s="302"/>
      <c r="W739" s="302"/>
      <c r="X739" s="302"/>
      <c r="Y739" s="302"/>
      <c r="Z739" s="302"/>
      <c r="AA739" s="302"/>
      <c r="AB739" s="302"/>
      <c r="AC739" s="303"/>
    </row>
    <row r="740" ht="13.5" customHeight="1">
      <c r="A740" s="326"/>
      <c r="B740" s="15"/>
      <c r="C740" s="7"/>
      <c r="D740" s="9"/>
      <c r="E740" s="13"/>
      <c r="F740" s="13"/>
      <c r="G740" s="308"/>
      <c r="H740" s="308"/>
      <c r="I740" s="7"/>
      <c r="J740" s="9"/>
      <c r="K740" s="7"/>
      <c r="L740" s="305"/>
      <c r="M740" s="305"/>
      <c r="N740" s="305"/>
      <c r="O740" s="305"/>
      <c r="P740" s="305"/>
      <c r="Q740" s="305"/>
      <c r="R740" s="305"/>
      <c r="S740" s="305"/>
      <c r="T740" s="305"/>
      <c r="U740" s="305"/>
      <c r="V740" s="305"/>
      <c r="W740" s="305"/>
      <c r="X740" s="305"/>
      <c r="Y740" s="305"/>
      <c r="Z740" s="305"/>
      <c r="AA740" s="305"/>
      <c r="AB740" s="305"/>
      <c r="AC740" s="307"/>
    </row>
    <row r="741" ht="13.5" customHeight="1">
      <c r="A741" s="312"/>
      <c r="B741" s="301"/>
      <c r="C741" s="301"/>
      <c r="D741" s="301"/>
      <c r="E741" s="301"/>
      <c r="F741" s="301"/>
      <c r="G741" s="301"/>
      <c r="H741" s="301"/>
      <c r="I741" s="301"/>
      <c r="J741" s="301"/>
      <c r="K741" s="301"/>
      <c r="L741" s="302"/>
      <c r="M741" s="302"/>
      <c r="N741" s="302"/>
      <c r="O741" s="302"/>
      <c r="P741" s="302"/>
      <c r="Q741" s="302"/>
      <c r="R741" s="302"/>
      <c r="S741" s="302"/>
      <c r="T741" s="302"/>
      <c r="U741" s="302"/>
      <c r="V741" s="302"/>
      <c r="W741" s="302"/>
      <c r="X741" s="302"/>
      <c r="Y741" s="302"/>
      <c r="Z741" s="302"/>
      <c r="AA741" s="302"/>
      <c r="AB741" s="302"/>
      <c r="AC741" s="303"/>
    </row>
    <row r="742" ht="13.5" customHeight="1">
      <c r="A742" s="326"/>
      <c r="B742" s="15"/>
      <c r="C742" s="7"/>
      <c r="D742" s="9"/>
      <c r="E742" s="13"/>
      <c r="F742" s="13"/>
      <c r="G742" s="308"/>
      <c r="H742" s="308"/>
      <c r="I742" s="7"/>
      <c r="J742" s="9"/>
      <c r="K742" s="7"/>
      <c r="L742" s="305"/>
      <c r="M742" s="305"/>
      <c r="N742" s="305"/>
      <c r="O742" s="305"/>
      <c r="P742" s="305"/>
      <c r="Q742" s="305"/>
      <c r="R742" s="305"/>
      <c r="S742" s="305"/>
      <c r="T742" s="305"/>
      <c r="U742" s="305"/>
      <c r="V742" s="305"/>
      <c r="W742" s="305"/>
      <c r="X742" s="305"/>
      <c r="Y742" s="305"/>
      <c r="Z742" s="305"/>
      <c r="AA742" s="305"/>
      <c r="AB742" s="305"/>
      <c r="AC742" s="307"/>
    </row>
    <row r="743" ht="13.5" customHeight="1">
      <c r="A743" s="312"/>
      <c r="B743" s="301"/>
      <c r="C743" s="301"/>
      <c r="D743" s="301"/>
      <c r="E743" s="301"/>
      <c r="F743" s="301"/>
      <c r="G743" s="301"/>
      <c r="H743" s="301"/>
      <c r="I743" s="301"/>
      <c r="J743" s="301"/>
      <c r="K743" s="301"/>
      <c r="L743" s="302"/>
      <c r="M743" s="302"/>
      <c r="N743" s="302"/>
      <c r="O743" s="302"/>
      <c r="P743" s="302"/>
      <c r="Q743" s="302"/>
      <c r="R743" s="302"/>
      <c r="S743" s="302"/>
      <c r="T743" s="302"/>
      <c r="U743" s="302"/>
      <c r="V743" s="302"/>
      <c r="W743" s="302"/>
      <c r="X743" s="302"/>
      <c r="Y743" s="302"/>
      <c r="Z743" s="302"/>
      <c r="AA743" s="302"/>
      <c r="AB743" s="302"/>
      <c r="AC743" s="303"/>
    </row>
    <row r="744" ht="13.5" customHeight="1">
      <c r="A744" s="326"/>
      <c r="B744" s="15"/>
      <c r="C744" s="7"/>
      <c r="D744" s="9"/>
      <c r="E744" s="13"/>
      <c r="F744" s="13"/>
      <c r="G744" s="308"/>
      <c r="H744" s="308"/>
      <c r="I744" s="7"/>
      <c r="J744" s="9"/>
      <c r="K744" s="7"/>
      <c r="L744" s="305"/>
      <c r="M744" s="305"/>
      <c r="N744" s="305"/>
      <c r="O744" s="305"/>
      <c r="P744" s="305"/>
      <c r="Q744" s="305"/>
      <c r="R744" s="305"/>
      <c r="S744" s="305"/>
      <c r="T744" s="305"/>
      <c r="U744" s="305"/>
      <c r="V744" s="305"/>
      <c r="W744" s="305"/>
      <c r="X744" s="305"/>
      <c r="Y744" s="305"/>
      <c r="Z744" s="305"/>
      <c r="AA744" s="305"/>
      <c r="AB744" s="305"/>
      <c r="AC744" s="307"/>
    </row>
    <row r="745" ht="13.5" customHeight="1">
      <c r="A745" s="312"/>
      <c r="B745" s="301"/>
      <c r="C745" s="301"/>
      <c r="D745" s="301"/>
      <c r="E745" s="301"/>
      <c r="F745" s="301"/>
      <c r="G745" s="301"/>
      <c r="H745" s="301"/>
      <c r="I745" s="301"/>
      <c r="J745" s="301"/>
      <c r="K745" s="301"/>
      <c r="L745" s="302"/>
      <c r="M745" s="302"/>
      <c r="N745" s="302"/>
      <c r="O745" s="302"/>
      <c r="P745" s="302"/>
      <c r="Q745" s="302"/>
      <c r="R745" s="302"/>
      <c r="S745" s="302"/>
      <c r="T745" s="302"/>
      <c r="U745" s="302"/>
      <c r="V745" s="302"/>
      <c r="W745" s="302"/>
      <c r="X745" s="302"/>
      <c r="Y745" s="302"/>
      <c r="Z745" s="302"/>
      <c r="AA745" s="302"/>
      <c r="AB745" s="302"/>
      <c r="AC745" s="303"/>
    </row>
    <row r="746" ht="13.5" customHeight="1">
      <c r="A746" s="326"/>
      <c r="B746" s="15"/>
      <c r="C746" s="7"/>
      <c r="D746" s="9"/>
      <c r="E746" s="13"/>
      <c r="F746" s="13"/>
      <c r="G746" s="308"/>
      <c r="H746" s="308"/>
      <c r="I746" s="7"/>
      <c r="J746" s="9"/>
      <c r="K746" s="7"/>
      <c r="L746" s="305"/>
      <c r="M746" s="305"/>
      <c r="N746" s="305"/>
      <c r="O746" s="305"/>
      <c r="P746" s="305"/>
      <c r="Q746" s="305"/>
      <c r="R746" s="305"/>
      <c r="S746" s="305"/>
      <c r="T746" s="305"/>
      <c r="U746" s="305"/>
      <c r="V746" s="305"/>
      <c r="W746" s="305"/>
      <c r="X746" s="305"/>
      <c r="Y746" s="305"/>
      <c r="Z746" s="305"/>
      <c r="AA746" s="305"/>
      <c r="AB746" s="305"/>
      <c r="AC746" s="307"/>
    </row>
    <row r="747" ht="13.5" customHeight="1">
      <c r="A747" s="312"/>
      <c r="B747" s="301"/>
      <c r="C747" s="301"/>
      <c r="D747" s="301"/>
      <c r="E747" s="301"/>
      <c r="F747" s="301"/>
      <c r="G747" s="301"/>
      <c r="H747" s="301"/>
      <c r="I747" s="301"/>
      <c r="J747" s="301"/>
      <c r="K747" s="301"/>
      <c r="L747" s="302"/>
      <c r="M747" s="302"/>
      <c r="N747" s="302"/>
      <c r="O747" s="302"/>
      <c r="P747" s="302"/>
      <c r="Q747" s="302"/>
      <c r="R747" s="302"/>
      <c r="S747" s="302"/>
      <c r="T747" s="302"/>
      <c r="U747" s="302"/>
      <c r="V747" s="302"/>
      <c r="W747" s="302"/>
      <c r="X747" s="302"/>
      <c r="Y747" s="302"/>
      <c r="Z747" s="302"/>
      <c r="AA747" s="302"/>
      <c r="AB747" s="302"/>
      <c r="AC747" s="303"/>
    </row>
    <row r="748" ht="13.5" customHeight="1">
      <c r="A748" s="326"/>
      <c r="B748" s="15"/>
      <c r="C748" s="7"/>
      <c r="D748" s="9"/>
      <c r="E748" s="13"/>
      <c r="F748" s="13"/>
      <c r="G748" s="308"/>
      <c r="H748" s="308"/>
      <c r="I748" s="7"/>
      <c r="J748" s="9"/>
      <c r="K748" s="7"/>
      <c r="L748" s="305"/>
      <c r="M748" s="305"/>
      <c r="N748" s="305"/>
      <c r="O748" s="305"/>
      <c r="P748" s="305"/>
      <c r="Q748" s="305"/>
      <c r="R748" s="305"/>
      <c r="S748" s="305"/>
      <c r="T748" s="305"/>
      <c r="U748" s="305"/>
      <c r="V748" s="305"/>
      <c r="W748" s="305"/>
      <c r="X748" s="305"/>
      <c r="Y748" s="305"/>
      <c r="Z748" s="305"/>
      <c r="AA748" s="305"/>
      <c r="AB748" s="305"/>
      <c r="AC748" s="307"/>
    </row>
    <row r="749" ht="13.5" customHeight="1">
      <c r="A749" s="312"/>
      <c r="B749" s="301"/>
      <c r="C749" s="301"/>
      <c r="D749" s="301"/>
      <c r="E749" s="301"/>
      <c r="F749" s="301"/>
      <c r="G749" s="301"/>
      <c r="H749" s="301"/>
      <c r="I749" s="301"/>
      <c r="J749" s="301"/>
      <c r="K749" s="301"/>
      <c r="L749" s="302"/>
      <c r="M749" s="302"/>
      <c r="N749" s="302"/>
      <c r="O749" s="302"/>
      <c r="P749" s="302"/>
      <c r="Q749" s="302"/>
      <c r="R749" s="302"/>
      <c r="S749" s="302"/>
      <c r="T749" s="302"/>
      <c r="U749" s="302"/>
      <c r="V749" s="302"/>
      <c r="W749" s="302"/>
      <c r="X749" s="302"/>
      <c r="Y749" s="302"/>
      <c r="Z749" s="302"/>
      <c r="AA749" s="302"/>
      <c r="AB749" s="302"/>
      <c r="AC749" s="303"/>
    </row>
    <row r="750" ht="13.5" customHeight="1">
      <c r="A750" s="326"/>
      <c r="B750" s="15"/>
      <c r="C750" s="7"/>
      <c r="D750" s="9"/>
      <c r="E750" s="13"/>
      <c r="F750" s="13"/>
      <c r="G750" s="308"/>
      <c r="H750" s="308"/>
      <c r="I750" s="7"/>
      <c r="J750" s="9"/>
      <c r="K750" s="7"/>
      <c r="L750" s="305"/>
      <c r="M750" s="305"/>
      <c r="N750" s="305"/>
      <c r="O750" s="305"/>
      <c r="P750" s="305"/>
      <c r="Q750" s="305"/>
      <c r="R750" s="305"/>
      <c r="S750" s="305"/>
      <c r="T750" s="305"/>
      <c r="U750" s="305"/>
      <c r="V750" s="305"/>
      <c r="W750" s="305"/>
      <c r="X750" s="305"/>
      <c r="Y750" s="305"/>
      <c r="Z750" s="305"/>
      <c r="AA750" s="305"/>
      <c r="AB750" s="305"/>
      <c r="AC750" s="307"/>
    </row>
    <row r="751" ht="13.5" customHeight="1">
      <c r="A751" s="312"/>
      <c r="B751" s="301"/>
      <c r="C751" s="301"/>
      <c r="D751" s="301"/>
      <c r="E751" s="301"/>
      <c r="F751" s="301"/>
      <c r="G751" s="301"/>
      <c r="H751" s="301"/>
      <c r="I751" s="301"/>
      <c r="J751" s="301"/>
      <c r="K751" s="301"/>
      <c r="L751" s="302"/>
      <c r="M751" s="302"/>
      <c r="N751" s="302"/>
      <c r="O751" s="302"/>
      <c r="P751" s="302"/>
      <c r="Q751" s="302"/>
      <c r="R751" s="302"/>
      <c r="S751" s="302"/>
      <c r="T751" s="302"/>
      <c r="U751" s="302"/>
      <c r="V751" s="302"/>
      <c r="W751" s="302"/>
      <c r="X751" s="302"/>
      <c r="Y751" s="302"/>
      <c r="Z751" s="302"/>
      <c r="AA751" s="302"/>
      <c r="AB751" s="302"/>
      <c r="AC751" s="303"/>
    </row>
    <row r="752" ht="13.5" customHeight="1">
      <c r="A752" s="326"/>
      <c r="B752" s="15"/>
      <c r="C752" s="7"/>
      <c r="D752" s="9"/>
      <c r="E752" s="13"/>
      <c r="F752" s="13"/>
      <c r="G752" s="308"/>
      <c r="H752" s="308"/>
      <c r="I752" s="7"/>
      <c r="J752" s="9"/>
      <c r="K752" s="7"/>
      <c r="L752" s="305"/>
      <c r="M752" s="305"/>
      <c r="N752" s="305"/>
      <c r="O752" s="305"/>
      <c r="P752" s="305"/>
      <c r="Q752" s="305"/>
      <c r="R752" s="305"/>
      <c r="S752" s="305"/>
      <c r="T752" s="305"/>
      <c r="U752" s="305"/>
      <c r="V752" s="305"/>
      <c r="W752" s="305"/>
      <c r="X752" s="305"/>
      <c r="Y752" s="305"/>
      <c r="Z752" s="305"/>
      <c r="AA752" s="305"/>
      <c r="AB752" s="305"/>
      <c r="AC752" s="307"/>
    </row>
    <row r="753" ht="13.5" customHeight="1">
      <c r="A753" s="312"/>
      <c r="B753" s="301"/>
      <c r="C753" s="301"/>
      <c r="D753" s="301"/>
      <c r="E753" s="301"/>
      <c r="F753" s="301"/>
      <c r="G753" s="301"/>
      <c r="H753" s="301"/>
      <c r="I753" s="301"/>
      <c r="J753" s="301"/>
      <c r="K753" s="301"/>
      <c r="L753" s="302"/>
      <c r="M753" s="302"/>
      <c r="N753" s="302"/>
      <c r="O753" s="302"/>
      <c r="P753" s="302"/>
      <c r="Q753" s="302"/>
      <c r="R753" s="302"/>
      <c r="S753" s="302"/>
      <c r="T753" s="302"/>
      <c r="U753" s="302"/>
      <c r="V753" s="302"/>
      <c r="W753" s="302"/>
      <c r="X753" s="302"/>
      <c r="Y753" s="302"/>
      <c r="Z753" s="302"/>
      <c r="AA753" s="302"/>
      <c r="AB753" s="302"/>
      <c r="AC753" s="303"/>
    </row>
    <row r="754" ht="13.5" customHeight="1">
      <c r="A754" s="326"/>
      <c r="B754" s="15"/>
      <c r="C754" s="7"/>
      <c r="D754" s="9"/>
      <c r="E754" s="13"/>
      <c r="F754" s="13"/>
      <c r="G754" s="308"/>
      <c r="H754" s="308"/>
      <c r="I754" s="7"/>
      <c r="J754" s="9"/>
      <c r="K754" s="7"/>
      <c r="L754" s="305"/>
      <c r="M754" s="305"/>
      <c r="N754" s="305"/>
      <c r="O754" s="305"/>
      <c r="P754" s="305"/>
      <c r="Q754" s="305"/>
      <c r="R754" s="305"/>
      <c r="S754" s="305"/>
      <c r="T754" s="305"/>
      <c r="U754" s="305"/>
      <c r="V754" s="305"/>
      <c r="W754" s="305"/>
      <c r="X754" s="305"/>
      <c r="Y754" s="305"/>
      <c r="Z754" s="305"/>
      <c r="AA754" s="305"/>
      <c r="AB754" s="305"/>
      <c r="AC754" s="307"/>
    </row>
    <row r="755" ht="13.5" customHeight="1">
      <c r="A755" s="312"/>
      <c r="B755" s="301"/>
      <c r="C755" s="301"/>
      <c r="D755" s="301"/>
      <c r="E755" s="301"/>
      <c r="F755" s="301"/>
      <c r="G755" s="301"/>
      <c r="H755" s="301"/>
      <c r="I755" s="301"/>
      <c r="J755" s="301"/>
      <c r="K755" s="301"/>
      <c r="L755" s="302"/>
      <c r="M755" s="302"/>
      <c r="N755" s="302"/>
      <c r="O755" s="302"/>
      <c r="P755" s="302"/>
      <c r="Q755" s="302"/>
      <c r="R755" s="302"/>
      <c r="S755" s="302"/>
      <c r="T755" s="302"/>
      <c r="U755" s="302"/>
      <c r="V755" s="302"/>
      <c r="W755" s="302"/>
      <c r="X755" s="302"/>
      <c r="Y755" s="302"/>
      <c r="Z755" s="302"/>
      <c r="AA755" s="302"/>
      <c r="AB755" s="302"/>
      <c r="AC755" s="303"/>
    </row>
    <row r="756" ht="13.5" customHeight="1">
      <c r="A756" s="326"/>
      <c r="B756" s="15"/>
      <c r="C756" s="7"/>
      <c r="D756" s="9"/>
      <c r="E756" s="13"/>
      <c r="F756" s="13"/>
      <c r="G756" s="308"/>
      <c r="H756" s="308"/>
      <c r="I756" s="7"/>
      <c r="J756" s="9"/>
      <c r="K756" s="7"/>
      <c r="L756" s="305"/>
      <c r="M756" s="305"/>
      <c r="N756" s="305"/>
      <c r="O756" s="305"/>
      <c r="P756" s="305"/>
      <c r="Q756" s="305"/>
      <c r="R756" s="305"/>
      <c r="S756" s="305"/>
      <c r="T756" s="305"/>
      <c r="U756" s="305"/>
      <c r="V756" s="305"/>
      <c r="W756" s="305"/>
      <c r="X756" s="305"/>
      <c r="Y756" s="305"/>
      <c r="Z756" s="305"/>
      <c r="AA756" s="305"/>
      <c r="AB756" s="305"/>
      <c r="AC756" s="307"/>
    </row>
    <row r="757" ht="13.5" customHeight="1">
      <c r="A757" s="312"/>
      <c r="B757" s="301"/>
      <c r="C757" s="301"/>
      <c r="D757" s="301"/>
      <c r="E757" s="301"/>
      <c r="F757" s="301"/>
      <c r="G757" s="301"/>
      <c r="H757" s="301"/>
      <c r="I757" s="301"/>
      <c r="J757" s="301"/>
      <c r="K757" s="301"/>
      <c r="L757" s="302"/>
      <c r="M757" s="302"/>
      <c r="N757" s="302"/>
      <c r="O757" s="302"/>
      <c r="P757" s="302"/>
      <c r="Q757" s="302"/>
      <c r="R757" s="302"/>
      <c r="S757" s="302"/>
      <c r="T757" s="302"/>
      <c r="U757" s="302"/>
      <c r="V757" s="302"/>
      <c r="W757" s="302"/>
      <c r="X757" s="302"/>
      <c r="Y757" s="302"/>
      <c r="Z757" s="302"/>
      <c r="AA757" s="302"/>
      <c r="AB757" s="302"/>
      <c r="AC757" s="303"/>
    </row>
    <row r="758" ht="13.5" customHeight="1">
      <c r="A758" s="326"/>
      <c r="B758" s="15"/>
      <c r="C758" s="7"/>
      <c r="D758" s="9"/>
      <c r="E758" s="13"/>
      <c r="F758" s="13"/>
      <c r="G758" s="308"/>
      <c r="H758" s="308"/>
      <c r="I758" s="7"/>
      <c r="J758" s="9"/>
      <c r="K758" s="7"/>
      <c r="L758" s="305"/>
      <c r="M758" s="305"/>
      <c r="N758" s="305"/>
      <c r="O758" s="305"/>
      <c r="P758" s="305"/>
      <c r="Q758" s="305"/>
      <c r="R758" s="305"/>
      <c r="S758" s="305"/>
      <c r="T758" s="305"/>
      <c r="U758" s="305"/>
      <c r="V758" s="305"/>
      <c r="W758" s="305"/>
      <c r="X758" s="305"/>
      <c r="Y758" s="305"/>
      <c r="Z758" s="305"/>
      <c r="AA758" s="305"/>
      <c r="AB758" s="305"/>
      <c r="AC758" s="307"/>
    </row>
    <row r="759" ht="13.5" customHeight="1">
      <c r="A759" s="312"/>
      <c r="B759" s="301"/>
      <c r="C759" s="301"/>
      <c r="D759" s="301"/>
      <c r="E759" s="301"/>
      <c r="F759" s="301"/>
      <c r="G759" s="301"/>
      <c r="H759" s="301"/>
      <c r="I759" s="301"/>
      <c r="J759" s="301"/>
      <c r="K759" s="301"/>
      <c r="L759" s="302"/>
      <c r="M759" s="302"/>
      <c r="N759" s="302"/>
      <c r="O759" s="302"/>
      <c r="P759" s="302"/>
      <c r="Q759" s="302"/>
      <c r="R759" s="302"/>
      <c r="S759" s="302"/>
      <c r="T759" s="302"/>
      <c r="U759" s="302"/>
      <c r="V759" s="302"/>
      <c r="W759" s="302"/>
      <c r="X759" s="302"/>
      <c r="Y759" s="302"/>
      <c r="Z759" s="302"/>
      <c r="AA759" s="302"/>
      <c r="AB759" s="302"/>
      <c r="AC759" s="303"/>
    </row>
    <row r="760" ht="13.5" customHeight="1">
      <c r="A760" s="326"/>
      <c r="B760" s="15"/>
      <c r="C760" s="7"/>
      <c r="D760" s="9"/>
      <c r="E760" s="13"/>
      <c r="F760" s="13"/>
      <c r="G760" s="308"/>
      <c r="H760" s="308"/>
      <c r="I760" s="7"/>
      <c r="J760" s="9"/>
      <c r="K760" s="7"/>
      <c r="L760" s="305"/>
      <c r="M760" s="305"/>
      <c r="N760" s="305"/>
      <c r="O760" s="305"/>
      <c r="P760" s="305"/>
      <c r="Q760" s="305"/>
      <c r="R760" s="305"/>
      <c r="S760" s="305"/>
      <c r="T760" s="305"/>
      <c r="U760" s="305"/>
      <c r="V760" s="305"/>
      <c r="W760" s="305"/>
      <c r="X760" s="305"/>
      <c r="Y760" s="305"/>
      <c r="Z760" s="305"/>
      <c r="AA760" s="305"/>
      <c r="AB760" s="305"/>
      <c r="AC760" s="307"/>
    </row>
    <row r="761" ht="13.5" customHeight="1">
      <c r="A761" s="312"/>
      <c r="B761" s="301"/>
      <c r="C761" s="301"/>
      <c r="D761" s="301"/>
      <c r="E761" s="301"/>
      <c r="F761" s="301"/>
      <c r="G761" s="301"/>
      <c r="H761" s="301"/>
      <c r="I761" s="301"/>
      <c r="J761" s="301"/>
      <c r="K761" s="301"/>
      <c r="L761" s="302"/>
      <c r="M761" s="302"/>
      <c r="N761" s="302"/>
      <c r="O761" s="302"/>
      <c r="P761" s="302"/>
      <c r="Q761" s="302"/>
      <c r="R761" s="302"/>
      <c r="S761" s="302"/>
      <c r="T761" s="302"/>
      <c r="U761" s="302"/>
      <c r="V761" s="302"/>
      <c r="W761" s="302"/>
      <c r="X761" s="302"/>
      <c r="Y761" s="302"/>
      <c r="Z761" s="302"/>
      <c r="AA761" s="302"/>
      <c r="AB761" s="302"/>
      <c r="AC761" s="303"/>
    </row>
    <row r="762" ht="13.5" customHeight="1">
      <c r="A762" s="326"/>
      <c r="B762" s="15"/>
      <c r="C762" s="7"/>
      <c r="D762" s="9"/>
      <c r="E762" s="13"/>
      <c r="F762" s="13"/>
      <c r="G762" s="308"/>
      <c r="H762" s="308"/>
      <c r="I762" s="7"/>
      <c r="J762" s="9"/>
      <c r="K762" s="7"/>
      <c r="L762" s="305"/>
      <c r="M762" s="305"/>
      <c r="N762" s="305"/>
      <c r="O762" s="305"/>
      <c r="P762" s="305"/>
      <c r="Q762" s="305"/>
      <c r="R762" s="305"/>
      <c r="S762" s="305"/>
      <c r="T762" s="305"/>
      <c r="U762" s="305"/>
      <c r="V762" s="305"/>
      <c r="W762" s="305"/>
      <c r="X762" s="305"/>
      <c r="Y762" s="305"/>
      <c r="Z762" s="305"/>
      <c r="AA762" s="305"/>
      <c r="AB762" s="305"/>
      <c r="AC762" s="307"/>
    </row>
    <row r="763" ht="13.5" customHeight="1">
      <c r="A763" s="312"/>
      <c r="B763" s="301"/>
      <c r="C763" s="301"/>
      <c r="D763" s="301"/>
      <c r="E763" s="301"/>
      <c r="F763" s="301"/>
      <c r="G763" s="301"/>
      <c r="H763" s="301"/>
      <c r="I763" s="301"/>
      <c r="J763" s="301"/>
      <c r="K763" s="301"/>
      <c r="L763" s="302"/>
      <c r="M763" s="302"/>
      <c r="N763" s="302"/>
      <c r="O763" s="302"/>
      <c r="P763" s="302"/>
      <c r="Q763" s="302"/>
      <c r="R763" s="302"/>
      <c r="S763" s="302"/>
      <c r="T763" s="302"/>
      <c r="U763" s="302"/>
      <c r="V763" s="302"/>
      <c r="W763" s="302"/>
      <c r="X763" s="302"/>
      <c r="Y763" s="302"/>
      <c r="Z763" s="302"/>
      <c r="AA763" s="302"/>
      <c r="AB763" s="302"/>
      <c r="AC763" s="303"/>
    </row>
    <row r="764" ht="13.5" customHeight="1">
      <c r="A764" s="326"/>
      <c r="B764" s="15"/>
      <c r="C764" s="7"/>
      <c r="D764" s="9"/>
      <c r="E764" s="13"/>
      <c r="F764" s="13"/>
      <c r="G764" s="308"/>
      <c r="H764" s="308"/>
      <c r="I764" s="7"/>
      <c r="J764" s="9"/>
      <c r="K764" s="7"/>
      <c r="L764" s="305"/>
      <c r="M764" s="305"/>
      <c r="N764" s="305"/>
      <c r="O764" s="305"/>
      <c r="P764" s="305"/>
      <c r="Q764" s="305"/>
      <c r="R764" s="305"/>
      <c r="S764" s="305"/>
      <c r="T764" s="305"/>
      <c r="U764" s="305"/>
      <c r="V764" s="305"/>
      <c r="W764" s="305"/>
      <c r="X764" s="305"/>
      <c r="Y764" s="305"/>
      <c r="Z764" s="305"/>
      <c r="AA764" s="305"/>
      <c r="AB764" s="305"/>
      <c r="AC764" s="307"/>
    </row>
    <row r="765" ht="13.5" customHeight="1">
      <c r="A765" s="312"/>
      <c r="B765" s="301"/>
      <c r="C765" s="301"/>
      <c r="D765" s="301"/>
      <c r="E765" s="301"/>
      <c r="F765" s="301"/>
      <c r="G765" s="301"/>
      <c r="H765" s="301"/>
      <c r="I765" s="301"/>
      <c r="J765" s="301"/>
      <c r="K765" s="301"/>
      <c r="L765" s="302"/>
      <c r="M765" s="302"/>
      <c r="N765" s="302"/>
      <c r="O765" s="302"/>
      <c r="P765" s="302"/>
      <c r="Q765" s="302"/>
      <c r="R765" s="302"/>
      <c r="S765" s="302"/>
      <c r="T765" s="302"/>
      <c r="U765" s="302"/>
      <c r="V765" s="302"/>
      <c r="W765" s="302"/>
      <c r="X765" s="302"/>
      <c r="Y765" s="302"/>
      <c r="Z765" s="302"/>
      <c r="AA765" s="302"/>
      <c r="AB765" s="302"/>
      <c r="AC765" s="303"/>
    </row>
    <row r="766" ht="13.5" customHeight="1">
      <c r="A766" s="326"/>
      <c r="B766" s="15"/>
      <c r="C766" s="7"/>
      <c r="D766" s="9"/>
      <c r="E766" s="13"/>
      <c r="F766" s="13"/>
      <c r="G766" s="308"/>
      <c r="H766" s="308"/>
      <c r="I766" s="7"/>
      <c r="J766" s="9"/>
      <c r="K766" s="7"/>
      <c r="L766" s="305"/>
      <c r="M766" s="305"/>
      <c r="N766" s="305"/>
      <c r="O766" s="305"/>
      <c r="P766" s="305"/>
      <c r="Q766" s="305"/>
      <c r="R766" s="305"/>
      <c r="S766" s="305"/>
      <c r="T766" s="305"/>
      <c r="U766" s="305"/>
      <c r="V766" s="305"/>
      <c r="W766" s="305"/>
      <c r="X766" s="305"/>
      <c r="Y766" s="305"/>
      <c r="Z766" s="305"/>
      <c r="AA766" s="305"/>
      <c r="AB766" s="305"/>
      <c r="AC766" s="307"/>
    </row>
    <row r="767" ht="13.5" customHeight="1">
      <c r="A767" s="312"/>
      <c r="B767" s="301"/>
      <c r="C767" s="301"/>
      <c r="D767" s="301"/>
      <c r="E767" s="301"/>
      <c r="F767" s="301"/>
      <c r="G767" s="301"/>
      <c r="H767" s="301"/>
      <c r="I767" s="301"/>
      <c r="J767" s="301"/>
      <c r="K767" s="301"/>
      <c r="L767" s="302"/>
      <c r="M767" s="302"/>
      <c r="N767" s="302"/>
      <c r="O767" s="302"/>
      <c r="P767" s="302"/>
      <c r="Q767" s="302"/>
      <c r="R767" s="302"/>
      <c r="S767" s="302"/>
      <c r="T767" s="302"/>
      <c r="U767" s="302"/>
      <c r="V767" s="302"/>
      <c r="W767" s="302"/>
      <c r="X767" s="302"/>
      <c r="Y767" s="302"/>
      <c r="Z767" s="302"/>
      <c r="AA767" s="302"/>
      <c r="AB767" s="302"/>
      <c r="AC767" s="303"/>
    </row>
    <row r="768" ht="13.5" customHeight="1">
      <c r="A768" s="326"/>
      <c r="B768" s="15"/>
      <c r="C768" s="7"/>
      <c r="D768" s="9"/>
      <c r="E768" s="13"/>
      <c r="F768" s="13"/>
      <c r="G768" s="308"/>
      <c r="H768" s="308"/>
      <c r="I768" s="7"/>
      <c r="J768" s="9"/>
      <c r="K768" s="7"/>
      <c r="L768" s="305"/>
      <c r="M768" s="305"/>
      <c r="N768" s="305"/>
      <c r="O768" s="305"/>
      <c r="P768" s="305"/>
      <c r="Q768" s="305"/>
      <c r="R768" s="305"/>
      <c r="S768" s="305"/>
      <c r="T768" s="305"/>
      <c r="U768" s="305"/>
      <c r="V768" s="305"/>
      <c r="W768" s="305"/>
      <c r="X768" s="305"/>
      <c r="Y768" s="305"/>
      <c r="Z768" s="305"/>
      <c r="AA768" s="305"/>
      <c r="AB768" s="305"/>
      <c r="AC768" s="307"/>
    </row>
    <row r="769" ht="13.5" customHeight="1">
      <c r="A769" s="312"/>
      <c r="B769" s="301"/>
      <c r="C769" s="301"/>
      <c r="D769" s="301"/>
      <c r="E769" s="301"/>
      <c r="F769" s="301"/>
      <c r="G769" s="301"/>
      <c r="H769" s="301"/>
      <c r="I769" s="301"/>
      <c r="J769" s="301"/>
      <c r="K769" s="301"/>
      <c r="L769" s="302"/>
      <c r="M769" s="302"/>
      <c r="N769" s="302"/>
      <c r="O769" s="302"/>
      <c r="P769" s="302"/>
      <c r="Q769" s="302"/>
      <c r="R769" s="302"/>
      <c r="S769" s="302"/>
      <c r="T769" s="302"/>
      <c r="U769" s="302"/>
      <c r="V769" s="302"/>
      <c r="W769" s="302"/>
      <c r="X769" s="302"/>
      <c r="Y769" s="302"/>
      <c r="Z769" s="302"/>
      <c r="AA769" s="302"/>
      <c r="AB769" s="302"/>
      <c r="AC769" s="303"/>
    </row>
    <row r="770" ht="13.5" customHeight="1">
      <c r="A770" s="326"/>
      <c r="B770" s="15"/>
      <c r="C770" s="7"/>
      <c r="D770" s="9"/>
      <c r="E770" s="13"/>
      <c r="F770" s="13"/>
      <c r="G770" s="308"/>
      <c r="H770" s="308"/>
      <c r="I770" s="7"/>
      <c r="J770" s="9"/>
      <c r="K770" s="7"/>
      <c r="L770" s="305"/>
      <c r="M770" s="305"/>
      <c r="N770" s="305"/>
      <c r="O770" s="305"/>
      <c r="P770" s="305"/>
      <c r="Q770" s="305"/>
      <c r="R770" s="305"/>
      <c r="S770" s="305"/>
      <c r="T770" s="305"/>
      <c r="U770" s="305"/>
      <c r="V770" s="305"/>
      <c r="W770" s="305"/>
      <c r="X770" s="305"/>
      <c r="Y770" s="305"/>
      <c r="Z770" s="305"/>
      <c r="AA770" s="305"/>
      <c r="AB770" s="305"/>
      <c r="AC770" s="307"/>
    </row>
    <row r="771" ht="13.5" customHeight="1">
      <c r="A771" s="312"/>
      <c r="B771" s="301"/>
      <c r="C771" s="301"/>
      <c r="D771" s="301"/>
      <c r="E771" s="301"/>
      <c r="F771" s="301"/>
      <c r="G771" s="301"/>
      <c r="H771" s="301"/>
      <c r="I771" s="301"/>
      <c r="J771" s="301"/>
      <c r="K771" s="301"/>
      <c r="L771" s="302"/>
      <c r="M771" s="302"/>
      <c r="N771" s="302"/>
      <c r="O771" s="302"/>
      <c r="P771" s="302"/>
      <c r="Q771" s="302"/>
      <c r="R771" s="302"/>
      <c r="S771" s="302"/>
      <c r="T771" s="302"/>
      <c r="U771" s="302"/>
      <c r="V771" s="302"/>
      <c r="W771" s="302"/>
      <c r="X771" s="302"/>
      <c r="Y771" s="302"/>
      <c r="Z771" s="302"/>
      <c r="AA771" s="302"/>
      <c r="AB771" s="302"/>
      <c r="AC771" s="303"/>
    </row>
    <row r="772" ht="13.5" customHeight="1">
      <c r="A772" s="326"/>
      <c r="B772" s="15"/>
      <c r="C772" s="7"/>
      <c r="D772" s="9"/>
      <c r="E772" s="13"/>
      <c r="F772" s="13"/>
      <c r="G772" s="308"/>
      <c r="H772" s="308"/>
      <c r="I772" s="7"/>
      <c r="J772" s="9"/>
      <c r="K772" s="7"/>
      <c r="L772" s="305"/>
      <c r="M772" s="305"/>
      <c r="N772" s="305"/>
      <c r="O772" s="305"/>
      <c r="P772" s="305"/>
      <c r="Q772" s="305"/>
      <c r="R772" s="305"/>
      <c r="S772" s="305"/>
      <c r="T772" s="305"/>
      <c r="U772" s="305"/>
      <c r="V772" s="305"/>
      <c r="W772" s="305"/>
      <c r="X772" s="305"/>
      <c r="Y772" s="305"/>
      <c r="Z772" s="305"/>
      <c r="AA772" s="305"/>
      <c r="AB772" s="305"/>
      <c r="AC772" s="307"/>
    </row>
    <row r="773" ht="13.5" customHeight="1">
      <c r="A773" s="312"/>
      <c r="B773" s="301"/>
      <c r="C773" s="301"/>
      <c r="D773" s="301"/>
      <c r="E773" s="301"/>
      <c r="F773" s="301"/>
      <c r="G773" s="301"/>
      <c r="H773" s="301"/>
      <c r="I773" s="301"/>
      <c r="J773" s="301"/>
      <c r="K773" s="301"/>
      <c r="L773" s="302"/>
      <c r="M773" s="302"/>
      <c r="N773" s="302"/>
      <c r="O773" s="302"/>
      <c r="P773" s="302"/>
      <c r="Q773" s="302"/>
      <c r="R773" s="302"/>
      <c r="S773" s="302"/>
      <c r="T773" s="302"/>
      <c r="U773" s="302"/>
      <c r="V773" s="302"/>
      <c r="W773" s="302"/>
      <c r="X773" s="302"/>
      <c r="Y773" s="302"/>
      <c r="Z773" s="302"/>
      <c r="AA773" s="302"/>
      <c r="AB773" s="302"/>
      <c r="AC773" s="303"/>
    </row>
    <row r="774" ht="13.5" customHeight="1">
      <c r="A774" s="326"/>
      <c r="B774" s="15"/>
      <c r="C774" s="7"/>
      <c r="D774" s="9"/>
      <c r="E774" s="13"/>
      <c r="F774" s="13"/>
      <c r="G774" s="308"/>
      <c r="H774" s="308"/>
      <c r="I774" s="7"/>
      <c r="J774" s="9"/>
      <c r="K774" s="7"/>
      <c r="L774" s="305"/>
      <c r="M774" s="305"/>
      <c r="N774" s="305"/>
      <c r="O774" s="305"/>
      <c r="P774" s="305"/>
      <c r="Q774" s="305"/>
      <c r="R774" s="305"/>
      <c r="S774" s="305"/>
      <c r="T774" s="305"/>
      <c r="U774" s="305"/>
      <c r="V774" s="305"/>
      <c r="W774" s="305"/>
      <c r="X774" s="305"/>
      <c r="Y774" s="305"/>
      <c r="Z774" s="305"/>
      <c r="AA774" s="305"/>
      <c r="AB774" s="305"/>
      <c r="AC774" s="307"/>
    </row>
    <row r="775" ht="13.5" customHeight="1">
      <c r="A775" s="312"/>
      <c r="B775" s="301"/>
      <c r="C775" s="301"/>
      <c r="D775" s="301"/>
      <c r="E775" s="301"/>
      <c r="F775" s="301"/>
      <c r="G775" s="301"/>
      <c r="H775" s="301"/>
      <c r="I775" s="301"/>
      <c r="J775" s="301"/>
      <c r="K775" s="301"/>
      <c r="L775" s="302"/>
      <c r="M775" s="302"/>
      <c r="N775" s="302"/>
      <c r="O775" s="302"/>
      <c r="P775" s="302"/>
      <c r="Q775" s="302"/>
      <c r="R775" s="302"/>
      <c r="S775" s="302"/>
      <c r="T775" s="302"/>
      <c r="U775" s="302"/>
      <c r="V775" s="302"/>
      <c r="W775" s="302"/>
      <c r="X775" s="302"/>
      <c r="Y775" s="302"/>
      <c r="Z775" s="302"/>
      <c r="AA775" s="302"/>
      <c r="AB775" s="302"/>
      <c r="AC775" s="303"/>
    </row>
    <row r="776" ht="13.5" customHeight="1">
      <c r="A776" s="326"/>
      <c r="B776" s="15"/>
      <c r="C776" s="7"/>
      <c r="D776" s="9"/>
      <c r="E776" s="13"/>
      <c r="F776" s="13"/>
      <c r="G776" s="308"/>
      <c r="H776" s="308"/>
      <c r="I776" s="7"/>
      <c r="J776" s="9"/>
      <c r="K776" s="7"/>
      <c r="L776" s="305"/>
      <c r="M776" s="305"/>
      <c r="N776" s="305"/>
      <c r="O776" s="305"/>
      <c r="P776" s="305"/>
      <c r="Q776" s="305"/>
      <c r="R776" s="305"/>
      <c r="S776" s="305"/>
      <c r="T776" s="305"/>
      <c r="U776" s="305"/>
      <c r="V776" s="305"/>
      <c r="W776" s="305"/>
      <c r="X776" s="305"/>
      <c r="Y776" s="305"/>
      <c r="Z776" s="305"/>
      <c r="AA776" s="305"/>
      <c r="AB776" s="305"/>
      <c r="AC776" s="307"/>
    </row>
    <row r="777" ht="13.5" customHeight="1">
      <c r="A777" s="312"/>
      <c r="B777" s="301"/>
      <c r="C777" s="301"/>
      <c r="D777" s="301"/>
      <c r="E777" s="301"/>
      <c r="F777" s="301"/>
      <c r="G777" s="301"/>
      <c r="H777" s="301"/>
      <c r="I777" s="301"/>
      <c r="J777" s="301"/>
      <c r="K777" s="301"/>
      <c r="L777" s="302"/>
      <c r="M777" s="302"/>
      <c r="N777" s="302"/>
      <c r="O777" s="302"/>
      <c r="P777" s="302"/>
      <c r="Q777" s="302"/>
      <c r="R777" s="302"/>
      <c r="S777" s="302"/>
      <c r="T777" s="302"/>
      <c r="U777" s="302"/>
      <c r="V777" s="302"/>
      <c r="W777" s="302"/>
      <c r="X777" s="302"/>
      <c r="Y777" s="302"/>
      <c r="Z777" s="302"/>
      <c r="AA777" s="302"/>
      <c r="AB777" s="302"/>
      <c r="AC777" s="303"/>
    </row>
    <row r="778" ht="13.5" customHeight="1">
      <c r="A778" s="326"/>
      <c r="B778" s="15"/>
      <c r="C778" s="7"/>
      <c r="D778" s="9"/>
      <c r="E778" s="13"/>
      <c r="F778" s="13"/>
      <c r="G778" s="308"/>
      <c r="H778" s="308"/>
      <c r="I778" s="7"/>
      <c r="J778" s="9"/>
      <c r="K778" s="7"/>
      <c r="L778" s="305"/>
      <c r="M778" s="305"/>
      <c r="N778" s="305"/>
      <c r="O778" s="305"/>
      <c r="P778" s="305"/>
      <c r="Q778" s="305"/>
      <c r="R778" s="305"/>
      <c r="S778" s="305"/>
      <c r="T778" s="305"/>
      <c r="U778" s="305"/>
      <c r="V778" s="305"/>
      <c r="W778" s="305"/>
      <c r="X778" s="305"/>
      <c r="Y778" s="305"/>
      <c r="Z778" s="305"/>
      <c r="AA778" s="305"/>
      <c r="AB778" s="305"/>
      <c r="AC778" s="307"/>
    </row>
    <row r="779" ht="13.5" customHeight="1">
      <c r="A779" s="312"/>
      <c r="B779" s="301"/>
      <c r="C779" s="301"/>
      <c r="D779" s="301"/>
      <c r="E779" s="301"/>
      <c r="F779" s="301"/>
      <c r="G779" s="301"/>
      <c r="H779" s="301"/>
      <c r="I779" s="301"/>
      <c r="J779" s="301"/>
      <c r="K779" s="301"/>
      <c r="L779" s="302"/>
      <c r="M779" s="302"/>
      <c r="N779" s="302"/>
      <c r="O779" s="302"/>
      <c r="P779" s="302"/>
      <c r="Q779" s="302"/>
      <c r="R779" s="302"/>
      <c r="S779" s="302"/>
      <c r="T779" s="302"/>
      <c r="U779" s="302"/>
      <c r="V779" s="302"/>
      <c r="W779" s="302"/>
      <c r="X779" s="302"/>
      <c r="Y779" s="302"/>
      <c r="Z779" s="302"/>
      <c r="AA779" s="302"/>
      <c r="AB779" s="302"/>
      <c r="AC779" s="303"/>
    </row>
    <row r="780" ht="13.5" customHeight="1">
      <c r="A780" s="326"/>
      <c r="B780" s="15"/>
      <c r="C780" s="7"/>
      <c r="D780" s="9"/>
      <c r="E780" s="13"/>
      <c r="F780" s="13"/>
      <c r="G780" s="308"/>
      <c r="H780" s="308"/>
      <c r="I780" s="7"/>
      <c r="J780" s="9"/>
      <c r="K780" s="7"/>
      <c r="L780" s="305"/>
      <c r="M780" s="305"/>
      <c r="N780" s="305"/>
      <c r="O780" s="305"/>
      <c r="P780" s="305"/>
      <c r="Q780" s="305"/>
      <c r="R780" s="305"/>
      <c r="S780" s="305"/>
      <c r="T780" s="305"/>
      <c r="U780" s="305"/>
      <c r="V780" s="305"/>
      <c r="W780" s="305"/>
      <c r="X780" s="305"/>
      <c r="Y780" s="305"/>
      <c r="Z780" s="305"/>
      <c r="AA780" s="305"/>
      <c r="AB780" s="305"/>
      <c r="AC780" s="307"/>
    </row>
    <row r="781" ht="13.5" customHeight="1">
      <c r="A781" s="312"/>
      <c r="B781" s="301"/>
      <c r="C781" s="301"/>
      <c r="D781" s="301"/>
      <c r="E781" s="301"/>
      <c r="F781" s="301"/>
      <c r="G781" s="301"/>
      <c r="H781" s="301"/>
      <c r="I781" s="301"/>
      <c r="J781" s="301"/>
      <c r="K781" s="301"/>
      <c r="L781" s="302"/>
      <c r="M781" s="302"/>
      <c r="N781" s="302"/>
      <c r="O781" s="302"/>
      <c r="P781" s="302"/>
      <c r="Q781" s="302"/>
      <c r="R781" s="302"/>
      <c r="S781" s="302"/>
      <c r="T781" s="302"/>
      <c r="U781" s="302"/>
      <c r="V781" s="302"/>
      <c r="W781" s="302"/>
      <c r="X781" s="302"/>
      <c r="Y781" s="302"/>
      <c r="Z781" s="302"/>
      <c r="AA781" s="302"/>
      <c r="AB781" s="302"/>
      <c r="AC781" s="303"/>
    </row>
    <row r="782" ht="13.5" customHeight="1">
      <c r="A782" s="326"/>
      <c r="B782" s="15"/>
      <c r="C782" s="7"/>
      <c r="D782" s="9"/>
      <c r="E782" s="13"/>
      <c r="F782" s="13"/>
      <c r="G782" s="308"/>
      <c r="H782" s="308"/>
      <c r="I782" s="7"/>
      <c r="J782" s="9"/>
      <c r="K782" s="7"/>
      <c r="L782" s="305"/>
      <c r="M782" s="305"/>
      <c r="N782" s="305"/>
      <c r="O782" s="305"/>
      <c r="P782" s="305"/>
      <c r="Q782" s="305"/>
      <c r="R782" s="305"/>
      <c r="S782" s="305"/>
      <c r="T782" s="305"/>
      <c r="U782" s="305"/>
      <c r="V782" s="305"/>
      <c r="W782" s="305"/>
      <c r="X782" s="305"/>
      <c r="Y782" s="305"/>
      <c r="Z782" s="305"/>
      <c r="AA782" s="305"/>
      <c r="AB782" s="305"/>
      <c r="AC782" s="307"/>
    </row>
    <row r="783" ht="13.5" customHeight="1">
      <c r="A783" s="312"/>
      <c r="B783" s="301"/>
      <c r="C783" s="301"/>
      <c r="D783" s="301"/>
      <c r="E783" s="301"/>
      <c r="F783" s="301"/>
      <c r="G783" s="301"/>
      <c r="H783" s="301"/>
      <c r="I783" s="301"/>
      <c r="J783" s="301"/>
      <c r="K783" s="301"/>
      <c r="L783" s="302"/>
      <c r="M783" s="302"/>
      <c r="N783" s="302"/>
      <c r="O783" s="302"/>
      <c r="P783" s="302"/>
      <c r="Q783" s="302"/>
      <c r="R783" s="302"/>
      <c r="S783" s="302"/>
      <c r="T783" s="302"/>
      <c r="U783" s="302"/>
      <c r="V783" s="302"/>
      <c r="W783" s="302"/>
      <c r="X783" s="302"/>
      <c r="Y783" s="302"/>
      <c r="Z783" s="302"/>
      <c r="AA783" s="302"/>
      <c r="AB783" s="302"/>
      <c r="AC783" s="303"/>
    </row>
    <row r="784" ht="13.5" customHeight="1">
      <c r="A784" s="326"/>
      <c r="B784" s="15"/>
      <c r="C784" s="7"/>
      <c r="D784" s="9"/>
      <c r="E784" s="13"/>
      <c r="F784" s="13"/>
      <c r="G784" s="308"/>
      <c r="H784" s="308"/>
      <c r="I784" s="7"/>
      <c r="J784" s="9"/>
      <c r="K784" s="7"/>
      <c r="L784" s="305"/>
      <c r="M784" s="305"/>
      <c r="N784" s="305"/>
      <c r="O784" s="305"/>
      <c r="P784" s="305"/>
      <c r="Q784" s="305"/>
      <c r="R784" s="305"/>
      <c r="S784" s="305"/>
      <c r="T784" s="305"/>
      <c r="U784" s="305"/>
      <c r="V784" s="305"/>
      <c r="W784" s="305"/>
      <c r="X784" s="305"/>
      <c r="Y784" s="305"/>
      <c r="Z784" s="305"/>
      <c r="AA784" s="305"/>
      <c r="AB784" s="305"/>
      <c r="AC784" s="307"/>
    </row>
    <row r="785" ht="13.5" customHeight="1">
      <c r="A785" s="312"/>
      <c r="B785" s="301"/>
      <c r="C785" s="301"/>
      <c r="D785" s="301"/>
      <c r="E785" s="301"/>
      <c r="F785" s="301"/>
      <c r="G785" s="301"/>
      <c r="H785" s="301"/>
      <c r="I785" s="301"/>
      <c r="J785" s="301"/>
      <c r="K785" s="301"/>
      <c r="L785" s="302"/>
      <c r="M785" s="302"/>
      <c r="N785" s="302"/>
      <c r="O785" s="302"/>
      <c r="P785" s="302"/>
      <c r="Q785" s="302"/>
      <c r="R785" s="302"/>
      <c r="S785" s="302"/>
      <c r="T785" s="302"/>
      <c r="U785" s="302"/>
      <c r="V785" s="302"/>
      <c r="W785" s="302"/>
      <c r="X785" s="302"/>
      <c r="Y785" s="302"/>
      <c r="Z785" s="302"/>
      <c r="AA785" s="302"/>
      <c r="AB785" s="302"/>
      <c r="AC785" s="303"/>
    </row>
    <row r="786" ht="13.5" customHeight="1">
      <c r="A786" s="326"/>
      <c r="B786" s="15"/>
      <c r="C786" s="7"/>
      <c r="D786" s="9"/>
      <c r="E786" s="13"/>
      <c r="F786" s="13"/>
      <c r="G786" s="308"/>
      <c r="H786" s="308"/>
      <c r="I786" s="7"/>
      <c r="J786" s="9"/>
      <c r="K786" s="7"/>
      <c r="L786" s="305"/>
      <c r="M786" s="305"/>
      <c r="N786" s="305"/>
      <c r="O786" s="305"/>
      <c r="P786" s="305"/>
      <c r="Q786" s="305"/>
      <c r="R786" s="305"/>
      <c r="S786" s="305"/>
      <c r="T786" s="305"/>
      <c r="U786" s="305"/>
      <c r="V786" s="305"/>
      <c r="W786" s="305"/>
      <c r="X786" s="305"/>
      <c r="Y786" s="305"/>
      <c r="Z786" s="305"/>
      <c r="AA786" s="305"/>
      <c r="AB786" s="305"/>
      <c r="AC786" s="307"/>
    </row>
    <row r="787" ht="13.5" customHeight="1">
      <c r="A787" s="312"/>
      <c r="B787" s="301"/>
      <c r="C787" s="301"/>
      <c r="D787" s="301"/>
      <c r="E787" s="301"/>
      <c r="F787" s="301"/>
      <c r="G787" s="301"/>
      <c r="H787" s="301"/>
      <c r="I787" s="301"/>
      <c r="J787" s="301"/>
      <c r="K787" s="301"/>
      <c r="L787" s="302"/>
      <c r="M787" s="302"/>
      <c r="N787" s="302"/>
      <c r="O787" s="302"/>
      <c r="P787" s="302"/>
      <c r="Q787" s="302"/>
      <c r="R787" s="302"/>
      <c r="S787" s="302"/>
      <c r="T787" s="302"/>
      <c r="U787" s="302"/>
      <c r="V787" s="302"/>
      <c r="W787" s="302"/>
      <c r="X787" s="302"/>
      <c r="Y787" s="302"/>
      <c r="Z787" s="302"/>
      <c r="AA787" s="302"/>
      <c r="AB787" s="302"/>
      <c r="AC787" s="303"/>
    </row>
    <row r="788" ht="13.5" customHeight="1">
      <c r="A788" s="326"/>
      <c r="B788" s="15"/>
      <c r="C788" s="7"/>
      <c r="D788" s="9"/>
      <c r="E788" s="13"/>
      <c r="F788" s="13"/>
      <c r="G788" s="308"/>
      <c r="H788" s="308"/>
      <c r="I788" s="7"/>
      <c r="J788" s="9"/>
      <c r="K788" s="7"/>
      <c r="L788" s="305"/>
      <c r="M788" s="305"/>
      <c r="N788" s="305"/>
      <c r="O788" s="305"/>
      <c r="P788" s="305"/>
      <c r="Q788" s="305"/>
      <c r="R788" s="305"/>
      <c r="S788" s="305"/>
      <c r="T788" s="305"/>
      <c r="U788" s="305"/>
      <c r="V788" s="305"/>
      <c r="W788" s="305"/>
      <c r="X788" s="305"/>
      <c r="Y788" s="305"/>
      <c r="Z788" s="305"/>
      <c r="AA788" s="305"/>
      <c r="AB788" s="305"/>
      <c r="AC788" s="307"/>
    </row>
    <row r="789" ht="13.5" customHeight="1">
      <c r="A789" s="312"/>
      <c r="B789" s="301"/>
      <c r="C789" s="301"/>
      <c r="D789" s="301"/>
      <c r="E789" s="301"/>
      <c r="F789" s="301"/>
      <c r="G789" s="301"/>
      <c r="H789" s="301"/>
      <c r="I789" s="301"/>
      <c r="J789" s="301"/>
      <c r="K789" s="301"/>
      <c r="L789" s="302"/>
      <c r="M789" s="302"/>
      <c r="N789" s="302"/>
      <c r="O789" s="302"/>
      <c r="P789" s="302"/>
      <c r="Q789" s="302"/>
      <c r="R789" s="302"/>
      <c r="S789" s="302"/>
      <c r="T789" s="302"/>
      <c r="U789" s="302"/>
      <c r="V789" s="302"/>
      <c r="W789" s="302"/>
      <c r="X789" s="302"/>
      <c r="Y789" s="302"/>
      <c r="Z789" s="302"/>
      <c r="AA789" s="302"/>
      <c r="AB789" s="302"/>
      <c r="AC789" s="303"/>
    </row>
    <row r="790" ht="13.5" customHeight="1">
      <c r="A790" s="326"/>
      <c r="B790" s="15"/>
      <c r="C790" s="7"/>
      <c r="D790" s="9"/>
      <c r="E790" s="13"/>
      <c r="F790" s="13"/>
      <c r="G790" s="308"/>
      <c r="H790" s="308"/>
      <c r="I790" s="7"/>
      <c r="J790" s="9"/>
      <c r="K790" s="7"/>
      <c r="L790" s="305"/>
      <c r="M790" s="305"/>
      <c r="N790" s="305"/>
      <c r="O790" s="305"/>
      <c r="P790" s="305"/>
      <c r="Q790" s="305"/>
      <c r="R790" s="305"/>
      <c r="S790" s="305"/>
      <c r="T790" s="305"/>
      <c r="U790" s="305"/>
      <c r="V790" s="305"/>
      <c r="W790" s="305"/>
      <c r="X790" s="305"/>
      <c r="Y790" s="305"/>
      <c r="Z790" s="305"/>
      <c r="AA790" s="305"/>
      <c r="AB790" s="305"/>
      <c r="AC790" s="307"/>
    </row>
    <row r="791" ht="13.5" customHeight="1">
      <c r="A791" s="312"/>
      <c r="B791" s="301"/>
      <c r="C791" s="301"/>
      <c r="D791" s="301"/>
      <c r="E791" s="301"/>
      <c r="F791" s="301"/>
      <c r="G791" s="301"/>
      <c r="H791" s="301"/>
      <c r="I791" s="301"/>
      <c r="J791" s="301"/>
      <c r="K791" s="301"/>
      <c r="L791" s="302"/>
      <c r="M791" s="302"/>
      <c r="N791" s="302"/>
      <c r="O791" s="302"/>
      <c r="P791" s="302"/>
      <c r="Q791" s="302"/>
      <c r="R791" s="302"/>
      <c r="S791" s="302"/>
      <c r="T791" s="302"/>
      <c r="U791" s="302"/>
      <c r="V791" s="302"/>
      <c r="W791" s="302"/>
      <c r="X791" s="302"/>
      <c r="Y791" s="302"/>
      <c r="Z791" s="302"/>
      <c r="AA791" s="302"/>
      <c r="AB791" s="302"/>
      <c r="AC791" s="303"/>
    </row>
    <row r="792" ht="13.5" customHeight="1">
      <c r="A792" s="326"/>
      <c r="B792" s="15"/>
      <c r="C792" s="7"/>
      <c r="D792" s="9"/>
      <c r="E792" s="13"/>
      <c r="F792" s="13"/>
      <c r="G792" s="308"/>
      <c r="H792" s="308"/>
      <c r="I792" s="7"/>
      <c r="J792" s="9"/>
      <c r="K792" s="7"/>
      <c r="L792" s="305"/>
      <c r="M792" s="305"/>
      <c r="N792" s="305"/>
      <c r="O792" s="305"/>
      <c r="P792" s="305"/>
      <c r="Q792" s="305"/>
      <c r="R792" s="305"/>
      <c r="S792" s="305"/>
      <c r="T792" s="305"/>
      <c r="U792" s="305"/>
      <c r="V792" s="305"/>
      <c r="W792" s="305"/>
      <c r="X792" s="305"/>
      <c r="Y792" s="305"/>
      <c r="Z792" s="305"/>
      <c r="AA792" s="305"/>
      <c r="AB792" s="305"/>
      <c r="AC792" s="307"/>
    </row>
    <row r="793" ht="13.5" customHeight="1">
      <c r="A793" s="312"/>
      <c r="B793" s="301"/>
      <c r="C793" s="301"/>
      <c r="D793" s="301"/>
      <c r="E793" s="301"/>
      <c r="F793" s="301"/>
      <c r="G793" s="301"/>
      <c r="H793" s="301"/>
      <c r="I793" s="301"/>
      <c r="J793" s="301"/>
      <c r="K793" s="301"/>
      <c r="L793" s="302"/>
      <c r="M793" s="302"/>
      <c r="N793" s="302"/>
      <c r="O793" s="302"/>
      <c r="P793" s="302"/>
      <c r="Q793" s="302"/>
      <c r="R793" s="302"/>
      <c r="S793" s="302"/>
      <c r="T793" s="302"/>
      <c r="U793" s="302"/>
      <c r="V793" s="302"/>
      <c r="W793" s="302"/>
      <c r="X793" s="302"/>
      <c r="Y793" s="302"/>
      <c r="Z793" s="302"/>
      <c r="AA793" s="302"/>
      <c r="AB793" s="302"/>
      <c r="AC793" s="303"/>
    </row>
    <row r="794" ht="13.5" customHeight="1">
      <c r="A794" s="326"/>
      <c r="B794" s="15"/>
      <c r="C794" s="7"/>
      <c r="D794" s="9"/>
      <c r="E794" s="13"/>
      <c r="F794" s="13"/>
      <c r="G794" s="308"/>
      <c r="H794" s="308"/>
      <c r="I794" s="7"/>
      <c r="J794" s="9"/>
      <c r="K794" s="7"/>
      <c r="L794" s="305"/>
      <c r="M794" s="305"/>
      <c r="N794" s="305"/>
      <c r="O794" s="305"/>
      <c r="P794" s="305"/>
      <c r="Q794" s="305"/>
      <c r="R794" s="305"/>
      <c r="S794" s="305"/>
      <c r="T794" s="305"/>
      <c r="U794" s="305"/>
      <c r="V794" s="305"/>
      <c r="W794" s="305"/>
      <c r="X794" s="305"/>
      <c r="Y794" s="305"/>
      <c r="Z794" s="305"/>
      <c r="AA794" s="305"/>
      <c r="AB794" s="305"/>
      <c r="AC794" s="307"/>
    </row>
    <row r="795" ht="13.5" customHeight="1">
      <c r="A795" s="312"/>
      <c r="B795" s="301"/>
      <c r="C795" s="301"/>
      <c r="D795" s="301"/>
      <c r="E795" s="301"/>
      <c r="F795" s="301"/>
      <c r="G795" s="301"/>
      <c r="H795" s="301"/>
      <c r="I795" s="301"/>
      <c r="J795" s="301"/>
      <c r="K795" s="301"/>
      <c r="L795" s="302"/>
      <c r="M795" s="302"/>
      <c r="N795" s="302"/>
      <c r="O795" s="302"/>
      <c r="P795" s="302"/>
      <c r="Q795" s="302"/>
      <c r="R795" s="302"/>
      <c r="S795" s="302"/>
      <c r="T795" s="302"/>
      <c r="U795" s="302"/>
      <c r="V795" s="302"/>
      <c r="W795" s="302"/>
      <c r="X795" s="302"/>
      <c r="Y795" s="302"/>
      <c r="Z795" s="302"/>
      <c r="AA795" s="302"/>
      <c r="AB795" s="302"/>
      <c r="AC795" s="303"/>
    </row>
    <row r="796" ht="13.5" customHeight="1">
      <c r="A796" s="326"/>
      <c r="B796" s="15"/>
      <c r="C796" s="7"/>
      <c r="D796" s="9"/>
      <c r="E796" s="13"/>
      <c r="F796" s="13"/>
      <c r="G796" s="308"/>
      <c r="H796" s="308"/>
      <c r="I796" s="7"/>
      <c r="J796" s="9"/>
      <c r="K796" s="7"/>
      <c r="L796" s="305"/>
      <c r="M796" s="305"/>
      <c r="N796" s="305"/>
      <c r="O796" s="305"/>
      <c r="P796" s="305"/>
      <c r="Q796" s="305"/>
      <c r="R796" s="305"/>
      <c r="S796" s="305"/>
      <c r="T796" s="305"/>
      <c r="U796" s="305"/>
      <c r="V796" s="305"/>
      <c r="W796" s="305"/>
      <c r="X796" s="305"/>
      <c r="Y796" s="305"/>
      <c r="Z796" s="305"/>
      <c r="AA796" s="305"/>
      <c r="AB796" s="305"/>
      <c r="AC796" s="307"/>
    </row>
    <row r="797" ht="13.5" customHeight="1">
      <c r="A797" s="312"/>
      <c r="B797" s="301"/>
      <c r="C797" s="301"/>
      <c r="D797" s="301"/>
      <c r="E797" s="301"/>
      <c r="F797" s="301"/>
      <c r="G797" s="301"/>
      <c r="H797" s="301"/>
      <c r="I797" s="301"/>
      <c r="J797" s="301"/>
      <c r="K797" s="301"/>
      <c r="L797" s="302"/>
      <c r="M797" s="302"/>
      <c r="N797" s="302"/>
      <c r="O797" s="302"/>
      <c r="P797" s="302"/>
      <c r="Q797" s="302"/>
      <c r="R797" s="302"/>
      <c r="S797" s="302"/>
      <c r="T797" s="302"/>
      <c r="U797" s="302"/>
      <c r="V797" s="302"/>
      <c r="W797" s="302"/>
      <c r="X797" s="302"/>
      <c r="Y797" s="302"/>
      <c r="Z797" s="302"/>
      <c r="AA797" s="302"/>
      <c r="AB797" s="302"/>
      <c r="AC797" s="303"/>
    </row>
    <row r="798" ht="13.5" customHeight="1">
      <c r="A798" s="326"/>
      <c r="B798" s="15"/>
      <c r="C798" s="7"/>
      <c r="D798" s="9"/>
      <c r="E798" s="13"/>
      <c r="F798" s="13"/>
      <c r="G798" s="308"/>
      <c r="H798" s="308"/>
      <c r="I798" s="7"/>
      <c r="J798" s="9"/>
      <c r="K798" s="7"/>
      <c r="L798" s="305"/>
      <c r="M798" s="305"/>
      <c r="N798" s="305"/>
      <c r="O798" s="305"/>
      <c r="P798" s="305"/>
      <c r="Q798" s="305"/>
      <c r="R798" s="305"/>
      <c r="S798" s="305"/>
      <c r="T798" s="305"/>
      <c r="U798" s="305"/>
      <c r="V798" s="305"/>
      <c r="W798" s="305"/>
      <c r="X798" s="305"/>
      <c r="Y798" s="305"/>
      <c r="Z798" s="305"/>
      <c r="AA798" s="305"/>
      <c r="AB798" s="305"/>
      <c r="AC798" s="307"/>
    </row>
    <row r="799" ht="13.5" customHeight="1">
      <c r="A799" s="312"/>
      <c r="B799" s="301"/>
      <c r="C799" s="301"/>
      <c r="D799" s="301"/>
      <c r="E799" s="301"/>
      <c r="F799" s="301"/>
      <c r="G799" s="301"/>
      <c r="H799" s="301"/>
      <c r="I799" s="301"/>
      <c r="J799" s="301"/>
      <c r="K799" s="301"/>
      <c r="L799" s="302"/>
      <c r="M799" s="302"/>
      <c r="N799" s="302"/>
      <c r="O799" s="302"/>
      <c r="P799" s="302"/>
      <c r="Q799" s="302"/>
      <c r="R799" s="302"/>
      <c r="S799" s="302"/>
      <c r="T799" s="302"/>
      <c r="U799" s="302"/>
      <c r="V799" s="302"/>
      <c r="W799" s="302"/>
      <c r="X799" s="302"/>
      <c r="Y799" s="302"/>
      <c r="Z799" s="302"/>
      <c r="AA799" s="302"/>
      <c r="AB799" s="302"/>
      <c r="AC799" s="303"/>
    </row>
    <row r="800" ht="13.5" customHeight="1">
      <c r="A800" s="326"/>
      <c r="B800" s="15"/>
      <c r="C800" s="7"/>
      <c r="D800" s="9"/>
      <c r="E800" s="13"/>
      <c r="F800" s="13"/>
      <c r="G800" s="308"/>
      <c r="H800" s="308"/>
      <c r="I800" s="7"/>
      <c r="J800" s="9"/>
      <c r="K800" s="7"/>
      <c r="L800" s="305"/>
      <c r="M800" s="305"/>
      <c r="N800" s="305"/>
      <c r="O800" s="305"/>
      <c r="P800" s="305"/>
      <c r="Q800" s="305"/>
      <c r="R800" s="305"/>
      <c r="S800" s="305"/>
      <c r="T800" s="305"/>
      <c r="U800" s="305"/>
      <c r="V800" s="305"/>
      <c r="W800" s="305"/>
      <c r="X800" s="305"/>
      <c r="Y800" s="305"/>
      <c r="Z800" s="305"/>
      <c r="AA800" s="305"/>
      <c r="AB800" s="305"/>
      <c r="AC800" s="307"/>
    </row>
    <row r="801" ht="13.5" customHeight="1">
      <c r="A801" s="312"/>
      <c r="B801" s="301"/>
      <c r="C801" s="301"/>
      <c r="D801" s="301"/>
      <c r="E801" s="301"/>
      <c r="F801" s="301"/>
      <c r="G801" s="301"/>
      <c r="H801" s="301"/>
      <c r="I801" s="301"/>
      <c r="J801" s="301"/>
      <c r="K801" s="301"/>
      <c r="L801" s="302"/>
      <c r="M801" s="302"/>
      <c r="N801" s="302"/>
      <c r="O801" s="302"/>
      <c r="P801" s="302"/>
      <c r="Q801" s="302"/>
      <c r="R801" s="302"/>
      <c r="S801" s="302"/>
      <c r="T801" s="302"/>
      <c r="U801" s="302"/>
      <c r="V801" s="302"/>
      <c r="W801" s="302"/>
      <c r="X801" s="302"/>
      <c r="Y801" s="302"/>
      <c r="Z801" s="302"/>
      <c r="AA801" s="302"/>
      <c r="AB801" s="302"/>
      <c r="AC801" s="303"/>
    </row>
    <row r="802" ht="13.5" customHeight="1">
      <c r="A802" s="326"/>
      <c r="B802" s="15"/>
      <c r="C802" s="7"/>
      <c r="D802" s="9"/>
      <c r="E802" s="13"/>
      <c r="F802" s="13"/>
      <c r="G802" s="308"/>
      <c r="H802" s="308"/>
      <c r="I802" s="7"/>
      <c r="J802" s="9"/>
      <c r="K802" s="7"/>
      <c r="L802" s="305"/>
      <c r="M802" s="305"/>
      <c r="N802" s="305"/>
      <c r="O802" s="305"/>
      <c r="P802" s="305"/>
      <c r="Q802" s="305"/>
      <c r="R802" s="305"/>
      <c r="S802" s="305"/>
      <c r="T802" s="305"/>
      <c r="U802" s="305"/>
      <c r="V802" s="305"/>
      <c r="W802" s="305"/>
      <c r="X802" s="305"/>
      <c r="Y802" s="305"/>
      <c r="Z802" s="305"/>
      <c r="AA802" s="305"/>
      <c r="AB802" s="305"/>
      <c r="AC802" s="307"/>
    </row>
    <row r="803" ht="13.5" customHeight="1">
      <c r="A803" s="312"/>
      <c r="B803" s="301"/>
      <c r="C803" s="301"/>
      <c r="D803" s="301"/>
      <c r="E803" s="301"/>
      <c r="F803" s="301"/>
      <c r="G803" s="301"/>
      <c r="H803" s="301"/>
      <c r="I803" s="301"/>
      <c r="J803" s="301"/>
      <c r="K803" s="301"/>
      <c r="L803" s="302"/>
      <c r="M803" s="302"/>
      <c r="N803" s="302"/>
      <c r="O803" s="302"/>
      <c r="P803" s="302"/>
      <c r="Q803" s="302"/>
      <c r="R803" s="302"/>
      <c r="S803" s="302"/>
      <c r="T803" s="302"/>
      <c r="U803" s="302"/>
      <c r="V803" s="302"/>
      <c r="W803" s="302"/>
      <c r="X803" s="302"/>
      <c r="Y803" s="302"/>
      <c r="Z803" s="302"/>
      <c r="AA803" s="302"/>
      <c r="AB803" s="302"/>
      <c r="AC803" s="303"/>
    </row>
    <row r="804" ht="13.5" customHeight="1">
      <c r="A804" s="326"/>
      <c r="B804" s="15"/>
      <c r="C804" s="7"/>
      <c r="D804" s="9"/>
      <c r="E804" s="13"/>
      <c r="F804" s="13"/>
      <c r="G804" s="308"/>
      <c r="H804" s="308"/>
      <c r="I804" s="7"/>
      <c r="J804" s="9"/>
      <c r="K804" s="7"/>
      <c r="L804" s="305"/>
      <c r="M804" s="305"/>
      <c r="N804" s="305"/>
      <c r="O804" s="305"/>
      <c r="P804" s="305"/>
      <c r="Q804" s="305"/>
      <c r="R804" s="305"/>
      <c r="S804" s="305"/>
      <c r="T804" s="305"/>
      <c r="U804" s="305"/>
      <c r="V804" s="305"/>
      <c r="W804" s="305"/>
      <c r="X804" s="305"/>
      <c r="Y804" s="305"/>
      <c r="Z804" s="305"/>
      <c r="AA804" s="305"/>
      <c r="AB804" s="305"/>
      <c r="AC804" s="307"/>
    </row>
    <row r="805" ht="13.5" customHeight="1">
      <c r="A805" s="312"/>
      <c r="B805" s="301"/>
      <c r="C805" s="301"/>
      <c r="D805" s="301"/>
      <c r="E805" s="301"/>
      <c r="F805" s="301"/>
      <c r="G805" s="301"/>
      <c r="H805" s="301"/>
      <c r="I805" s="301"/>
      <c r="J805" s="301"/>
      <c r="K805" s="301"/>
      <c r="L805" s="302"/>
      <c r="M805" s="302"/>
      <c r="N805" s="302"/>
      <c r="O805" s="302"/>
      <c r="P805" s="302"/>
      <c r="Q805" s="302"/>
      <c r="R805" s="302"/>
      <c r="S805" s="302"/>
      <c r="T805" s="302"/>
      <c r="U805" s="302"/>
      <c r="V805" s="302"/>
      <c r="W805" s="302"/>
      <c r="X805" s="302"/>
      <c r="Y805" s="302"/>
      <c r="Z805" s="302"/>
      <c r="AA805" s="302"/>
      <c r="AB805" s="302"/>
      <c r="AC805" s="303"/>
    </row>
    <row r="806" ht="13.5" customHeight="1">
      <c r="A806" s="326"/>
      <c r="B806" s="15"/>
      <c r="C806" s="7"/>
      <c r="D806" s="9"/>
      <c r="E806" s="13"/>
      <c r="F806" s="13"/>
      <c r="G806" s="308"/>
      <c r="H806" s="308"/>
      <c r="I806" s="7"/>
      <c r="J806" s="9"/>
      <c r="K806" s="7"/>
      <c r="L806" s="305"/>
      <c r="M806" s="305"/>
      <c r="N806" s="305"/>
      <c r="O806" s="305"/>
      <c r="P806" s="305"/>
      <c r="Q806" s="305"/>
      <c r="R806" s="305"/>
      <c r="S806" s="305"/>
      <c r="T806" s="305"/>
      <c r="U806" s="305"/>
      <c r="V806" s="305"/>
      <c r="W806" s="305"/>
      <c r="X806" s="305"/>
      <c r="Y806" s="305"/>
      <c r="Z806" s="305"/>
      <c r="AA806" s="305"/>
      <c r="AB806" s="305"/>
      <c r="AC806" s="307"/>
    </row>
    <row r="807" ht="13.5" customHeight="1">
      <c r="A807" s="312"/>
      <c r="B807" s="301"/>
      <c r="C807" s="301"/>
      <c r="D807" s="301"/>
      <c r="E807" s="301"/>
      <c r="F807" s="301"/>
      <c r="G807" s="301"/>
      <c r="H807" s="301"/>
      <c r="I807" s="301"/>
      <c r="J807" s="301"/>
      <c r="K807" s="301"/>
      <c r="L807" s="302"/>
      <c r="M807" s="302"/>
      <c r="N807" s="302"/>
      <c r="O807" s="302"/>
      <c r="P807" s="302"/>
      <c r="Q807" s="302"/>
      <c r="R807" s="302"/>
      <c r="S807" s="302"/>
      <c r="T807" s="302"/>
      <c r="U807" s="302"/>
      <c r="V807" s="302"/>
      <c r="W807" s="302"/>
      <c r="X807" s="302"/>
      <c r="Y807" s="302"/>
      <c r="Z807" s="302"/>
      <c r="AA807" s="302"/>
      <c r="AB807" s="302"/>
      <c r="AC807" s="303"/>
    </row>
    <row r="808" ht="13.5" customHeight="1">
      <c r="A808" s="326"/>
      <c r="B808" s="15"/>
      <c r="C808" s="7"/>
      <c r="D808" s="9"/>
      <c r="E808" s="13"/>
      <c r="F808" s="13"/>
      <c r="G808" s="308"/>
      <c r="H808" s="308"/>
      <c r="I808" s="7"/>
      <c r="J808" s="9"/>
      <c r="K808" s="7"/>
      <c r="L808" s="305"/>
      <c r="M808" s="305"/>
      <c r="N808" s="305"/>
      <c r="O808" s="305"/>
      <c r="P808" s="305"/>
      <c r="Q808" s="305"/>
      <c r="R808" s="305"/>
      <c r="S808" s="305"/>
      <c r="T808" s="305"/>
      <c r="U808" s="305"/>
      <c r="V808" s="305"/>
      <c r="W808" s="305"/>
      <c r="X808" s="305"/>
      <c r="Y808" s="305"/>
      <c r="Z808" s="305"/>
      <c r="AA808" s="305"/>
      <c r="AB808" s="305"/>
      <c r="AC808" s="307"/>
    </row>
    <row r="809" ht="13.5" customHeight="1">
      <c r="A809" s="312"/>
      <c r="B809" s="301"/>
      <c r="C809" s="301"/>
      <c r="D809" s="301"/>
      <c r="E809" s="301"/>
      <c r="F809" s="301"/>
      <c r="G809" s="301"/>
      <c r="H809" s="301"/>
      <c r="I809" s="301"/>
      <c r="J809" s="301"/>
      <c r="K809" s="301"/>
      <c r="L809" s="302"/>
      <c r="M809" s="302"/>
      <c r="N809" s="302"/>
      <c r="O809" s="302"/>
      <c r="P809" s="302"/>
      <c r="Q809" s="302"/>
      <c r="R809" s="302"/>
      <c r="S809" s="302"/>
      <c r="T809" s="302"/>
      <c r="U809" s="302"/>
      <c r="V809" s="302"/>
      <c r="W809" s="302"/>
      <c r="X809" s="302"/>
      <c r="Y809" s="302"/>
      <c r="Z809" s="302"/>
      <c r="AA809" s="302"/>
      <c r="AB809" s="302"/>
      <c r="AC809" s="303"/>
    </row>
    <row r="810" ht="13.5" customHeight="1">
      <c r="A810" s="326"/>
      <c r="B810" s="15"/>
      <c r="C810" s="7"/>
      <c r="D810" s="9"/>
      <c r="E810" s="13"/>
      <c r="F810" s="13"/>
      <c r="G810" s="308"/>
      <c r="H810" s="308"/>
      <c r="I810" s="7"/>
      <c r="J810" s="9"/>
      <c r="K810" s="7"/>
      <c r="L810" s="305"/>
      <c r="M810" s="305"/>
      <c r="N810" s="305"/>
      <c r="O810" s="305"/>
      <c r="P810" s="305"/>
      <c r="Q810" s="305"/>
      <c r="R810" s="305"/>
      <c r="S810" s="305"/>
      <c r="T810" s="305"/>
      <c r="U810" s="305"/>
      <c r="V810" s="305"/>
      <c r="W810" s="305"/>
      <c r="X810" s="305"/>
      <c r="Y810" s="305"/>
      <c r="Z810" s="305"/>
      <c r="AA810" s="305"/>
      <c r="AB810" s="305"/>
      <c r="AC810" s="307"/>
    </row>
    <row r="811" ht="13.5" customHeight="1">
      <c r="A811" s="312"/>
      <c r="B811" s="301"/>
      <c r="C811" s="301"/>
      <c r="D811" s="301"/>
      <c r="E811" s="301"/>
      <c r="F811" s="301"/>
      <c r="G811" s="301"/>
      <c r="H811" s="301"/>
      <c r="I811" s="301"/>
      <c r="J811" s="301"/>
      <c r="K811" s="301"/>
      <c r="L811" s="302"/>
      <c r="M811" s="302"/>
      <c r="N811" s="302"/>
      <c r="O811" s="302"/>
      <c r="P811" s="302"/>
      <c r="Q811" s="302"/>
      <c r="R811" s="302"/>
      <c r="S811" s="302"/>
      <c r="T811" s="302"/>
      <c r="U811" s="302"/>
      <c r="V811" s="302"/>
      <c r="W811" s="302"/>
      <c r="X811" s="302"/>
      <c r="Y811" s="302"/>
      <c r="Z811" s="302"/>
      <c r="AA811" s="302"/>
      <c r="AB811" s="302"/>
      <c r="AC811" s="303"/>
    </row>
    <row r="812" ht="13.5" customHeight="1">
      <c r="A812" s="326"/>
      <c r="B812" s="15"/>
      <c r="C812" s="7"/>
      <c r="D812" s="9"/>
      <c r="E812" s="13"/>
      <c r="F812" s="13"/>
      <c r="G812" s="308"/>
      <c r="H812" s="308"/>
      <c r="I812" s="7"/>
      <c r="J812" s="9"/>
      <c r="K812" s="7"/>
      <c r="L812" s="305"/>
      <c r="M812" s="305"/>
      <c r="N812" s="305"/>
      <c r="O812" s="305"/>
      <c r="P812" s="305"/>
      <c r="Q812" s="305"/>
      <c r="R812" s="305"/>
      <c r="S812" s="305"/>
      <c r="T812" s="305"/>
      <c r="U812" s="305"/>
      <c r="V812" s="305"/>
      <c r="W812" s="305"/>
      <c r="X812" s="305"/>
      <c r="Y812" s="305"/>
      <c r="Z812" s="305"/>
      <c r="AA812" s="305"/>
      <c r="AB812" s="305"/>
      <c r="AC812" s="307"/>
    </row>
    <row r="813" ht="13.5" customHeight="1">
      <c r="A813" s="312"/>
      <c r="B813" s="301"/>
      <c r="C813" s="301"/>
      <c r="D813" s="301"/>
      <c r="E813" s="301"/>
      <c r="F813" s="301"/>
      <c r="G813" s="301"/>
      <c r="H813" s="301"/>
      <c r="I813" s="301"/>
      <c r="J813" s="301"/>
      <c r="K813" s="301"/>
      <c r="L813" s="302"/>
      <c r="M813" s="302"/>
      <c r="N813" s="302"/>
      <c r="O813" s="302"/>
      <c r="P813" s="302"/>
      <c r="Q813" s="302"/>
      <c r="R813" s="302"/>
      <c r="S813" s="302"/>
      <c r="T813" s="302"/>
      <c r="U813" s="302"/>
      <c r="V813" s="302"/>
      <c r="W813" s="302"/>
      <c r="X813" s="302"/>
      <c r="Y813" s="302"/>
      <c r="Z813" s="302"/>
      <c r="AA813" s="302"/>
      <c r="AB813" s="302"/>
      <c r="AC813" s="303"/>
    </row>
    <row r="814" ht="13.5" customHeight="1">
      <c r="A814" s="326"/>
      <c r="B814" s="15"/>
      <c r="C814" s="7"/>
      <c r="D814" s="9"/>
      <c r="E814" s="13"/>
      <c r="F814" s="13"/>
      <c r="G814" s="308"/>
      <c r="H814" s="308"/>
      <c r="I814" s="7"/>
      <c r="J814" s="9"/>
      <c r="K814" s="7"/>
      <c r="L814" s="305"/>
      <c r="M814" s="305"/>
      <c r="N814" s="305"/>
      <c r="O814" s="305"/>
      <c r="P814" s="305"/>
      <c r="Q814" s="305"/>
      <c r="R814" s="305"/>
      <c r="S814" s="305"/>
      <c r="T814" s="305"/>
      <c r="U814" s="305"/>
      <c r="V814" s="305"/>
      <c r="W814" s="305"/>
      <c r="X814" s="305"/>
      <c r="Y814" s="305"/>
      <c r="Z814" s="305"/>
      <c r="AA814" s="305"/>
      <c r="AB814" s="305"/>
      <c r="AC814" s="307"/>
    </row>
    <row r="815" ht="13.5" customHeight="1">
      <c r="A815" s="312"/>
      <c r="B815" s="301"/>
      <c r="C815" s="301"/>
      <c r="D815" s="301"/>
      <c r="E815" s="301"/>
      <c r="F815" s="301"/>
      <c r="G815" s="301"/>
      <c r="H815" s="301"/>
      <c r="I815" s="301"/>
      <c r="J815" s="301"/>
      <c r="K815" s="301"/>
      <c r="L815" s="302"/>
      <c r="M815" s="302"/>
      <c r="N815" s="302"/>
      <c r="O815" s="302"/>
      <c r="P815" s="302"/>
      <c r="Q815" s="302"/>
      <c r="R815" s="302"/>
      <c r="S815" s="302"/>
      <c r="T815" s="302"/>
      <c r="U815" s="302"/>
      <c r="V815" s="302"/>
      <c r="W815" s="302"/>
      <c r="X815" s="302"/>
      <c r="Y815" s="302"/>
      <c r="Z815" s="302"/>
      <c r="AA815" s="302"/>
      <c r="AB815" s="302"/>
      <c r="AC815" s="303"/>
    </row>
    <row r="816" ht="13.5" customHeight="1">
      <c r="A816" s="326"/>
      <c r="B816" s="15"/>
      <c r="C816" s="7"/>
      <c r="D816" s="9"/>
      <c r="E816" s="13"/>
      <c r="F816" s="13"/>
      <c r="G816" s="308"/>
      <c r="H816" s="308"/>
      <c r="I816" s="7"/>
      <c r="J816" s="9"/>
      <c r="K816" s="7"/>
      <c r="L816" s="305"/>
      <c r="M816" s="305"/>
      <c r="N816" s="305"/>
      <c r="O816" s="305"/>
      <c r="P816" s="305"/>
      <c r="Q816" s="305"/>
      <c r="R816" s="305"/>
      <c r="S816" s="305"/>
      <c r="T816" s="305"/>
      <c r="U816" s="305"/>
      <c r="V816" s="305"/>
      <c r="W816" s="305"/>
      <c r="X816" s="305"/>
      <c r="Y816" s="305"/>
      <c r="Z816" s="305"/>
      <c r="AA816" s="305"/>
      <c r="AB816" s="305"/>
      <c r="AC816" s="307"/>
    </row>
    <row r="817" ht="13.5" customHeight="1">
      <c r="A817" s="312"/>
      <c r="B817" s="301"/>
      <c r="C817" s="301"/>
      <c r="D817" s="301"/>
      <c r="E817" s="301"/>
      <c r="F817" s="301"/>
      <c r="G817" s="301"/>
      <c r="H817" s="301"/>
      <c r="I817" s="301"/>
      <c r="J817" s="301"/>
      <c r="K817" s="301"/>
      <c r="L817" s="302"/>
      <c r="M817" s="302"/>
      <c r="N817" s="302"/>
      <c r="O817" s="302"/>
      <c r="P817" s="302"/>
      <c r="Q817" s="302"/>
      <c r="R817" s="302"/>
      <c r="S817" s="302"/>
      <c r="T817" s="302"/>
      <c r="U817" s="302"/>
      <c r="V817" s="302"/>
      <c r="W817" s="302"/>
      <c r="X817" s="302"/>
      <c r="Y817" s="302"/>
      <c r="Z817" s="302"/>
      <c r="AA817" s="302"/>
      <c r="AB817" s="302"/>
      <c r="AC817" s="303"/>
    </row>
    <row r="818" ht="13.5" customHeight="1">
      <c r="A818" s="326"/>
      <c r="B818" s="15"/>
      <c r="C818" s="7"/>
      <c r="D818" s="9"/>
      <c r="E818" s="13"/>
      <c r="F818" s="13"/>
      <c r="G818" s="308"/>
      <c r="H818" s="308"/>
      <c r="I818" s="7"/>
      <c r="J818" s="9"/>
      <c r="K818" s="7"/>
      <c r="L818" s="305"/>
      <c r="M818" s="305"/>
      <c r="N818" s="305"/>
      <c r="O818" s="305"/>
      <c r="P818" s="305"/>
      <c r="Q818" s="305"/>
      <c r="R818" s="305"/>
      <c r="S818" s="305"/>
      <c r="T818" s="305"/>
      <c r="U818" s="305"/>
      <c r="V818" s="305"/>
      <c r="W818" s="305"/>
      <c r="X818" s="305"/>
      <c r="Y818" s="305"/>
      <c r="Z818" s="305"/>
      <c r="AA818" s="305"/>
      <c r="AB818" s="305"/>
      <c r="AC818" s="307"/>
    </row>
    <row r="819" ht="13.5" customHeight="1">
      <c r="A819" s="312"/>
      <c r="B819" s="301"/>
      <c r="C819" s="301"/>
      <c r="D819" s="301"/>
      <c r="E819" s="301"/>
      <c r="F819" s="301"/>
      <c r="G819" s="301"/>
      <c r="H819" s="301"/>
      <c r="I819" s="301"/>
      <c r="J819" s="301"/>
      <c r="K819" s="301"/>
      <c r="L819" s="302"/>
      <c r="M819" s="302"/>
      <c r="N819" s="302"/>
      <c r="O819" s="302"/>
      <c r="P819" s="302"/>
      <c r="Q819" s="302"/>
      <c r="R819" s="302"/>
      <c r="S819" s="302"/>
      <c r="T819" s="302"/>
      <c r="U819" s="302"/>
      <c r="V819" s="302"/>
      <c r="W819" s="302"/>
      <c r="X819" s="302"/>
      <c r="Y819" s="302"/>
      <c r="Z819" s="302"/>
      <c r="AA819" s="302"/>
      <c r="AB819" s="302"/>
      <c r="AC819" s="303"/>
    </row>
    <row r="820" ht="13.5" customHeight="1">
      <c r="A820" s="326"/>
      <c r="B820" s="15"/>
      <c r="C820" s="7"/>
      <c r="D820" s="9"/>
      <c r="E820" s="13"/>
      <c r="F820" s="13"/>
      <c r="G820" s="308"/>
      <c r="H820" s="308"/>
      <c r="I820" s="7"/>
      <c r="J820" s="9"/>
      <c r="K820" s="7"/>
      <c r="L820" s="305"/>
      <c r="M820" s="305"/>
      <c r="N820" s="305"/>
      <c r="O820" s="305"/>
      <c r="P820" s="305"/>
      <c r="Q820" s="305"/>
      <c r="R820" s="305"/>
      <c r="S820" s="305"/>
      <c r="T820" s="305"/>
      <c r="U820" s="305"/>
      <c r="V820" s="305"/>
      <c r="W820" s="305"/>
      <c r="X820" s="305"/>
      <c r="Y820" s="305"/>
      <c r="Z820" s="305"/>
      <c r="AA820" s="305"/>
      <c r="AB820" s="305"/>
      <c r="AC820" s="307"/>
    </row>
    <row r="821" ht="13.5" customHeight="1">
      <c r="A821" s="312"/>
      <c r="B821" s="301"/>
      <c r="C821" s="301"/>
      <c r="D821" s="301"/>
      <c r="E821" s="301"/>
      <c r="F821" s="301"/>
      <c r="G821" s="301"/>
      <c r="H821" s="301"/>
      <c r="I821" s="301"/>
      <c r="J821" s="301"/>
      <c r="K821" s="301"/>
      <c r="L821" s="302"/>
      <c r="M821" s="302"/>
      <c r="N821" s="302"/>
      <c r="O821" s="302"/>
      <c r="P821" s="302"/>
      <c r="Q821" s="302"/>
      <c r="R821" s="302"/>
      <c r="S821" s="302"/>
      <c r="T821" s="302"/>
      <c r="U821" s="302"/>
      <c r="V821" s="302"/>
      <c r="W821" s="302"/>
      <c r="X821" s="302"/>
      <c r="Y821" s="302"/>
      <c r="Z821" s="302"/>
      <c r="AA821" s="302"/>
      <c r="AB821" s="302"/>
      <c r="AC821" s="303"/>
    </row>
    <row r="822" ht="13.5" customHeight="1">
      <c r="A822" s="326"/>
      <c r="B822" s="15"/>
      <c r="C822" s="7"/>
      <c r="D822" s="9"/>
      <c r="E822" s="13"/>
      <c r="F822" s="13"/>
      <c r="G822" s="308"/>
      <c r="H822" s="308"/>
      <c r="I822" s="7"/>
      <c r="J822" s="9"/>
      <c r="K822" s="7"/>
      <c r="L822" s="305"/>
      <c r="M822" s="305"/>
      <c r="N822" s="305"/>
      <c r="O822" s="305"/>
      <c r="P822" s="305"/>
      <c r="Q822" s="305"/>
      <c r="R822" s="305"/>
      <c r="S822" s="305"/>
      <c r="T822" s="305"/>
      <c r="U822" s="305"/>
      <c r="V822" s="305"/>
      <c r="W822" s="305"/>
      <c r="X822" s="305"/>
      <c r="Y822" s="305"/>
      <c r="Z822" s="305"/>
      <c r="AA822" s="305"/>
      <c r="AB822" s="305"/>
      <c r="AC822" s="307"/>
    </row>
    <row r="823" ht="13.5" customHeight="1">
      <c r="A823" s="312"/>
      <c r="B823" s="301"/>
      <c r="C823" s="301"/>
      <c r="D823" s="301"/>
      <c r="E823" s="301"/>
      <c r="F823" s="301"/>
      <c r="G823" s="301"/>
      <c r="H823" s="301"/>
      <c r="I823" s="301"/>
      <c r="J823" s="301"/>
      <c r="K823" s="301"/>
      <c r="L823" s="302"/>
      <c r="M823" s="302"/>
      <c r="N823" s="302"/>
      <c r="O823" s="302"/>
      <c r="P823" s="302"/>
      <c r="Q823" s="302"/>
      <c r="R823" s="302"/>
      <c r="S823" s="302"/>
      <c r="T823" s="302"/>
      <c r="U823" s="302"/>
      <c r="V823" s="302"/>
      <c r="W823" s="302"/>
      <c r="X823" s="302"/>
      <c r="Y823" s="302"/>
      <c r="Z823" s="302"/>
      <c r="AA823" s="302"/>
      <c r="AB823" s="302"/>
      <c r="AC823" s="303"/>
    </row>
    <row r="824" ht="13.5" customHeight="1">
      <c r="A824" s="326"/>
      <c r="B824" s="15"/>
      <c r="C824" s="7"/>
      <c r="D824" s="9"/>
      <c r="E824" s="13"/>
      <c r="F824" s="13"/>
      <c r="G824" s="308"/>
      <c r="H824" s="308"/>
      <c r="I824" s="7"/>
      <c r="J824" s="9"/>
      <c r="K824" s="7"/>
      <c r="L824" s="305"/>
      <c r="M824" s="305"/>
      <c r="N824" s="305"/>
      <c r="O824" s="305"/>
      <c r="P824" s="305"/>
      <c r="Q824" s="305"/>
      <c r="R824" s="305"/>
      <c r="S824" s="305"/>
      <c r="T824" s="305"/>
      <c r="U824" s="305"/>
      <c r="V824" s="305"/>
      <c r="W824" s="305"/>
      <c r="X824" s="305"/>
      <c r="Y824" s="305"/>
      <c r="Z824" s="305"/>
      <c r="AA824" s="305"/>
      <c r="AB824" s="305"/>
      <c r="AC824" s="307"/>
    </row>
    <row r="825" ht="13.5" customHeight="1">
      <c r="A825" s="312"/>
      <c r="B825" s="301"/>
      <c r="C825" s="301"/>
      <c r="D825" s="301"/>
      <c r="E825" s="301"/>
      <c r="F825" s="301"/>
      <c r="G825" s="301"/>
      <c r="H825" s="301"/>
      <c r="I825" s="301"/>
      <c r="J825" s="301"/>
      <c r="K825" s="301"/>
      <c r="L825" s="302"/>
      <c r="M825" s="302"/>
      <c r="N825" s="302"/>
      <c r="O825" s="302"/>
      <c r="P825" s="302"/>
      <c r="Q825" s="302"/>
      <c r="R825" s="302"/>
      <c r="S825" s="302"/>
      <c r="T825" s="302"/>
      <c r="U825" s="302"/>
      <c r="V825" s="302"/>
      <c r="W825" s="302"/>
      <c r="X825" s="302"/>
      <c r="Y825" s="302"/>
      <c r="Z825" s="302"/>
      <c r="AA825" s="302"/>
      <c r="AB825" s="302"/>
      <c r="AC825" s="303"/>
    </row>
    <row r="826" ht="13.5" customHeight="1">
      <c r="A826" s="326"/>
      <c r="B826" s="15"/>
      <c r="C826" s="7"/>
      <c r="D826" s="9"/>
      <c r="E826" s="13"/>
      <c r="F826" s="13"/>
      <c r="G826" s="308"/>
      <c r="H826" s="308"/>
      <c r="I826" s="7"/>
      <c r="J826" s="9"/>
      <c r="K826" s="7"/>
      <c r="L826" s="305"/>
      <c r="M826" s="305"/>
      <c r="N826" s="305"/>
      <c r="O826" s="305"/>
      <c r="P826" s="305"/>
      <c r="Q826" s="305"/>
      <c r="R826" s="305"/>
      <c r="S826" s="305"/>
      <c r="T826" s="305"/>
      <c r="U826" s="305"/>
      <c r="V826" s="305"/>
      <c r="W826" s="305"/>
      <c r="X826" s="305"/>
      <c r="Y826" s="305"/>
      <c r="Z826" s="305"/>
      <c r="AA826" s="305"/>
      <c r="AB826" s="305"/>
      <c r="AC826" s="307"/>
    </row>
    <row r="827" ht="13.5" customHeight="1">
      <c r="A827" s="312"/>
      <c r="B827" s="301"/>
      <c r="C827" s="301"/>
      <c r="D827" s="301"/>
      <c r="E827" s="301"/>
      <c r="F827" s="301"/>
      <c r="G827" s="301"/>
      <c r="H827" s="301"/>
      <c r="I827" s="301"/>
      <c r="J827" s="301"/>
      <c r="K827" s="301"/>
      <c r="L827" s="302"/>
      <c r="M827" s="302"/>
      <c r="N827" s="302"/>
      <c r="O827" s="302"/>
      <c r="P827" s="302"/>
      <c r="Q827" s="302"/>
      <c r="R827" s="302"/>
      <c r="S827" s="302"/>
      <c r="T827" s="302"/>
      <c r="U827" s="302"/>
      <c r="V827" s="302"/>
      <c r="W827" s="302"/>
      <c r="X827" s="302"/>
      <c r="Y827" s="302"/>
      <c r="Z827" s="302"/>
      <c r="AA827" s="302"/>
      <c r="AB827" s="302"/>
      <c r="AC827" s="303"/>
    </row>
    <row r="828" ht="13.5" customHeight="1">
      <c r="A828" s="326"/>
      <c r="B828" s="15"/>
      <c r="C828" s="7"/>
      <c r="D828" s="9"/>
      <c r="E828" s="13"/>
      <c r="F828" s="13"/>
      <c r="G828" s="308"/>
      <c r="H828" s="308"/>
      <c r="I828" s="7"/>
      <c r="J828" s="9"/>
      <c r="K828" s="7"/>
      <c r="L828" s="305"/>
      <c r="M828" s="305"/>
      <c r="N828" s="305"/>
      <c r="O828" s="305"/>
      <c r="P828" s="305"/>
      <c r="Q828" s="305"/>
      <c r="R828" s="305"/>
      <c r="S828" s="305"/>
      <c r="T828" s="305"/>
      <c r="U828" s="305"/>
      <c r="V828" s="305"/>
      <c r="W828" s="305"/>
      <c r="X828" s="305"/>
      <c r="Y828" s="305"/>
      <c r="Z828" s="305"/>
      <c r="AA828" s="305"/>
      <c r="AB828" s="305"/>
      <c r="AC828" s="307"/>
    </row>
    <row r="829" ht="13.5" customHeight="1">
      <c r="A829" s="312"/>
      <c r="B829" s="301"/>
      <c r="C829" s="301"/>
      <c r="D829" s="301"/>
      <c r="E829" s="301"/>
      <c r="F829" s="301"/>
      <c r="G829" s="301"/>
      <c r="H829" s="301"/>
      <c r="I829" s="301"/>
      <c r="J829" s="301"/>
      <c r="K829" s="301"/>
      <c r="L829" s="302"/>
      <c r="M829" s="302"/>
      <c r="N829" s="302"/>
      <c r="O829" s="302"/>
      <c r="P829" s="302"/>
      <c r="Q829" s="302"/>
      <c r="R829" s="302"/>
      <c r="S829" s="302"/>
      <c r="T829" s="302"/>
      <c r="U829" s="302"/>
      <c r="V829" s="302"/>
      <c r="W829" s="302"/>
      <c r="X829" s="302"/>
      <c r="Y829" s="302"/>
      <c r="Z829" s="302"/>
      <c r="AA829" s="302"/>
      <c r="AB829" s="302"/>
      <c r="AC829" s="303"/>
    </row>
    <row r="830" ht="13.5" customHeight="1">
      <c r="A830" s="326"/>
      <c r="B830" s="15"/>
      <c r="C830" s="7"/>
      <c r="D830" s="9"/>
      <c r="E830" s="13"/>
      <c r="F830" s="13"/>
      <c r="G830" s="308"/>
      <c r="H830" s="308"/>
      <c r="I830" s="7"/>
      <c r="J830" s="9"/>
      <c r="K830" s="7"/>
      <c r="L830" s="305"/>
      <c r="M830" s="305"/>
      <c r="N830" s="305"/>
      <c r="O830" s="305"/>
      <c r="P830" s="305"/>
      <c r="Q830" s="305"/>
      <c r="R830" s="305"/>
      <c r="S830" s="305"/>
      <c r="T830" s="305"/>
      <c r="U830" s="305"/>
      <c r="V830" s="305"/>
      <c r="W830" s="305"/>
      <c r="X830" s="305"/>
      <c r="Y830" s="305"/>
      <c r="Z830" s="305"/>
      <c r="AA830" s="305"/>
      <c r="AB830" s="305"/>
      <c r="AC830" s="307"/>
    </row>
    <row r="831" ht="13.5" customHeight="1">
      <c r="A831" s="312"/>
      <c r="B831" s="301"/>
      <c r="C831" s="301"/>
      <c r="D831" s="301"/>
      <c r="E831" s="301"/>
      <c r="F831" s="301"/>
      <c r="G831" s="301"/>
      <c r="H831" s="301"/>
      <c r="I831" s="301"/>
      <c r="J831" s="301"/>
      <c r="K831" s="301"/>
      <c r="L831" s="302"/>
      <c r="M831" s="302"/>
      <c r="N831" s="302"/>
      <c r="O831" s="302"/>
      <c r="P831" s="302"/>
      <c r="Q831" s="302"/>
      <c r="R831" s="302"/>
      <c r="S831" s="302"/>
      <c r="T831" s="302"/>
      <c r="U831" s="302"/>
      <c r="V831" s="302"/>
      <c r="W831" s="302"/>
      <c r="X831" s="302"/>
      <c r="Y831" s="302"/>
      <c r="Z831" s="302"/>
      <c r="AA831" s="302"/>
      <c r="AB831" s="302"/>
      <c r="AC831" s="303"/>
    </row>
    <row r="832" ht="13.5" customHeight="1">
      <c r="A832" s="326"/>
      <c r="B832" s="15"/>
      <c r="C832" s="7"/>
      <c r="D832" s="9"/>
      <c r="E832" s="13"/>
      <c r="F832" s="13"/>
      <c r="G832" s="308"/>
      <c r="H832" s="308"/>
      <c r="I832" s="7"/>
      <c r="J832" s="9"/>
      <c r="K832" s="7"/>
      <c r="L832" s="305"/>
      <c r="M832" s="305"/>
      <c r="N832" s="305"/>
      <c r="O832" s="305"/>
      <c r="P832" s="305"/>
      <c r="Q832" s="305"/>
      <c r="R832" s="305"/>
      <c r="S832" s="305"/>
      <c r="T832" s="305"/>
      <c r="U832" s="305"/>
      <c r="V832" s="305"/>
      <c r="W832" s="305"/>
      <c r="X832" s="305"/>
      <c r="Y832" s="305"/>
      <c r="Z832" s="305"/>
      <c r="AA832" s="305"/>
      <c r="AB832" s="305"/>
      <c r="AC832" s="307"/>
    </row>
    <row r="833" ht="13.5" customHeight="1">
      <c r="A833" s="312"/>
      <c r="B833" s="301"/>
      <c r="C833" s="301"/>
      <c r="D833" s="301"/>
      <c r="E833" s="301"/>
      <c r="F833" s="301"/>
      <c r="G833" s="301"/>
      <c r="H833" s="301"/>
      <c r="I833" s="301"/>
      <c r="J833" s="301"/>
      <c r="K833" s="301"/>
      <c r="L833" s="302"/>
      <c r="M833" s="302"/>
      <c r="N833" s="302"/>
      <c r="O833" s="302"/>
      <c r="P833" s="302"/>
      <c r="Q833" s="302"/>
      <c r="R833" s="302"/>
      <c r="S833" s="302"/>
      <c r="T833" s="302"/>
      <c r="U833" s="302"/>
      <c r="V833" s="302"/>
      <c r="W833" s="302"/>
      <c r="X833" s="302"/>
      <c r="Y833" s="302"/>
      <c r="Z833" s="302"/>
      <c r="AA833" s="302"/>
      <c r="AB833" s="302"/>
      <c r="AC833" s="303"/>
    </row>
    <row r="834" ht="13.5" customHeight="1">
      <c r="A834" s="326"/>
      <c r="B834" s="15"/>
      <c r="C834" s="7"/>
      <c r="D834" s="9"/>
      <c r="E834" s="13"/>
      <c r="F834" s="13"/>
      <c r="G834" s="308"/>
      <c r="H834" s="308"/>
      <c r="I834" s="7"/>
      <c r="J834" s="9"/>
      <c r="K834" s="7"/>
      <c r="L834" s="305"/>
      <c r="M834" s="305"/>
      <c r="N834" s="305"/>
      <c r="O834" s="305"/>
      <c r="P834" s="305"/>
      <c r="Q834" s="305"/>
      <c r="R834" s="305"/>
      <c r="S834" s="305"/>
      <c r="T834" s="305"/>
      <c r="U834" s="305"/>
      <c r="V834" s="305"/>
      <c r="W834" s="305"/>
      <c r="X834" s="305"/>
      <c r="Y834" s="305"/>
      <c r="Z834" s="305"/>
      <c r="AA834" s="305"/>
      <c r="AB834" s="305"/>
      <c r="AC834" s="307"/>
    </row>
    <row r="835" ht="13.5" customHeight="1">
      <c r="A835" s="312"/>
      <c r="B835" s="301"/>
      <c r="C835" s="301"/>
      <c r="D835" s="301"/>
      <c r="E835" s="301"/>
      <c r="F835" s="301"/>
      <c r="G835" s="301"/>
      <c r="H835" s="301"/>
      <c r="I835" s="301"/>
      <c r="J835" s="301"/>
      <c r="K835" s="301"/>
      <c r="L835" s="302"/>
      <c r="M835" s="302"/>
      <c r="N835" s="302"/>
      <c r="O835" s="302"/>
      <c r="P835" s="302"/>
      <c r="Q835" s="302"/>
      <c r="R835" s="302"/>
      <c r="S835" s="302"/>
      <c r="T835" s="302"/>
      <c r="U835" s="302"/>
      <c r="V835" s="302"/>
      <c r="W835" s="302"/>
      <c r="X835" s="302"/>
      <c r="Y835" s="302"/>
      <c r="Z835" s="302"/>
      <c r="AA835" s="302"/>
      <c r="AB835" s="302"/>
      <c r="AC835" s="303"/>
    </row>
    <row r="836" ht="13.5" customHeight="1">
      <c r="A836" s="326"/>
      <c r="B836" s="15"/>
      <c r="C836" s="7"/>
      <c r="D836" s="9"/>
      <c r="E836" s="13"/>
      <c r="F836" s="13"/>
      <c r="G836" s="308"/>
      <c r="H836" s="308"/>
      <c r="I836" s="7"/>
      <c r="J836" s="9"/>
      <c r="K836" s="7"/>
      <c r="L836" s="305"/>
      <c r="M836" s="305"/>
      <c r="N836" s="305"/>
      <c r="O836" s="305"/>
      <c r="P836" s="305"/>
      <c r="Q836" s="305"/>
      <c r="R836" s="305"/>
      <c r="S836" s="305"/>
      <c r="T836" s="305"/>
      <c r="U836" s="305"/>
      <c r="V836" s="305"/>
      <c r="W836" s="305"/>
      <c r="X836" s="305"/>
      <c r="Y836" s="305"/>
      <c r="Z836" s="305"/>
      <c r="AA836" s="305"/>
      <c r="AB836" s="305"/>
      <c r="AC836" s="307"/>
    </row>
    <row r="837" ht="13.5" customHeight="1">
      <c r="A837" s="312"/>
      <c r="B837" s="301"/>
      <c r="C837" s="301"/>
      <c r="D837" s="301"/>
      <c r="E837" s="301"/>
      <c r="F837" s="301"/>
      <c r="G837" s="301"/>
      <c r="H837" s="301"/>
      <c r="I837" s="301"/>
      <c r="J837" s="301"/>
      <c r="K837" s="301"/>
      <c r="L837" s="302"/>
      <c r="M837" s="302"/>
      <c r="N837" s="302"/>
      <c r="O837" s="302"/>
      <c r="P837" s="302"/>
      <c r="Q837" s="302"/>
      <c r="R837" s="302"/>
      <c r="S837" s="302"/>
      <c r="T837" s="302"/>
      <c r="U837" s="302"/>
      <c r="V837" s="302"/>
      <c r="W837" s="302"/>
      <c r="X837" s="302"/>
      <c r="Y837" s="302"/>
      <c r="Z837" s="302"/>
      <c r="AA837" s="302"/>
      <c r="AB837" s="302"/>
      <c r="AC837" s="303"/>
    </row>
    <row r="838" ht="13.5" customHeight="1">
      <c r="A838" s="326"/>
      <c r="B838" s="15"/>
      <c r="C838" s="7"/>
      <c r="D838" s="9"/>
      <c r="E838" s="13"/>
      <c r="F838" s="13"/>
      <c r="G838" s="308"/>
      <c r="H838" s="308"/>
      <c r="I838" s="7"/>
      <c r="J838" s="9"/>
      <c r="K838" s="7"/>
      <c r="L838" s="305"/>
      <c r="M838" s="305"/>
      <c r="N838" s="305"/>
      <c r="O838" s="305"/>
      <c r="P838" s="305"/>
      <c r="Q838" s="305"/>
      <c r="R838" s="305"/>
      <c r="S838" s="305"/>
      <c r="T838" s="305"/>
      <c r="U838" s="305"/>
      <c r="V838" s="305"/>
      <c r="W838" s="305"/>
      <c r="X838" s="305"/>
      <c r="Y838" s="305"/>
      <c r="Z838" s="305"/>
      <c r="AA838" s="305"/>
      <c r="AB838" s="305"/>
      <c r="AC838" s="307"/>
    </row>
    <row r="839" ht="13.5" customHeight="1">
      <c r="A839" s="312"/>
      <c r="B839" s="301"/>
      <c r="C839" s="301"/>
      <c r="D839" s="301"/>
      <c r="E839" s="301"/>
      <c r="F839" s="301"/>
      <c r="G839" s="301"/>
      <c r="H839" s="301"/>
      <c r="I839" s="301"/>
      <c r="J839" s="301"/>
      <c r="K839" s="301"/>
      <c r="L839" s="302"/>
      <c r="M839" s="302"/>
      <c r="N839" s="302"/>
      <c r="O839" s="302"/>
      <c r="P839" s="302"/>
      <c r="Q839" s="302"/>
      <c r="R839" s="302"/>
      <c r="S839" s="302"/>
      <c r="T839" s="302"/>
      <c r="U839" s="302"/>
      <c r="V839" s="302"/>
      <c r="W839" s="302"/>
      <c r="X839" s="302"/>
      <c r="Y839" s="302"/>
      <c r="Z839" s="302"/>
      <c r="AA839" s="302"/>
      <c r="AB839" s="302"/>
      <c r="AC839" s="303"/>
    </row>
    <row r="840" ht="13.5" customHeight="1">
      <c r="A840" s="326"/>
      <c r="B840" s="15"/>
      <c r="C840" s="7"/>
      <c r="D840" s="9"/>
      <c r="E840" s="13"/>
      <c r="F840" s="13"/>
      <c r="G840" s="308"/>
      <c r="H840" s="308"/>
      <c r="I840" s="7"/>
      <c r="J840" s="9"/>
      <c r="K840" s="7"/>
      <c r="L840" s="305"/>
      <c r="M840" s="305"/>
      <c r="N840" s="305"/>
      <c r="O840" s="305"/>
      <c r="P840" s="305"/>
      <c r="Q840" s="305"/>
      <c r="R840" s="305"/>
      <c r="S840" s="305"/>
      <c r="T840" s="305"/>
      <c r="U840" s="305"/>
      <c r="V840" s="305"/>
      <c r="W840" s="305"/>
      <c r="X840" s="305"/>
      <c r="Y840" s="305"/>
      <c r="Z840" s="305"/>
      <c r="AA840" s="305"/>
      <c r="AB840" s="305"/>
      <c r="AC840" s="307"/>
    </row>
    <row r="841" ht="13.5" customHeight="1">
      <c r="A841" s="312"/>
      <c r="B841" s="301"/>
      <c r="C841" s="301"/>
      <c r="D841" s="301"/>
      <c r="E841" s="301"/>
      <c r="F841" s="301"/>
      <c r="G841" s="301"/>
      <c r="H841" s="301"/>
      <c r="I841" s="301"/>
      <c r="J841" s="301"/>
      <c r="K841" s="301"/>
      <c r="L841" s="302"/>
      <c r="M841" s="302"/>
      <c r="N841" s="302"/>
      <c r="O841" s="302"/>
      <c r="P841" s="302"/>
      <c r="Q841" s="302"/>
      <c r="R841" s="302"/>
      <c r="S841" s="302"/>
      <c r="T841" s="302"/>
      <c r="U841" s="302"/>
      <c r="V841" s="302"/>
      <c r="W841" s="302"/>
      <c r="X841" s="302"/>
      <c r="Y841" s="302"/>
      <c r="Z841" s="302"/>
      <c r="AA841" s="302"/>
      <c r="AB841" s="302"/>
      <c r="AC841" s="303"/>
    </row>
    <row r="842" ht="13.5" customHeight="1">
      <c r="A842" s="326"/>
      <c r="B842" s="15"/>
      <c r="C842" s="7"/>
      <c r="D842" s="9"/>
      <c r="E842" s="13"/>
      <c r="F842" s="13"/>
      <c r="G842" s="308"/>
      <c r="H842" s="308"/>
      <c r="I842" s="7"/>
      <c r="J842" s="9"/>
      <c r="K842" s="7"/>
      <c r="L842" s="305"/>
      <c r="M842" s="305"/>
      <c r="N842" s="305"/>
      <c r="O842" s="305"/>
      <c r="P842" s="305"/>
      <c r="Q842" s="305"/>
      <c r="R842" s="305"/>
      <c r="S842" s="305"/>
      <c r="T842" s="305"/>
      <c r="U842" s="305"/>
      <c r="V842" s="305"/>
      <c r="W842" s="305"/>
      <c r="X842" s="305"/>
      <c r="Y842" s="305"/>
      <c r="Z842" s="305"/>
      <c r="AA842" s="305"/>
      <c r="AB842" s="305"/>
      <c r="AC842" s="307"/>
    </row>
    <row r="843" ht="13.5" customHeight="1">
      <c r="A843" s="312"/>
      <c r="B843" s="301"/>
      <c r="C843" s="301"/>
      <c r="D843" s="301"/>
      <c r="E843" s="301"/>
      <c r="F843" s="301"/>
      <c r="G843" s="301"/>
      <c r="H843" s="301"/>
      <c r="I843" s="301"/>
      <c r="J843" s="301"/>
      <c r="K843" s="301"/>
      <c r="L843" s="302"/>
      <c r="M843" s="302"/>
      <c r="N843" s="302"/>
      <c r="O843" s="302"/>
      <c r="P843" s="302"/>
      <c r="Q843" s="302"/>
      <c r="R843" s="302"/>
      <c r="S843" s="302"/>
      <c r="T843" s="302"/>
      <c r="U843" s="302"/>
      <c r="V843" s="302"/>
      <c r="W843" s="302"/>
      <c r="X843" s="302"/>
      <c r="Y843" s="302"/>
      <c r="Z843" s="302"/>
      <c r="AA843" s="302"/>
      <c r="AB843" s="302"/>
      <c r="AC843" s="303"/>
    </row>
    <row r="844" ht="13.5" customHeight="1">
      <c r="A844" s="326"/>
      <c r="B844" s="15"/>
      <c r="C844" s="7"/>
      <c r="D844" s="9"/>
      <c r="E844" s="13"/>
      <c r="F844" s="13"/>
      <c r="G844" s="308"/>
      <c r="H844" s="308"/>
      <c r="I844" s="7"/>
      <c r="J844" s="9"/>
      <c r="K844" s="7"/>
      <c r="L844" s="305"/>
      <c r="M844" s="305"/>
      <c r="N844" s="305"/>
      <c r="O844" s="305"/>
      <c r="P844" s="305"/>
      <c r="Q844" s="305"/>
      <c r="R844" s="305"/>
      <c r="S844" s="305"/>
      <c r="T844" s="305"/>
      <c r="U844" s="305"/>
      <c r="V844" s="305"/>
      <c r="W844" s="305"/>
      <c r="X844" s="305"/>
      <c r="Y844" s="305"/>
      <c r="Z844" s="305"/>
      <c r="AA844" s="305"/>
      <c r="AB844" s="305"/>
      <c r="AC844" s="307"/>
    </row>
    <row r="845" ht="13.5" customHeight="1">
      <c r="A845" s="312"/>
      <c r="B845" s="301"/>
      <c r="C845" s="301"/>
      <c r="D845" s="301"/>
      <c r="E845" s="301"/>
      <c r="F845" s="301"/>
      <c r="G845" s="301"/>
      <c r="H845" s="301"/>
      <c r="I845" s="301"/>
      <c r="J845" s="301"/>
      <c r="K845" s="301"/>
      <c r="L845" s="302"/>
      <c r="M845" s="302"/>
      <c r="N845" s="302"/>
      <c r="O845" s="302"/>
      <c r="P845" s="302"/>
      <c r="Q845" s="302"/>
      <c r="R845" s="302"/>
      <c r="S845" s="302"/>
      <c r="T845" s="302"/>
      <c r="U845" s="302"/>
      <c r="V845" s="302"/>
      <c r="W845" s="302"/>
      <c r="X845" s="302"/>
      <c r="Y845" s="302"/>
      <c r="Z845" s="302"/>
      <c r="AA845" s="302"/>
      <c r="AB845" s="302"/>
      <c r="AC845" s="303"/>
    </row>
    <row r="846" ht="13.5" customHeight="1">
      <c r="A846" s="326"/>
      <c r="B846" s="15"/>
      <c r="C846" s="7"/>
      <c r="D846" s="9"/>
      <c r="E846" s="13"/>
      <c r="F846" s="13"/>
      <c r="G846" s="308"/>
      <c r="H846" s="308"/>
      <c r="I846" s="7"/>
      <c r="J846" s="9"/>
      <c r="K846" s="7"/>
      <c r="L846" s="305"/>
      <c r="M846" s="305"/>
      <c r="N846" s="305"/>
      <c r="O846" s="305"/>
      <c r="P846" s="305"/>
      <c r="Q846" s="305"/>
      <c r="R846" s="305"/>
      <c r="S846" s="305"/>
      <c r="T846" s="305"/>
      <c r="U846" s="305"/>
      <c r="V846" s="305"/>
      <c r="W846" s="305"/>
      <c r="X846" s="305"/>
      <c r="Y846" s="305"/>
      <c r="Z846" s="305"/>
      <c r="AA846" s="305"/>
      <c r="AB846" s="305"/>
      <c r="AC846" s="307"/>
    </row>
    <row r="847" ht="13.5" customHeight="1">
      <c r="A847" s="312"/>
      <c r="B847" s="301"/>
      <c r="C847" s="301"/>
      <c r="D847" s="301"/>
      <c r="E847" s="301"/>
      <c r="F847" s="301"/>
      <c r="G847" s="301"/>
      <c r="H847" s="301"/>
      <c r="I847" s="301"/>
      <c r="J847" s="301"/>
      <c r="K847" s="301"/>
      <c r="L847" s="302"/>
      <c r="M847" s="302"/>
      <c r="N847" s="302"/>
      <c r="O847" s="302"/>
      <c r="P847" s="302"/>
      <c r="Q847" s="302"/>
      <c r="R847" s="302"/>
      <c r="S847" s="302"/>
      <c r="T847" s="302"/>
      <c r="U847" s="302"/>
      <c r="V847" s="302"/>
      <c r="W847" s="302"/>
      <c r="X847" s="302"/>
      <c r="Y847" s="302"/>
      <c r="Z847" s="302"/>
      <c r="AA847" s="302"/>
      <c r="AB847" s="302"/>
      <c r="AC847" s="303"/>
    </row>
    <row r="848" ht="13.5" customHeight="1">
      <c r="A848" s="326"/>
      <c r="B848" s="15"/>
      <c r="C848" s="7"/>
      <c r="D848" s="9"/>
      <c r="E848" s="13"/>
      <c r="F848" s="13"/>
      <c r="G848" s="308"/>
      <c r="H848" s="308"/>
      <c r="I848" s="7"/>
      <c r="J848" s="9"/>
      <c r="K848" s="7"/>
      <c r="L848" s="305"/>
      <c r="M848" s="305"/>
      <c r="N848" s="305"/>
      <c r="O848" s="305"/>
      <c r="P848" s="305"/>
      <c r="Q848" s="305"/>
      <c r="R848" s="305"/>
      <c r="S848" s="305"/>
      <c r="T848" s="305"/>
      <c r="U848" s="305"/>
      <c r="V848" s="305"/>
      <c r="W848" s="305"/>
      <c r="X848" s="305"/>
      <c r="Y848" s="305"/>
      <c r="Z848" s="305"/>
      <c r="AA848" s="305"/>
      <c r="AB848" s="305"/>
      <c r="AC848" s="307"/>
    </row>
    <row r="849" ht="13.5" customHeight="1">
      <c r="A849" s="312"/>
      <c r="B849" s="301"/>
      <c r="C849" s="301"/>
      <c r="D849" s="301"/>
      <c r="E849" s="301"/>
      <c r="F849" s="301"/>
      <c r="G849" s="301"/>
      <c r="H849" s="301"/>
      <c r="I849" s="301"/>
      <c r="J849" s="301"/>
      <c r="K849" s="301"/>
      <c r="L849" s="302"/>
      <c r="M849" s="302"/>
      <c r="N849" s="302"/>
      <c r="O849" s="302"/>
      <c r="P849" s="302"/>
      <c r="Q849" s="302"/>
      <c r="R849" s="302"/>
      <c r="S849" s="302"/>
      <c r="T849" s="302"/>
      <c r="U849" s="302"/>
      <c r="V849" s="302"/>
      <c r="W849" s="302"/>
      <c r="X849" s="302"/>
      <c r="Y849" s="302"/>
      <c r="Z849" s="302"/>
      <c r="AA849" s="302"/>
      <c r="AB849" s="302"/>
      <c r="AC849" s="303"/>
    </row>
    <row r="850" ht="13.5" customHeight="1">
      <c r="A850" s="326"/>
      <c r="B850" s="15"/>
      <c r="C850" s="7"/>
      <c r="D850" s="9"/>
      <c r="E850" s="13"/>
      <c r="F850" s="13"/>
      <c r="G850" s="308"/>
      <c r="H850" s="308"/>
      <c r="I850" s="7"/>
      <c r="J850" s="9"/>
      <c r="K850" s="7"/>
      <c r="L850" s="305"/>
      <c r="M850" s="305"/>
      <c r="N850" s="305"/>
      <c r="O850" s="305"/>
      <c r="P850" s="305"/>
      <c r="Q850" s="305"/>
      <c r="R850" s="305"/>
      <c r="S850" s="305"/>
      <c r="T850" s="305"/>
      <c r="U850" s="305"/>
      <c r="V850" s="305"/>
      <c r="W850" s="305"/>
      <c r="X850" s="305"/>
      <c r="Y850" s="305"/>
      <c r="Z850" s="305"/>
      <c r="AA850" s="305"/>
      <c r="AB850" s="305"/>
      <c r="AC850" s="307"/>
    </row>
    <row r="851" ht="13.5" customHeight="1">
      <c r="A851" s="312"/>
      <c r="B851" s="301"/>
      <c r="C851" s="301"/>
      <c r="D851" s="301"/>
      <c r="E851" s="301"/>
      <c r="F851" s="301"/>
      <c r="G851" s="301"/>
      <c r="H851" s="301"/>
      <c r="I851" s="301"/>
      <c r="J851" s="301"/>
      <c r="K851" s="301"/>
      <c r="L851" s="302"/>
      <c r="M851" s="302"/>
      <c r="N851" s="302"/>
      <c r="O851" s="302"/>
      <c r="P851" s="302"/>
      <c r="Q851" s="302"/>
      <c r="R851" s="302"/>
      <c r="S851" s="302"/>
      <c r="T851" s="302"/>
      <c r="U851" s="302"/>
      <c r="V851" s="302"/>
      <c r="W851" s="302"/>
      <c r="X851" s="302"/>
      <c r="Y851" s="302"/>
      <c r="Z851" s="302"/>
      <c r="AA851" s="302"/>
      <c r="AB851" s="302"/>
      <c r="AC851" s="303"/>
    </row>
    <row r="852" ht="13.5" customHeight="1">
      <c r="A852" s="326"/>
      <c r="B852" s="15"/>
      <c r="C852" s="7"/>
      <c r="D852" s="9"/>
      <c r="E852" s="13"/>
      <c r="F852" s="13"/>
      <c r="G852" s="308"/>
      <c r="H852" s="308"/>
      <c r="I852" s="7"/>
      <c r="J852" s="9"/>
      <c r="K852" s="7"/>
      <c r="L852" s="305"/>
      <c r="M852" s="305"/>
      <c r="N852" s="305"/>
      <c r="O852" s="305"/>
      <c r="P852" s="305"/>
      <c r="Q852" s="305"/>
      <c r="R852" s="305"/>
      <c r="S852" s="305"/>
      <c r="T852" s="305"/>
      <c r="U852" s="305"/>
      <c r="V852" s="305"/>
      <c r="W852" s="305"/>
      <c r="X852" s="305"/>
      <c r="Y852" s="305"/>
      <c r="Z852" s="305"/>
      <c r="AA852" s="305"/>
      <c r="AB852" s="305"/>
      <c r="AC852" s="307"/>
    </row>
    <row r="853" ht="13.5" customHeight="1">
      <c r="A853" s="312"/>
      <c r="B853" s="301"/>
      <c r="C853" s="301"/>
      <c r="D853" s="301"/>
      <c r="E853" s="301"/>
      <c r="F853" s="301"/>
      <c r="G853" s="301"/>
      <c r="H853" s="301"/>
      <c r="I853" s="301"/>
      <c r="J853" s="301"/>
      <c r="K853" s="301"/>
      <c r="L853" s="302"/>
      <c r="M853" s="302"/>
      <c r="N853" s="302"/>
      <c r="O853" s="302"/>
      <c r="P853" s="302"/>
      <c r="Q853" s="302"/>
      <c r="R853" s="302"/>
      <c r="S853" s="302"/>
      <c r="T853" s="302"/>
      <c r="U853" s="302"/>
      <c r="V853" s="302"/>
      <c r="W853" s="302"/>
      <c r="X853" s="302"/>
      <c r="Y853" s="302"/>
      <c r="Z853" s="302"/>
      <c r="AA853" s="302"/>
      <c r="AB853" s="302"/>
      <c r="AC853" s="303"/>
    </row>
    <row r="854" ht="13.5" customHeight="1">
      <c r="A854" s="326"/>
      <c r="B854" s="15"/>
      <c r="C854" s="7"/>
      <c r="D854" s="9"/>
      <c r="E854" s="13"/>
      <c r="F854" s="13"/>
      <c r="G854" s="308"/>
      <c r="H854" s="308"/>
      <c r="I854" s="7"/>
      <c r="J854" s="9"/>
      <c r="K854" s="7"/>
      <c r="L854" s="305"/>
      <c r="M854" s="305"/>
      <c r="N854" s="305"/>
      <c r="O854" s="305"/>
      <c r="P854" s="305"/>
      <c r="Q854" s="305"/>
      <c r="R854" s="305"/>
      <c r="S854" s="305"/>
      <c r="T854" s="305"/>
      <c r="U854" s="305"/>
      <c r="V854" s="305"/>
      <c r="W854" s="305"/>
      <c r="X854" s="305"/>
      <c r="Y854" s="305"/>
      <c r="Z854" s="305"/>
      <c r="AA854" s="305"/>
      <c r="AB854" s="305"/>
      <c r="AC854" s="307"/>
    </row>
    <row r="855" ht="13.5" customHeight="1">
      <c r="A855" s="312"/>
      <c r="B855" s="301"/>
      <c r="C855" s="301"/>
      <c r="D855" s="301"/>
      <c r="E855" s="301"/>
      <c r="F855" s="301"/>
      <c r="G855" s="301"/>
      <c r="H855" s="301"/>
      <c r="I855" s="301"/>
      <c r="J855" s="301"/>
      <c r="K855" s="301"/>
      <c r="L855" s="302"/>
      <c r="M855" s="302"/>
      <c r="N855" s="302"/>
      <c r="O855" s="302"/>
      <c r="P855" s="302"/>
      <c r="Q855" s="302"/>
      <c r="R855" s="302"/>
      <c r="S855" s="302"/>
      <c r="T855" s="302"/>
      <c r="U855" s="302"/>
      <c r="V855" s="302"/>
      <c r="W855" s="302"/>
      <c r="X855" s="302"/>
      <c r="Y855" s="302"/>
      <c r="Z855" s="302"/>
      <c r="AA855" s="302"/>
      <c r="AB855" s="302"/>
      <c r="AC855" s="303"/>
    </row>
    <row r="856" ht="13.5" customHeight="1">
      <c r="A856" s="326"/>
      <c r="B856" s="15"/>
      <c r="C856" s="7"/>
      <c r="D856" s="9"/>
      <c r="E856" s="13"/>
      <c r="F856" s="13"/>
      <c r="G856" s="308"/>
      <c r="H856" s="308"/>
      <c r="I856" s="7"/>
      <c r="J856" s="9"/>
      <c r="K856" s="7"/>
      <c r="L856" s="305"/>
      <c r="M856" s="305"/>
      <c r="N856" s="305"/>
      <c r="O856" s="305"/>
      <c r="P856" s="305"/>
      <c r="Q856" s="305"/>
      <c r="R856" s="305"/>
      <c r="S856" s="305"/>
      <c r="T856" s="305"/>
      <c r="U856" s="305"/>
      <c r="V856" s="305"/>
      <c r="W856" s="305"/>
      <c r="X856" s="305"/>
      <c r="Y856" s="305"/>
      <c r="Z856" s="305"/>
      <c r="AA856" s="305"/>
      <c r="AB856" s="305"/>
      <c r="AC856" s="307"/>
    </row>
    <row r="857" ht="13.5" customHeight="1">
      <c r="A857" s="312"/>
      <c r="B857" s="301"/>
      <c r="C857" s="301"/>
      <c r="D857" s="301"/>
      <c r="E857" s="301"/>
      <c r="F857" s="301"/>
      <c r="G857" s="301"/>
      <c r="H857" s="301"/>
      <c r="I857" s="301"/>
      <c r="J857" s="301"/>
      <c r="K857" s="301"/>
      <c r="L857" s="302"/>
      <c r="M857" s="302"/>
      <c r="N857" s="302"/>
      <c r="O857" s="302"/>
      <c r="P857" s="302"/>
      <c r="Q857" s="302"/>
      <c r="R857" s="302"/>
      <c r="S857" s="302"/>
      <c r="T857" s="302"/>
      <c r="U857" s="302"/>
      <c r="V857" s="302"/>
      <c r="W857" s="302"/>
      <c r="X857" s="302"/>
      <c r="Y857" s="302"/>
      <c r="Z857" s="302"/>
      <c r="AA857" s="302"/>
      <c r="AB857" s="302"/>
      <c r="AC857" s="303"/>
    </row>
    <row r="858" ht="13.5" customHeight="1">
      <c r="A858" s="326"/>
      <c r="B858" s="15"/>
      <c r="C858" s="7"/>
      <c r="D858" s="9"/>
      <c r="E858" s="13"/>
      <c r="F858" s="13"/>
      <c r="G858" s="308"/>
      <c r="H858" s="308"/>
      <c r="I858" s="7"/>
      <c r="J858" s="9"/>
      <c r="K858" s="7"/>
      <c r="L858" s="305"/>
      <c r="M858" s="305"/>
      <c r="N858" s="305"/>
      <c r="O858" s="305"/>
      <c r="P858" s="305"/>
      <c r="Q858" s="305"/>
      <c r="R858" s="305"/>
      <c r="S858" s="305"/>
      <c r="T858" s="305"/>
      <c r="U858" s="305"/>
      <c r="V858" s="305"/>
      <c r="W858" s="305"/>
      <c r="X858" s="305"/>
      <c r="Y858" s="305"/>
      <c r="Z858" s="305"/>
      <c r="AA858" s="305"/>
      <c r="AB858" s="305"/>
      <c r="AC858" s="307"/>
    </row>
    <row r="859" ht="13.5" customHeight="1">
      <c r="A859" s="312"/>
      <c r="B859" s="301"/>
      <c r="C859" s="301"/>
      <c r="D859" s="301"/>
      <c r="E859" s="301"/>
      <c r="F859" s="301"/>
      <c r="G859" s="301"/>
      <c r="H859" s="301"/>
      <c r="I859" s="301"/>
      <c r="J859" s="301"/>
      <c r="K859" s="301"/>
      <c r="L859" s="302"/>
      <c r="M859" s="302"/>
      <c r="N859" s="302"/>
      <c r="O859" s="302"/>
      <c r="P859" s="302"/>
      <c r="Q859" s="302"/>
      <c r="R859" s="302"/>
      <c r="S859" s="302"/>
      <c r="T859" s="302"/>
      <c r="U859" s="302"/>
      <c r="V859" s="302"/>
      <c r="W859" s="302"/>
      <c r="X859" s="302"/>
      <c r="Y859" s="302"/>
      <c r="Z859" s="302"/>
      <c r="AA859" s="302"/>
      <c r="AB859" s="302"/>
      <c r="AC859" s="303"/>
    </row>
    <row r="860" ht="13.5" customHeight="1">
      <c r="A860" s="326"/>
      <c r="B860" s="15"/>
      <c r="C860" s="7"/>
      <c r="D860" s="9"/>
      <c r="E860" s="13"/>
      <c r="F860" s="13"/>
      <c r="G860" s="308"/>
      <c r="H860" s="308"/>
      <c r="I860" s="7"/>
      <c r="J860" s="9"/>
      <c r="K860" s="7"/>
      <c r="L860" s="305"/>
      <c r="M860" s="305"/>
      <c r="N860" s="305"/>
      <c r="O860" s="305"/>
      <c r="P860" s="305"/>
      <c r="Q860" s="305"/>
      <c r="R860" s="305"/>
      <c r="S860" s="305"/>
      <c r="T860" s="305"/>
      <c r="U860" s="305"/>
      <c r="V860" s="305"/>
      <c r="W860" s="305"/>
      <c r="X860" s="305"/>
      <c r="Y860" s="305"/>
      <c r="Z860" s="305"/>
      <c r="AA860" s="305"/>
      <c r="AB860" s="305"/>
      <c r="AC860" s="307"/>
    </row>
    <row r="861" ht="13.5" customHeight="1">
      <c r="A861" s="312"/>
      <c r="B861" s="301"/>
      <c r="C861" s="301"/>
      <c r="D861" s="301"/>
      <c r="E861" s="301"/>
      <c r="F861" s="301"/>
      <c r="G861" s="301"/>
      <c r="H861" s="301"/>
      <c r="I861" s="301"/>
      <c r="J861" s="301"/>
      <c r="K861" s="301"/>
      <c r="L861" s="302"/>
      <c r="M861" s="302"/>
      <c r="N861" s="302"/>
      <c r="O861" s="302"/>
      <c r="P861" s="302"/>
      <c r="Q861" s="302"/>
      <c r="R861" s="302"/>
      <c r="S861" s="302"/>
      <c r="T861" s="302"/>
      <c r="U861" s="302"/>
      <c r="V861" s="302"/>
      <c r="W861" s="302"/>
      <c r="X861" s="302"/>
      <c r="Y861" s="302"/>
      <c r="Z861" s="302"/>
      <c r="AA861" s="302"/>
      <c r="AB861" s="302"/>
      <c r="AC861" s="303"/>
    </row>
    <row r="862" ht="13.5" customHeight="1">
      <c r="A862" s="326"/>
      <c r="B862" s="15"/>
      <c r="C862" s="7"/>
      <c r="D862" s="9"/>
      <c r="E862" s="13"/>
      <c r="F862" s="13"/>
      <c r="G862" s="308"/>
      <c r="H862" s="308"/>
      <c r="I862" s="7"/>
      <c r="J862" s="9"/>
      <c r="K862" s="7"/>
      <c r="L862" s="305"/>
      <c r="M862" s="305"/>
      <c r="N862" s="305"/>
      <c r="O862" s="305"/>
      <c r="P862" s="305"/>
      <c r="Q862" s="305"/>
      <c r="R862" s="305"/>
      <c r="S862" s="305"/>
      <c r="T862" s="305"/>
      <c r="U862" s="305"/>
      <c r="V862" s="305"/>
      <c r="W862" s="305"/>
      <c r="X862" s="305"/>
      <c r="Y862" s="305"/>
      <c r="Z862" s="305"/>
      <c r="AA862" s="305"/>
      <c r="AB862" s="305"/>
      <c r="AC862" s="307"/>
    </row>
    <row r="863" ht="13.5" customHeight="1">
      <c r="A863" s="312"/>
      <c r="B863" s="301"/>
      <c r="C863" s="301"/>
      <c r="D863" s="301"/>
      <c r="E863" s="301"/>
      <c r="F863" s="301"/>
      <c r="G863" s="301"/>
      <c r="H863" s="301"/>
      <c r="I863" s="301"/>
      <c r="J863" s="301"/>
      <c r="K863" s="301"/>
      <c r="L863" s="302"/>
      <c r="M863" s="302"/>
      <c r="N863" s="302"/>
      <c r="O863" s="302"/>
      <c r="P863" s="302"/>
      <c r="Q863" s="302"/>
      <c r="R863" s="302"/>
      <c r="S863" s="302"/>
      <c r="T863" s="302"/>
      <c r="U863" s="302"/>
      <c r="V863" s="302"/>
      <c r="W863" s="302"/>
      <c r="X863" s="302"/>
      <c r="Y863" s="302"/>
      <c r="Z863" s="302"/>
      <c r="AA863" s="302"/>
      <c r="AB863" s="302"/>
      <c r="AC863" s="303"/>
    </row>
    <row r="864" ht="13.5" customHeight="1">
      <c r="A864" s="326"/>
      <c r="B864" s="15"/>
      <c r="C864" s="7"/>
      <c r="D864" s="9"/>
      <c r="E864" s="13"/>
      <c r="F864" s="13"/>
      <c r="G864" s="308"/>
      <c r="H864" s="308"/>
      <c r="I864" s="7"/>
      <c r="J864" s="9"/>
      <c r="K864" s="7"/>
      <c r="L864" s="305"/>
      <c r="M864" s="305"/>
      <c r="N864" s="305"/>
      <c r="O864" s="305"/>
      <c r="P864" s="305"/>
      <c r="Q864" s="305"/>
      <c r="R864" s="305"/>
      <c r="S864" s="305"/>
      <c r="T864" s="305"/>
      <c r="U864" s="305"/>
      <c r="V864" s="305"/>
      <c r="W864" s="305"/>
      <c r="X864" s="305"/>
      <c r="Y864" s="305"/>
      <c r="Z864" s="305"/>
      <c r="AA864" s="305"/>
      <c r="AB864" s="305"/>
      <c r="AC864" s="307"/>
    </row>
    <row r="865" ht="13.5" customHeight="1">
      <c r="A865" s="312"/>
      <c r="B865" s="301"/>
      <c r="C865" s="301"/>
      <c r="D865" s="301"/>
      <c r="E865" s="301"/>
      <c r="F865" s="301"/>
      <c r="G865" s="301"/>
      <c r="H865" s="301"/>
      <c r="I865" s="301"/>
      <c r="J865" s="301"/>
      <c r="K865" s="301"/>
      <c r="L865" s="302"/>
      <c r="M865" s="302"/>
      <c r="N865" s="302"/>
      <c r="O865" s="302"/>
      <c r="P865" s="302"/>
      <c r="Q865" s="302"/>
      <c r="R865" s="302"/>
      <c r="S865" s="302"/>
      <c r="T865" s="302"/>
      <c r="U865" s="302"/>
      <c r="V865" s="302"/>
      <c r="W865" s="302"/>
      <c r="X865" s="302"/>
      <c r="Y865" s="302"/>
      <c r="Z865" s="302"/>
      <c r="AA865" s="302"/>
      <c r="AB865" s="302"/>
      <c r="AC865" s="303"/>
    </row>
    <row r="866" ht="13.5" customHeight="1">
      <c r="A866" s="326"/>
      <c r="B866" s="15"/>
      <c r="C866" s="7"/>
      <c r="D866" s="9"/>
      <c r="E866" s="13"/>
      <c r="F866" s="13"/>
      <c r="G866" s="308"/>
      <c r="H866" s="308"/>
      <c r="I866" s="7"/>
      <c r="J866" s="9"/>
      <c r="K866" s="7"/>
      <c r="L866" s="305"/>
      <c r="M866" s="305"/>
      <c r="N866" s="305"/>
      <c r="O866" s="305"/>
      <c r="P866" s="305"/>
      <c r="Q866" s="305"/>
      <c r="R866" s="305"/>
      <c r="S866" s="305"/>
      <c r="T866" s="305"/>
      <c r="U866" s="305"/>
      <c r="V866" s="305"/>
      <c r="W866" s="305"/>
      <c r="X866" s="305"/>
      <c r="Y866" s="305"/>
      <c r="Z866" s="305"/>
      <c r="AA866" s="305"/>
      <c r="AB866" s="305"/>
      <c r="AC866" s="307"/>
    </row>
    <row r="867" ht="13.5" customHeight="1">
      <c r="A867" s="312"/>
      <c r="B867" s="301"/>
      <c r="C867" s="301"/>
      <c r="D867" s="301"/>
      <c r="E867" s="301"/>
      <c r="F867" s="301"/>
      <c r="G867" s="301"/>
      <c r="H867" s="301"/>
      <c r="I867" s="301"/>
      <c r="J867" s="301"/>
      <c r="K867" s="301"/>
      <c r="L867" s="302"/>
      <c r="M867" s="302"/>
      <c r="N867" s="302"/>
      <c r="O867" s="302"/>
      <c r="P867" s="302"/>
      <c r="Q867" s="302"/>
      <c r="R867" s="302"/>
      <c r="S867" s="302"/>
      <c r="T867" s="302"/>
      <c r="U867" s="302"/>
      <c r="V867" s="302"/>
      <c r="W867" s="302"/>
      <c r="X867" s="302"/>
      <c r="Y867" s="302"/>
      <c r="Z867" s="302"/>
      <c r="AA867" s="302"/>
      <c r="AB867" s="302"/>
      <c r="AC867" s="303"/>
    </row>
    <row r="868" ht="13.5" customHeight="1">
      <c r="A868" s="326"/>
      <c r="B868" s="15"/>
      <c r="C868" s="7"/>
      <c r="D868" s="9"/>
      <c r="E868" s="13"/>
      <c r="F868" s="13"/>
      <c r="G868" s="308"/>
      <c r="H868" s="308"/>
      <c r="I868" s="7"/>
      <c r="J868" s="9"/>
      <c r="K868" s="7"/>
      <c r="L868" s="305"/>
      <c r="M868" s="305"/>
      <c r="N868" s="305"/>
      <c r="O868" s="305"/>
      <c r="P868" s="305"/>
      <c r="Q868" s="305"/>
      <c r="R868" s="305"/>
      <c r="S868" s="305"/>
      <c r="T868" s="305"/>
      <c r="U868" s="305"/>
      <c r="V868" s="305"/>
      <c r="W868" s="305"/>
      <c r="X868" s="305"/>
      <c r="Y868" s="305"/>
      <c r="Z868" s="305"/>
      <c r="AA868" s="305"/>
      <c r="AB868" s="305"/>
      <c r="AC868" s="307"/>
    </row>
    <row r="869" ht="13.5" customHeight="1">
      <c r="A869" s="312"/>
      <c r="B869" s="301"/>
      <c r="C869" s="301"/>
      <c r="D869" s="301"/>
      <c r="E869" s="301"/>
      <c r="F869" s="301"/>
      <c r="G869" s="301"/>
      <c r="H869" s="301"/>
      <c r="I869" s="301"/>
      <c r="J869" s="301"/>
      <c r="K869" s="301"/>
      <c r="L869" s="302"/>
      <c r="M869" s="302"/>
      <c r="N869" s="302"/>
      <c r="O869" s="302"/>
      <c r="P869" s="302"/>
      <c r="Q869" s="302"/>
      <c r="R869" s="302"/>
      <c r="S869" s="302"/>
      <c r="T869" s="302"/>
      <c r="U869" s="302"/>
      <c r="V869" s="302"/>
      <c r="W869" s="302"/>
      <c r="X869" s="302"/>
      <c r="Y869" s="302"/>
      <c r="Z869" s="302"/>
      <c r="AA869" s="302"/>
      <c r="AB869" s="302"/>
      <c r="AC869" s="303"/>
    </row>
    <row r="870" ht="13.5" customHeight="1">
      <c r="A870" s="326"/>
      <c r="B870" s="15"/>
      <c r="C870" s="7"/>
      <c r="D870" s="9"/>
      <c r="E870" s="13"/>
      <c r="F870" s="13"/>
      <c r="G870" s="308"/>
      <c r="H870" s="308"/>
      <c r="I870" s="7"/>
      <c r="J870" s="9"/>
      <c r="K870" s="7"/>
      <c r="L870" s="305"/>
      <c r="M870" s="305"/>
      <c r="N870" s="305"/>
      <c r="O870" s="305"/>
      <c r="P870" s="305"/>
      <c r="Q870" s="305"/>
      <c r="R870" s="305"/>
      <c r="S870" s="305"/>
      <c r="T870" s="305"/>
      <c r="U870" s="305"/>
      <c r="V870" s="305"/>
      <c r="W870" s="305"/>
      <c r="X870" s="305"/>
      <c r="Y870" s="305"/>
      <c r="Z870" s="305"/>
      <c r="AA870" s="305"/>
      <c r="AB870" s="305"/>
      <c r="AC870" s="307"/>
    </row>
    <row r="871" ht="13.5" customHeight="1">
      <c r="A871" s="312"/>
      <c r="B871" s="301"/>
      <c r="C871" s="301"/>
      <c r="D871" s="301"/>
      <c r="E871" s="301"/>
      <c r="F871" s="301"/>
      <c r="G871" s="301"/>
      <c r="H871" s="301"/>
      <c r="I871" s="301"/>
      <c r="J871" s="301"/>
      <c r="K871" s="301"/>
      <c r="L871" s="302"/>
      <c r="M871" s="302"/>
      <c r="N871" s="302"/>
      <c r="O871" s="302"/>
      <c r="P871" s="302"/>
      <c r="Q871" s="302"/>
      <c r="R871" s="302"/>
      <c r="S871" s="302"/>
      <c r="T871" s="302"/>
      <c r="U871" s="302"/>
      <c r="V871" s="302"/>
      <c r="W871" s="302"/>
      <c r="X871" s="302"/>
      <c r="Y871" s="302"/>
      <c r="Z871" s="302"/>
      <c r="AA871" s="302"/>
      <c r="AB871" s="302"/>
      <c r="AC871" s="303"/>
    </row>
    <row r="872" ht="13.5" customHeight="1">
      <c r="A872" s="326"/>
      <c r="B872" s="15"/>
      <c r="C872" s="7"/>
      <c r="D872" s="9"/>
      <c r="E872" s="13"/>
      <c r="F872" s="13"/>
      <c r="G872" s="308"/>
      <c r="H872" s="308"/>
      <c r="I872" s="7"/>
      <c r="J872" s="9"/>
      <c r="K872" s="7"/>
      <c r="L872" s="305"/>
      <c r="M872" s="305"/>
      <c r="N872" s="305"/>
      <c r="O872" s="305"/>
      <c r="P872" s="305"/>
      <c r="Q872" s="305"/>
      <c r="R872" s="305"/>
      <c r="S872" s="305"/>
      <c r="T872" s="305"/>
      <c r="U872" s="305"/>
      <c r="V872" s="305"/>
      <c r="W872" s="305"/>
      <c r="X872" s="305"/>
      <c r="Y872" s="305"/>
      <c r="Z872" s="305"/>
      <c r="AA872" s="305"/>
      <c r="AB872" s="305"/>
      <c r="AC872" s="307"/>
    </row>
    <row r="873" ht="13.5" customHeight="1">
      <c r="A873" s="312"/>
      <c r="B873" s="301"/>
      <c r="C873" s="301"/>
      <c r="D873" s="301"/>
      <c r="E873" s="301"/>
      <c r="F873" s="301"/>
      <c r="G873" s="301"/>
      <c r="H873" s="301"/>
      <c r="I873" s="301"/>
      <c r="J873" s="301"/>
      <c r="K873" s="301"/>
      <c r="L873" s="302"/>
      <c r="M873" s="302"/>
      <c r="N873" s="302"/>
      <c r="O873" s="302"/>
      <c r="P873" s="302"/>
      <c r="Q873" s="302"/>
      <c r="R873" s="302"/>
      <c r="S873" s="302"/>
      <c r="T873" s="302"/>
      <c r="U873" s="302"/>
      <c r="V873" s="302"/>
      <c r="W873" s="302"/>
      <c r="X873" s="302"/>
      <c r="Y873" s="302"/>
      <c r="Z873" s="302"/>
      <c r="AA873" s="302"/>
      <c r="AB873" s="302"/>
      <c r="AC873" s="303"/>
    </row>
    <row r="874" ht="13.5" customHeight="1">
      <c r="A874" s="326"/>
      <c r="B874" s="15"/>
      <c r="C874" s="7"/>
      <c r="D874" s="9"/>
      <c r="E874" s="13"/>
      <c r="F874" s="13"/>
      <c r="G874" s="308"/>
      <c r="H874" s="308"/>
      <c r="I874" s="7"/>
      <c r="J874" s="9"/>
      <c r="K874" s="7"/>
      <c r="L874" s="305"/>
      <c r="M874" s="305"/>
      <c r="N874" s="305"/>
      <c r="O874" s="305"/>
      <c r="P874" s="305"/>
      <c r="Q874" s="305"/>
      <c r="R874" s="305"/>
      <c r="S874" s="305"/>
      <c r="T874" s="305"/>
      <c r="U874" s="305"/>
      <c r="V874" s="305"/>
      <c r="W874" s="305"/>
      <c r="X874" s="305"/>
      <c r="Y874" s="305"/>
      <c r="Z874" s="305"/>
      <c r="AA874" s="305"/>
      <c r="AB874" s="305"/>
      <c r="AC874" s="307"/>
    </row>
    <row r="875" ht="13.5" customHeight="1">
      <c r="A875" s="312"/>
      <c r="B875" s="301"/>
      <c r="C875" s="301"/>
      <c r="D875" s="301"/>
      <c r="E875" s="301"/>
      <c r="F875" s="301"/>
      <c r="G875" s="301"/>
      <c r="H875" s="301"/>
      <c r="I875" s="301"/>
      <c r="J875" s="301"/>
      <c r="K875" s="301"/>
      <c r="L875" s="302"/>
      <c r="M875" s="302"/>
      <c r="N875" s="302"/>
      <c r="O875" s="302"/>
      <c r="P875" s="302"/>
      <c r="Q875" s="302"/>
      <c r="R875" s="302"/>
      <c r="S875" s="302"/>
      <c r="T875" s="302"/>
      <c r="U875" s="302"/>
      <c r="V875" s="302"/>
      <c r="W875" s="302"/>
      <c r="X875" s="302"/>
      <c r="Y875" s="302"/>
      <c r="Z875" s="302"/>
      <c r="AA875" s="302"/>
      <c r="AB875" s="302"/>
      <c r="AC875" s="303"/>
    </row>
    <row r="876" ht="13.5" customHeight="1">
      <c r="A876" s="326"/>
      <c r="B876" s="15"/>
      <c r="C876" s="7"/>
      <c r="D876" s="9"/>
      <c r="E876" s="13"/>
      <c r="F876" s="13"/>
      <c r="G876" s="308"/>
      <c r="H876" s="308"/>
      <c r="I876" s="7"/>
      <c r="J876" s="9"/>
      <c r="K876" s="7"/>
      <c r="L876" s="305"/>
      <c r="M876" s="305"/>
      <c r="N876" s="305"/>
      <c r="O876" s="305"/>
      <c r="P876" s="305"/>
      <c r="Q876" s="305"/>
      <c r="R876" s="305"/>
      <c r="S876" s="305"/>
      <c r="T876" s="305"/>
      <c r="U876" s="305"/>
      <c r="V876" s="305"/>
      <c r="W876" s="305"/>
      <c r="X876" s="305"/>
      <c r="Y876" s="305"/>
      <c r="Z876" s="305"/>
      <c r="AA876" s="305"/>
      <c r="AB876" s="305"/>
      <c r="AC876" s="307"/>
    </row>
    <row r="877" ht="13.5" customHeight="1">
      <c r="A877" s="312"/>
      <c r="B877" s="301"/>
      <c r="C877" s="301"/>
      <c r="D877" s="301"/>
      <c r="E877" s="301"/>
      <c r="F877" s="301"/>
      <c r="G877" s="301"/>
      <c r="H877" s="301"/>
      <c r="I877" s="301"/>
      <c r="J877" s="301"/>
      <c r="K877" s="301"/>
      <c r="L877" s="302"/>
      <c r="M877" s="302"/>
      <c r="N877" s="302"/>
      <c r="O877" s="302"/>
      <c r="P877" s="302"/>
      <c r="Q877" s="302"/>
      <c r="R877" s="302"/>
      <c r="S877" s="302"/>
      <c r="T877" s="302"/>
      <c r="U877" s="302"/>
      <c r="V877" s="302"/>
      <c r="W877" s="302"/>
      <c r="X877" s="302"/>
      <c r="Y877" s="302"/>
      <c r="Z877" s="302"/>
      <c r="AA877" s="302"/>
      <c r="AB877" s="302"/>
      <c r="AC877" s="303"/>
    </row>
    <row r="878" ht="13.5" customHeight="1">
      <c r="A878" s="326"/>
      <c r="B878" s="15"/>
      <c r="C878" s="7"/>
      <c r="D878" s="9"/>
      <c r="E878" s="13"/>
      <c r="F878" s="13"/>
      <c r="G878" s="308"/>
      <c r="H878" s="308"/>
      <c r="I878" s="7"/>
      <c r="J878" s="9"/>
      <c r="K878" s="7"/>
      <c r="L878" s="305"/>
      <c r="M878" s="305"/>
      <c r="N878" s="305"/>
      <c r="O878" s="305"/>
      <c r="P878" s="305"/>
      <c r="Q878" s="305"/>
      <c r="R878" s="305"/>
      <c r="S878" s="305"/>
      <c r="T878" s="305"/>
      <c r="U878" s="305"/>
      <c r="V878" s="305"/>
      <c r="W878" s="305"/>
      <c r="X878" s="305"/>
      <c r="Y878" s="305"/>
      <c r="Z878" s="305"/>
      <c r="AA878" s="305"/>
      <c r="AB878" s="305"/>
      <c r="AC878" s="307"/>
    </row>
    <row r="879" ht="13.5" customHeight="1">
      <c r="A879" s="312"/>
      <c r="B879" s="301"/>
      <c r="C879" s="301"/>
      <c r="D879" s="301"/>
      <c r="E879" s="301"/>
      <c r="F879" s="301"/>
      <c r="G879" s="301"/>
      <c r="H879" s="301"/>
      <c r="I879" s="301"/>
      <c r="J879" s="301"/>
      <c r="K879" s="301"/>
      <c r="L879" s="302"/>
      <c r="M879" s="302"/>
      <c r="N879" s="302"/>
      <c r="O879" s="302"/>
      <c r="P879" s="302"/>
      <c r="Q879" s="302"/>
      <c r="R879" s="302"/>
      <c r="S879" s="302"/>
      <c r="T879" s="302"/>
      <c r="U879" s="302"/>
      <c r="V879" s="302"/>
      <c r="W879" s="302"/>
      <c r="X879" s="302"/>
      <c r="Y879" s="302"/>
      <c r="Z879" s="302"/>
      <c r="AA879" s="302"/>
      <c r="AB879" s="302"/>
      <c r="AC879" s="303"/>
    </row>
    <row r="880" ht="13.5" customHeight="1">
      <c r="A880" s="326"/>
      <c r="B880" s="15"/>
      <c r="C880" s="7"/>
      <c r="D880" s="9"/>
      <c r="E880" s="13"/>
      <c r="F880" s="13"/>
      <c r="G880" s="308"/>
      <c r="H880" s="308"/>
      <c r="I880" s="7"/>
      <c r="J880" s="9"/>
      <c r="K880" s="7"/>
      <c r="L880" s="305"/>
      <c r="M880" s="305"/>
      <c r="N880" s="305"/>
      <c r="O880" s="305"/>
      <c r="P880" s="305"/>
      <c r="Q880" s="305"/>
      <c r="R880" s="305"/>
      <c r="S880" s="305"/>
      <c r="T880" s="305"/>
      <c r="U880" s="305"/>
      <c r="V880" s="305"/>
      <c r="W880" s="305"/>
      <c r="X880" s="305"/>
      <c r="Y880" s="305"/>
      <c r="Z880" s="305"/>
      <c r="AA880" s="305"/>
      <c r="AB880" s="305"/>
      <c r="AC880" s="307"/>
    </row>
    <row r="881" ht="13.5" customHeight="1">
      <c r="A881" s="312"/>
      <c r="B881" s="301"/>
      <c r="C881" s="301"/>
      <c r="D881" s="301"/>
      <c r="E881" s="301"/>
      <c r="F881" s="301"/>
      <c r="G881" s="301"/>
      <c r="H881" s="301"/>
      <c r="I881" s="301"/>
      <c r="J881" s="301"/>
      <c r="K881" s="301"/>
      <c r="L881" s="302"/>
      <c r="M881" s="302"/>
      <c r="N881" s="302"/>
      <c r="O881" s="302"/>
      <c r="P881" s="302"/>
      <c r="Q881" s="302"/>
      <c r="R881" s="302"/>
      <c r="S881" s="302"/>
      <c r="T881" s="302"/>
      <c r="U881" s="302"/>
      <c r="V881" s="302"/>
      <c r="W881" s="302"/>
      <c r="X881" s="302"/>
      <c r="Y881" s="302"/>
      <c r="Z881" s="302"/>
      <c r="AA881" s="302"/>
      <c r="AB881" s="302"/>
      <c r="AC881" s="303"/>
    </row>
    <row r="882" ht="13.5" customHeight="1">
      <c r="A882" s="326"/>
      <c r="B882" s="15"/>
      <c r="C882" s="7"/>
      <c r="D882" s="9"/>
      <c r="E882" s="13"/>
      <c r="F882" s="13"/>
      <c r="G882" s="308"/>
      <c r="H882" s="308"/>
      <c r="I882" s="7"/>
      <c r="J882" s="9"/>
      <c r="K882" s="7"/>
      <c r="L882" s="305"/>
      <c r="M882" s="305"/>
      <c r="N882" s="305"/>
      <c r="O882" s="305"/>
      <c r="P882" s="305"/>
      <c r="Q882" s="305"/>
      <c r="R882" s="305"/>
      <c r="S882" s="305"/>
      <c r="T882" s="305"/>
      <c r="U882" s="305"/>
      <c r="V882" s="305"/>
      <c r="W882" s="305"/>
      <c r="X882" s="305"/>
      <c r="Y882" s="305"/>
      <c r="Z882" s="305"/>
      <c r="AA882" s="305"/>
      <c r="AB882" s="305"/>
      <c r="AC882" s="307"/>
    </row>
    <row r="883" ht="13.5" customHeight="1">
      <c r="A883" s="312"/>
      <c r="B883" s="301"/>
      <c r="C883" s="301"/>
      <c r="D883" s="301"/>
      <c r="E883" s="301"/>
      <c r="F883" s="301"/>
      <c r="G883" s="301"/>
      <c r="H883" s="301"/>
      <c r="I883" s="301"/>
      <c r="J883" s="301"/>
      <c r="K883" s="301"/>
      <c r="L883" s="302"/>
      <c r="M883" s="302"/>
      <c r="N883" s="302"/>
      <c r="O883" s="302"/>
      <c r="P883" s="302"/>
      <c r="Q883" s="302"/>
      <c r="R883" s="302"/>
      <c r="S883" s="302"/>
      <c r="T883" s="302"/>
      <c r="U883" s="302"/>
      <c r="V883" s="302"/>
      <c r="W883" s="302"/>
      <c r="X883" s="302"/>
      <c r="Y883" s="302"/>
      <c r="Z883" s="302"/>
      <c r="AA883" s="302"/>
      <c r="AB883" s="302"/>
      <c r="AC883" s="303"/>
    </row>
    <row r="884" ht="13.5" customHeight="1">
      <c r="A884" s="326"/>
      <c r="B884" s="15"/>
      <c r="C884" s="7"/>
      <c r="D884" s="9"/>
      <c r="E884" s="13"/>
      <c r="F884" s="13"/>
      <c r="G884" s="308"/>
      <c r="H884" s="308"/>
      <c r="I884" s="7"/>
      <c r="J884" s="9"/>
      <c r="K884" s="7"/>
      <c r="L884" s="305"/>
      <c r="M884" s="305"/>
      <c r="N884" s="305"/>
      <c r="O884" s="305"/>
      <c r="P884" s="305"/>
      <c r="Q884" s="305"/>
      <c r="R884" s="305"/>
      <c r="S884" s="305"/>
      <c r="T884" s="305"/>
      <c r="U884" s="305"/>
      <c r="V884" s="305"/>
      <c r="W884" s="305"/>
      <c r="X884" s="305"/>
      <c r="Y884" s="305"/>
      <c r="Z884" s="305"/>
      <c r="AA884" s="305"/>
      <c r="AB884" s="305"/>
      <c r="AC884" s="307"/>
    </row>
    <row r="885" ht="13.5" customHeight="1">
      <c r="A885" s="312"/>
      <c r="B885" s="301"/>
      <c r="C885" s="301"/>
      <c r="D885" s="301"/>
      <c r="E885" s="301"/>
      <c r="F885" s="301"/>
      <c r="G885" s="301"/>
      <c r="H885" s="301"/>
      <c r="I885" s="301"/>
      <c r="J885" s="301"/>
      <c r="K885" s="301"/>
      <c r="L885" s="302"/>
      <c r="M885" s="302"/>
      <c r="N885" s="302"/>
      <c r="O885" s="302"/>
      <c r="P885" s="302"/>
      <c r="Q885" s="302"/>
      <c r="R885" s="302"/>
      <c r="S885" s="302"/>
      <c r="T885" s="302"/>
      <c r="U885" s="302"/>
      <c r="V885" s="302"/>
      <c r="W885" s="302"/>
      <c r="X885" s="302"/>
      <c r="Y885" s="302"/>
      <c r="Z885" s="302"/>
      <c r="AA885" s="302"/>
      <c r="AB885" s="302"/>
      <c r="AC885" s="303"/>
    </row>
    <row r="886" ht="13.5" customHeight="1">
      <c r="A886" s="326"/>
      <c r="B886" s="15"/>
      <c r="C886" s="7"/>
      <c r="D886" s="9"/>
      <c r="E886" s="13"/>
      <c r="F886" s="13"/>
      <c r="G886" s="308"/>
      <c r="H886" s="308"/>
      <c r="I886" s="7"/>
      <c r="J886" s="9"/>
      <c r="K886" s="7"/>
      <c r="L886" s="305"/>
      <c r="M886" s="305"/>
      <c r="N886" s="305"/>
      <c r="O886" s="305"/>
      <c r="P886" s="305"/>
      <c r="Q886" s="305"/>
      <c r="R886" s="305"/>
      <c r="S886" s="305"/>
      <c r="T886" s="305"/>
      <c r="U886" s="305"/>
      <c r="V886" s="305"/>
      <c r="W886" s="305"/>
      <c r="X886" s="305"/>
      <c r="Y886" s="305"/>
      <c r="Z886" s="305"/>
      <c r="AA886" s="305"/>
      <c r="AB886" s="305"/>
      <c r="AC886" s="307"/>
    </row>
    <row r="887" ht="13.5" customHeight="1">
      <c r="A887" s="312"/>
      <c r="B887" s="301"/>
      <c r="C887" s="301"/>
      <c r="D887" s="301"/>
      <c r="E887" s="301"/>
      <c r="F887" s="301"/>
      <c r="G887" s="301"/>
      <c r="H887" s="301"/>
      <c r="I887" s="301"/>
      <c r="J887" s="301"/>
      <c r="K887" s="301"/>
      <c r="L887" s="302"/>
      <c r="M887" s="302"/>
      <c r="N887" s="302"/>
      <c r="O887" s="302"/>
      <c r="P887" s="302"/>
      <c r="Q887" s="302"/>
      <c r="R887" s="302"/>
      <c r="S887" s="302"/>
      <c r="T887" s="302"/>
      <c r="U887" s="302"/>
      <c r="V887" s="302"/>
      <c r="W887" s="302"/>
      <c r="X887" s="302"/>
      <c r="Y887" s="302"/>
      <c r="Z887" s="302"/>
      <c r="AA887" s="302"/>
      <c r="AB887" s="302"/>
      <c r="AC887" s="303"/>
    </row>
    <row r="888" ht="13.5" customHeight="1">
      <c r="A888" s="326"/>
      <c r="B888" s="15"/>
      <c r="C888" s="7"/>
      <c r="D888" s="9"/>
      <c r="E888" s="13"/>
      <c r="F888" s="13"/>
      <c r="G888" s="308"/>
      <c r="H888" s="308"/>
      <c r="I888" s="7"/>
      <c r="J888" s="9"/>
      <c r="K888" s="7"/>
      <c r="L888" s="305"/>
      <c r="M888" s="305"/>
      <c r="N888" s="305"/>
      <c r="O888" s="305"/>
      <c r="P888" s="305"/>
      <c r="Q888" s="305"/>
      <c r="R888" s="305"/>
      <c r="S888" s="305"/>
      <c r="T888" s="305"/>
      <c r="U888" s="305"/>
      <c r="V888" s="305"/>
      <c r="W888" s="305"/>
      <c r="X888" s="305"/>
      <c r="Y888" s="305"/>
      <c r="Z888" s="305"/>
      <c r="AA888" s="305"/>
      <c r="AB888" s="305"/>
      <c r="AC888" s="307"/>
    </row>
    <row r="889" ht="13.5" customHeight="1">
      <c r="A889" s="312"/>
      <c r="B889" s="301"/>
      <c r="C889" s="301"/>
      <c r="D889" s="301"/>
      <c r="E889" s="301"/>
      <c r="F889" s="301"/>
      <c r="G889" s="301"/>
      <c r="H889" s="301"/>
      <c r="I889" s="301"/>
      <c r="J889" s="301"/>
      <c r="K889" s="301"/>
      <c r="L889" s="302"/>
      <c r="M889" s="302"/>
      <c r="N889" s="302"/>
      <c r="O889" s="302"/>
      <c r="P889" s="302"/>
      <c r="Q889" s="302"/>
      <c r="R889" s="302"/>
      <c r="S889" s="302"/>
      <c r="T889" s="302"/>
      <c r="U889" s="302"/>
      <c r="V889" s="302"/>
      <c r="W889" s="302"/>
      <c r="X889" s="302"/>
      <c r="Y889" s="302"/>
      <c r="Z889" s="302"/>
      <c r="AA889" s="302"/>
      <c r="AB889" s="302"/>
      <c r="AC889" s="303"/>
    </row>
    <row r="890" ht="13.5" customHeight="1">
      <c r="A890" s="326"/>
      <c r="B890" s="15"/>
      <c r="C890" s="7"/>
      <c r="D890" s="9"/>
      <c r="E890" s="13"/>
      <c r="F890" s="13"/>
      <c r="G890" s="308"/>
      <c r="H890" s="308"/>
      <c r="I890" s="7"/>
      <c r="J890" s="9"/>
      <c r="K890" s="7"/>
      <c r="L890" s="305"/>
      <c r="M890" s="305"/>
      <c r="N890" s="305"/>
      <c r="O890" s="305"/>
      <c r="P890" s="305"/>
      <c r="Q890" s="305"/>
      <c r="R890" s="305"/>
      <c r="S890" s="305"/>
      <c r="T890" s="305"/>
      <c r="U890" s="305"/>
      <c r="V890" s="305"/>
      <c r="W890" s="305"/>
      <c r="X890" s="305"/>
      <c r="Y890" s="305"/>
      <c r="Z890" s="305"/>
      <c r="AA890" s="305"/>
      <c r="AB890" s="305"/>
      <c r="AC890" s="307"/>
    </row>
    <row r="891" ht="13.5" customHeight="1">
      <c r="A891" s="312"/>
      <c r="B891" s="301"/>
      <c r="C891" s="301"/>
      <c r="D891" s="301"/>
      <c r="E891" s="301"/>
      <c r="F891" s="301"/>
      <c r="G891" s="301"/>
      <c r="H891" s="301"/>
      <c r="I891" s="301"/>
      <c r="J891" s="301"/>
      <c r="K891" s="301"/>
      <c r="L891" s="302"/>
      <c r="M891" s="302"/>
      <c r="N891" s="302"/>
      <c r="O891" s="302"/>
      <c r="P891" s="302"/>
      <c r="Q891" s="302"/>
      <c r="R891" s="302"/>
      <c r="S891" s="302"/>
      <c r="T891" s="302"/>
      <c r="U891" s="302"/>
      <c r="V891" s="302"/>
      <c r="W891" s="302"/>
      <c r="X891" s="302"/>
      <c r="Y891" s="302"/>
      <c r="Z891" s="302"/>
      <c r="AA891" s="302"/>
      <c r="AB891" s="302"/>
      <c r="AC891" s="303"/>
    </row>
    <row r="892" ht="13.5" customHeight="1">
      <c r="A892" s="326"/>
      <c r="B892" s="15"/>
      <c r="C892" s="7"/>
      <c r="D892" s="9"/>
      <c r="E892" s="13"/>
      <c r="F892" s="13"/>
      <c r="G892" s="308"/>
      <c r="H892" s="308"/>
      <c r="I892" s="7"/>
      <c r="J892" s="9"/>
      <c r="K892" s="7"/>
      <c r="L892" s="305"/>
      <c r="M892" s="305"/>
      <c r="N892" s="305"/>
      <c r="O892" s="305"/>
      <c r="P892" s="305"/>
      <c r="Q892" s="305"/>
      <c r="R892" s="305"/>
      <c r="S892" s="305"/>
      <c r="T892" s="305"/>
      <c r="U892" s="305"/>
      <c r="V892" s="305"/>
      <c r="W892" s="305"/>
      <c r="X892" s="305"/>
      <c r="Y892" s="305"/>
      <c r="Z892" s="305"/>
      <c r="AA892" s="305"/>
      <c r="AB892" s="305"/>
      <c r="AC892" s="307"/>
    </row>
    <row r="893" ht="13.5" customHeight="1">
      <c r="A893" s="312"/>
      <c r="B893" s="301"/>
      <c r="C893" s="301"/>
      <c r="D893" s="301"/>
      <c r="E893" s="301"/>
      <c r="F893" s="301"/>
      <c r="G893" s="301"/>
      <c r="H893" s="301"/>
      <c r="I893" s="301"/>
      <c r="J893" s="301"/>
      <c r="K893" s="301"/>
      <c r="L893" s="302"/>
      <c r="M893" s="302"/>
      <c r="N893" s="302"/>
      <c r="O893" s="302"/>
      <c r="P893" s="302"/>
      <c r="Q893" s="302"/>
      <c r="R893" s="302"/>
      <c r="S893" s="302"/>
      <c r="T893" s="302"/>
      <c r="U893" s="302"/>
      <c r="V893" s="302"/>
      <c r="W893" s="302"/>
      <c r="X893" s="302"/>
      <c r="Y893" s="302"/>
      <c r="Z893" s="302"/>
      <c r="AA893" s="302"/>
      <c r="AB893" s="302"/>
      <c r="AC893" s="303"/>
    </row>
    <row r="894" ht="13.5" customHeight="1">
      <c r="A894" s="326"/>
      <c r="B894" s="15"/>
      <c r="C894" s="7"/>
      <c r="D894" s="9"/>
      <c r="E894" s="13"/>
      <c r="F894" s="13"/>
      <c r="G894" s="308"/>
      <c r="H894" s="308"/>
      <c r="I894" s="7"/>
      <c r="J894" s="9"/>
      <c r="K894" s="7"/>
      <c r="L894" s="305"/>
      <c r="M894" s="305"/>
      <c r="N894" s="305"/>
      <c r="O894" s="305"/>
      <c r="P894" s="305"/>
      <c r="Q894" s="305"/>
      <c r="R894" s="305"/>
      <c r="S894" s="305"/>
      <c r="T894" s="305"/>
      <c r="U894" s="305"/>
      <c r="V894" s="305"/>
      <c r="W894" s="305"/>
      <c r="X894" s="305"/>
      <c r="Y894" s="305"/>
      <c r="Z894" s="305"/>
      <c r="AA894" s="305"/>
      <c r="AB894" s="305"/>
      <c r="AC894" s="307"/>
    </row>
    <row r="895" ht="13.5" customHeight="1">
      <c r="A895" s="312"/>
      <c r="B895" s="301"/>
      <c r="C895" s="301"/>
      <c r="D895" s="301"/>
      <c r="E895" s="301"/>
      <c r="F895" s="301"/>
      <c r="G895" s="301"/>
      <c r="H895" s="301"/>
      <c r="I895" s="301"/>
      <c r="J895" s="301"/>
      <c r="K895" s="301"/>
      <c r="L895" s="302"/>
      <c r="M895" s="302"/>
      <c r="N895" s="302"/>
      <c r="O895" s="302"/>
      <c r="P895" s="302"/>
      <c r="Q895" s="302"/>
      <c r="R895" s="302"/>
      <c r="S895" s="302"/>
      <c r="T895" s="302"/>
      <c r="U895" s="302"/>
      <c r="V895" s="302"/>
      <c r="W895" s="302"/>
      <c r="X895" s="302"/>
      <c r="Y895" s="302"/>
      <c r="Z895" s="302"/>
      <c r="AA895" s="302"/>
      <c r="AB895" s="302"/>
      <c r="AC895" s="303"/>
    </row>
    <row r="896" ht="13.5" customHeight="1">
      <c r="A896" s="326"/>
      <c r="B896" s="15"/>
      <c r="C896" s="7"/>
      <c r="D896" s="9"/>
      <c r="E896" s="13"/>
      <c r="F896" s="13"/>
      <c r="G896" s="308"/>
      <c r="H896" s="308"/>
      <c r="I896" s="7"/>
      <c r="J896" s="9"/>
      <c r="K896" s="7"/>
      <c r="L896" s="305"/>
      <c r="M896" s="305"/>
      <c r="N896" s="305"/>
      <c r="O896" s="305"/>
      <c r="P896" s="305"/>
      <c r="Q896" s="305"/>
      <c r="R896" s="305"/>
      <c r="S896" s="305"/>
      <c r="T896" s="305"/>
      <c r="U896" s="305"/>
      <c r="V896" s="305"/>
      <c r="W896" s="305"/>
      <c r="X896" s="305"/>
      <c r="Y896" s="305"/>
      <c r="Z896" s="305"/>
      <c r="AA896" s="305"/>
      <c r="AB896" s="305"/>
      <c r="AC896" s="307"/>
    </row>
    <row r="897" ht="13.5" customHeight="1">
      <c r="A897" s="312"/>
      <c r="B897" s="301"/>
      <c r="C897" s="301"/>
      <c r="D897" s="301"/>
      <c r="E897" s="301"/>
      <c r="F897" s="301"/>
      <c r="G897" s="301"/>
      <c r="H897" s="301"/>
      <c r="I897" s="301"/>
      <c r="J897" s="301"/>
      <c r="K897" s="301"/>
      <c r="L897" s="302"/>
      <c r="M897" s="302"/>
      <c r="N897" s="302"/>
      <c r="O897" s="302"/>
      <c r="P897" s="302"/>
      <c r="Q897" s="302"/>
      <c r="R897" s="302"/>
      <c r="S897" s="302"/>
      <c r="T897" s="302"/>
      <c r="U897" s="302"/>
      <c r="V897" s="302"/>
      <c r="W897" s="302"/>
      <c r="X897" s="302"/>
      <c r="Y897" s="302"/>
      <c r="Z897" s="302"/>
      <c r="AA897" s="302"/>
      <c r="AB897" s="302"/>
      <c r="AC897" s="303"/>
    </row>
    <row r="898" ht="13.5" customHeight="1">
      <c r="A898" s="326"/>
      <c r="B898" s="15"/>
      <c r="C898" s="7"/>
      <c r="D898" s="9"/>
      <c r="E898" s="13"/>
      <c r="F898" s="13"/>
      <c r="G898" s="308"/>
      <c r="H898" s="308"/>
      <c r="I898" s="7"/>
      <c r="J898" s="9"/>
      <c r="K898" s="7"/>
      <c r="L898" s="305"/>
      <c r="M898" s="305"/>
      <c r="N898" s="305"/>
      <c r="O898" s="305"/>
      <c r="P898" s="305"/>
      <c r="Q898" s="305"/>
      <c r="R898" s="305"/>
      <c r="S898" s="305"/>
      <c r="T898" s="305"/>
      <c r="U898" s="305"/>
      <c r="V898" s="305"/>
      <c r="W898" s="305"/>
      <c r="X898" s="305"/>
      <c r="Y898" s="305"/>
      <c r="Z898" s="305"/>
      <c r="AA898" s="305"/>
      <c r="AB898" s="305"/>
      <c r="AC898" s="307"/>
    </row>
    <row r="899" ht="13.5" customHeight="1">
      <c r="A899" s="312"/>
      <c r="B899" s="301"/>
      <c r="C899" s="301"/>
      <c r="D899" s="301"/>
      <c r="E899" s="301"/>
      <c r="F899" s="301"/>
      <c r="G899" s="301"/>
      <c r="H899" s="301"/>
      <c r="I899" s="301"/>
      <c r="J899" s="301"/>
      <c r="K899" s="301"/>
      <c r="L899" s="302"/>
      <c r="M899" s="302"/>
      <c r="N899" s="302"/>
      <c r="O899" s="302"/>
      <c r="P899" s="302"/>
      <c r="Q899" s="302"/>
      <c r="R899" s="302"/>
      <c r="S899" s="302"/>
      <c r="T899" s="302"/>
      <c r="U899" s="302"/>
      <c r="V899" s="302"/>
      <c r="W899" s="302"/>
      <c r="X899" s="302"/>
      <c r="Y899" s="302"/>
      <c r="Z899" s="302"/>
      <c r="AA899" s="302"/>
      <c r="AB899" s="302"/>
      <c r="AC899" s="303"/>
    </row>
    <row r="900" ht="13.5" customHeight="1">
      <c r="A900" s="326"/>
      <c r="B900" s="15"/>
      <c r="C900" s="7"/>
      <c r="D900" s="9"/>
      <c r="E900" s="13"/>
      <c r="F900" s="13"/>
      <c r="G900" s="308"/>
      <c r="H900" s="308"/>
      <c r="I900" s="7"/>
      <c r="J900" s="9"/>
      <c r="K900" s="7"/>
      <c r="L900" s="305"/>
      <c r="M900" s="305"/>
      <c r="N900" s="305"/>
      <c r="O900" s="305"/>
      <c r="P900" s="305"/>
      <c r="Q900" s="305"/>
      <c r="R900" s="305"/>
      <c r="S900" s="305"/>
      <c r="T900" s="305"/>
      <c r="U900" s="305"/>
      <c r="V900" s="305"/>
      <c r="W900" s="305"/>
      <c r="X900" s="305"/>
      <c r="Y900" s="305"/>
      <c r="Z900" s="305"/>
      <c r="AA900" s="305"/>
      <c r="AB900" s="305"/>
      <c r="AC900" s="307"/>
    </row>
    <row r="901" ht="13.5" customHeight="1">
      <c r="A901" s="312"/>
      <c r="B901" s="301"/>
      <c r="C901" s="301"/>
      <c r="D901" s="301"/>
      <c r="E901" s="301"/>
      <c r="F901" s="301"/>
      <c r="G901" s="301"/>
      <c r="H901" s="301"/>
      <c r="I901" s="301"/>
      <c r="J901" s="301"/>
      <c r="K901" s="301"/>
      <c r="L901" s="302"/>
      <c r="M901" s="302"/>
      <c r="N901" s="302"/>
      <c r="O901" s="302"/>
      <c r="P901" s="302"/>
      <c r="Q901" s="302"/>
      <c r="R901" s="302"/>
      <c r="S901" s="302"/>
      <c r="T901" s="302"/>
      <c r="U901" s="302"/>
      <c r="V901" s="302"/>
      <c r="W901" s="302"/>
      <c r="X901" s="302"/>
      <c r="Y901" s="302"/>
      <c r="Z901" s="302"/>
      <c r="AA901" s="302"/>
      <c r="AB901" s="302"/>
      <c r="AC901" s="303"/>
    </row>
    <row r="902" ht="13.5" customHeight="1">
      <c r="A902" s="326"/>
      <c r="B902" s="15"/>
      <c r="C902" s="7"/>
      <c r="D902" s="9"/>
      <c r="E902" s="13"/>
      <c r="F902" s="13"/>
      <c r="G902" s="308"/>
      <c r="H902" s="308"/>
      <c r="I902" s="7"/>
      <c r="J902" s="9"/>
      <c r="K902" s="7"/>
      <c r="L902" s="305"/>
      <c r="M902" s="305"/>
      <c r="N902" s="305"/>
      <c r="O902" s="305"/>
      <c r="P902" s="305"/>
      <c r="Q902" s="305"/>
      <c r="R902" s="305"/>
      <c r="S902" s="305"/>
      <c r="T902" s="305"/>
      <c r="U902" s="305"/>
      <c r="V902" s="305"/>
      <c r="W902" s="305"/>
      <c r="X902" s="305"/>
      <c r="Y902" s="305"/>
      <c r="Z902" s="305"/>
      <c r="AA902" s="305"/>
      <c r="AB902" s="305"/>
      <c r="AC902" s="307"/>
    </row>
    <row r="903" ht="13.5" customHeight="1">
      <c r="A903" s="312"/>
      <c r="B903" s="301"/>
      <c r="C903" s="301"/>
      <c r="D903" s="301"/>
      <c r="E903" s="301"/>
      <c r="F903" s="301"/>
      <c r="G903" s="301"/>
      <c r="H903" s="301"/>
      <c r="I903" s="301"/>
      <c r="J903" s="301"/>
      <c r="K903" s="301"/>
      <c r="L903" s="302"/>
      <c r="M903" s="302"/>
      <c r="N903" s="302"/>
      <c r="O903" s="302"/>
      <c r="P903" s="302"/>
      <c r="Q903" s="302"/>
      <c r="R903" s="302"/>
      <c r="S903" s="302"/>
      <c r="T903" s="302"/>
      <c r="U903" s="302"/>
      <c r="V903" s="302"/>
      <c r="W903" s="302"/>
      <c r="X903" s="302"/>
      <c r="Y903" s="302"/>
      <c r="Z903" s="302"/>
      <c r="AA903" s="302"/>
      <c r="AB903" s="302"/>
      <c r="AC903" s="303"/>
    </row>
    <row r="904" ht="13.5" customHeight="1">
      <c r="A904" s="326"/>
      <c r="B904" s="15"/>
      <c r="C904" s="7"/>
      <c r="D904" s="9"/>
      <c r="E904" s="13"/>
      <c r="F904" s="13"/>
      <c r="G904" s="308"/>
      <c r="H904" s="308"/>
      <c r="I904" s="7"/>
      <c r="J904" s="9"/>
      <c r="K904" s="7"/>
      <c r="L904" s="305"/>
      <c r="M904" s="305"/>
      <c r="N904" s="305"/>
      <c r="O904" s="305"/>
      <c r="P904" s="305"/>
      <c r="Q904" s="305"/>
      <c r="R904" s="305"/>
      <c r="S904" s="305"/>
      <c r="T904" s="305"/>
      <c r="U904" s="305"/>
      <c r="V904" s="305"/>
      <c r="W904" s="305"/>
      <c r="X904" s="305"/>
      <c r="Y904" s="305"/>
      <c r="Z904" s="305"/>
      <c r="AA904" s="305"/>
      <c r="AB904" s="305"/>
      <c r="AC904" s="307"/>
    </row>
    <row r="905" ht="13.5" customHeight="1">
      <c r="A905" s="312"/>
      <c r="B905" s="301"/>
      <c r="C905" s="301"/>
      <c r="D905" s="301"/>
      <c r="E905" s="301"/>
      <c r="F905" s="301"/>
      <c r="G905" s="301"/>
      <c r="H905" s="301"/>
      <c r="I905" s="301"/>
      <c r="J905" s="301"/>
      <c r="K905" s="301"/>
      <c r="L905" s="302"/>
      <c r="M905" s="302"/>
      <c r="N905" s="302"/>
      <c r="O905" s="302"/>
      <c r="P905" s="302"/>
      <c r="Q905" s="302"/>
      <c r="R905" s="302"/>
      <c r="S905" s="302"/>
      <c r="T905" s="302"/>
      <c r="U905" s="302"/>
      <c r="V905" s="302"/>
      <c r="W905" s="302"/>
      <c r="X905" s="302"/>
      <c r="Y905" s="302"/>
      <c r="Z905" s="302"/>
      <c r="AA905" s="302"/>
      <c r="AB905" s="302"/>
      <c r="AC905" s="303"/>
    </row>
    <row r="906" ht="13.5" customHeight="1">
      <c r="A906" s="326"/>
      <c r="B906" s="15"/>
      <c r="C906" s="7"/>
      <c r="D906" s="9"/>
      <c r="E906" s="13"/>
      <c r="F906" s="13"/>
      <c r="G906" s="308"/>
      <c r="H906" s="308"/>
      <c r="I906" s="7"/>
      <c r="J906" s="9"/>
      <c r="K906" s="7"/>
      <c r="L906" s="305"/>
      <c r="M906" s="305"/>
      <c r="N906" s="305"/>
      <c r="O906" s="305"/>
      <c r="P906" s="305"/>
      <c r="Q906" s="305"/>
      <c r="R906" s="305"/>
      <c r="S906" s="305"/>
      <c r="T906" s="305"/>
      <c r="U906" s="305"/>
      <c r="V906" s="305"/>
      <c r="W906" s="305"/>
      <c r="X906" s="305"/>
      <c r="Y906" s="305"/>
      <c r="Z906" s="305"/>
      <c r="AA906" s="305"/>
      <c r="AB906" s="305"/>
      <c r="AC906" s="307"/>
    </row>
    <row r="907" ht="13.5" customHeight="1">
      <c r="A907" s="312"/>
      <c r="B907" s="301"/>
      <c r="C907" s="301"/>
      <c r="D907" s="301"/>
      <c r="E907" s="301"/>
      <c r="F907" s="301"/>
      <c r="G907" s="301"/>
      <c r="H907" s="301"/>
      <c r="I907" s="301"/>
      <c r="J907" s="301"/>
      <c r="K907" s="301"/>
      <c r="L907" s="302"/>
      <c r="M907" s="302"/>
      <c r="N907" s="302"/>
      <c r="O907" s="302"/>
      <c r="P907" s="302"/>
      <c r="Q907" s="302"/>
      <c r="R907" s="302"/>
      <c r="S907" s="302"/>
      <c r="T907" s="302"/>
      <c r="U907" s="302"/>
      <c r="V907" s="302"/>
      <c r="W907" s="302"/>
      <c r="X907" s="302"/>
      <c r="Y907" s="302"/>
      <c r="Z907" s="302"/>
      <c r="AA907" s="302"/>
      <c r="AB907" s="302"/>
      <c r="AC907" s="303"/>
    </row>
    <row r="908" ht="13.5" customHeight="1">
      <c r="A908" s="326"/>
      <c r="B908" s="15"/>
      <c r="C908" s="7"/>
      <c r="D908" s="9"/>
      <c r="E908" s="13"/>
      <c r="F908" s="13"/>
      <c r="G908" s="308"/>
      <c r="H908" s="308"/>
      <c r="I908" s="7"/>
      <c r="J908" s="9"/>
      <c r="K908" s="7"/>
      <c r="L908" s="305"/>
      <c r="M908" s="305"/>
      <c r="N908" s="305"/>
      <c r="O908" s="305"/>
      <c r="P908" s="305"/>
      <c r="Q908" s="305"/>
      <c r="R908" s="305"/>
      <c r="S908" s="305"/>
      <c r="T908" s="305"/>
      <c r="U908" s="305"/>
      <c r="V908" s="305"/>
      <c r="W908" s="305"/>
      <c r="X908" s="305"/>
      <c r="Y908" s="305"/>
      <c r="Z908" s="305"/>
      <c r="AA908" s="305"/>
      <c r="AB908" s="305"/>
      <c r="AC908" s="307"/>
    </row>
    <row r="909" ht="13.5" customHeight="1">
      <c r="A909" s="312"/>
      <c r="B909" s="301"/>
      <c r="C909" s="301"/>
      <c r="D909" s="301"/>
      <c r="E909" s="301"/>
      <c r="F909" s="301"/>
      <c r="G909" s="301"/>
      <c r="H909" s="301"/>
      <c r="I909" s="301"/>
      <c r="J909" s="301"/>
      <c r="K909" s="301"/>
      <c r="L909" s="302"/>
      <c r="M909" s="302"/>
      <c r="N909" s="302"/>
      <c r="O909" s="302"/>
      <c r="P909" s="302"/>
      <c r="Q909" s="302"/>
      <c r="R909" s="302"/>
      <c r="S909" s="302"/>
      <c r="T909" s="302"/>
      <c r="U909" s="302"/>
      <c r="V909" s="302"/>
      <c r="W909" s="302"/>
      <c r="X909" s="302"/>
      <c r="Y909" s="302"/>
      <c r="Z909" s="302"/>
      <c r="AA909" s="302"/>
      <c r="AB909" s="302"/>
      <c r="AC909" s="303"/>
    </row>
    <row r="910" ht="13.5" customHeight="1">
      <c r="A910" s="326"/>
      <c r="B910" s="15"/>
      <c r="C910" s="7"/>
      <c r="D910" s="9"/>
      <c r="E910" s="13"/>
      <c r="F910" s="13"/>
      <c r="G910" s="308"/>
      <c r="H910" s="308"/>
      <c r="I910" s="7"/>
      <c r="J910" s="9"/>
      <c r="K910" s="7"/>
      <c r="L910" s="305"/>
      <c r="M910" s="305"/>
      <c r="N910" s="305"/>
      <c r="O910" s="305"/>
      <c r="P910" s="305"/>
      <c r="Q910" s="305"/>
      <c r="R910" s="305"/>
      <c r="S910" s="305"/>
      <c r="T910" s="305"/>
      <c r="U910" s="305"/>
      <c r="V910" s="305"/>
      <c r="W910" s="305"/>
      <c r="X910" s="305"/>
      <c r="Y910" s="305"/>
      <c r="Z910" s="305"/>
      <c r="AA910" s="305"/>
      <c r="AB910" s="305"/>
      <c r="AC910" s="307"/>
    </row>
    <row r="911" ht="13.5" customHeight="1">
      <c r="A911" s="312"/>
      <c r="B911" s="301"/>
      <c r="C911" s="301"/>
      <c r="D911" s="301"/>
      <c r="E911" s="301"/>
      <c r="F911" s="301"/>
      <c r="G911" s="301"/>
      <c r="H911" s="301"/>
      <c r="I911" s="301"/>
      <c r="J911" s="301"/>
      <c r="K911" s="301"/>
      <c r="L911" s="302"/>
      <c r="M911" s="302"/>
      <c r="N911" s="302"/>
      <c r="O911" s="302"/>
      <c r="P911" s="302"/>
      <c r="Q911" s="302"/>
      <c r="R911" s="302"/>
      <c r="S911" s="302"/>
      <c r="T911" s="302"/>
      <c r="U911" s="302"/>
      <c r="V911" s="302"/>
      <c r="W911" s="302"/>
      <c r="X911" s="302"/>
      <c r="Y911" s="302"/>
      <c r="Z911" s="302"/>
      <c r="AA911" s="302"/>
      <c r="AB911" s="302"/>
      <c r="AC911" s="303"/>
    </row>
    <row r="912" ht="13.5" customHeight="1">
      <c r="A912" s="326"/>
      <c r="B912" s="15"/>
      <c r="C912" s="7"/>
      <c r="D912" s="9"/>
      <c r="E912" s="13"/>
      <c r="F912" s="13"/>
      <c r="G912" s="308"/>
      <c r="H912" s="308"/>
      <c r="I912" s="7"/>
      <c r="J912" s="9"/>
      <c r="K912" s="7"/>
      <c r="L912" s="305"/>
      <c r="M912" s="305"/>
      <c r="N912" s="305"/>
      <c r="O912" s="305"/>
      <c r="P912" s="305"/>
      <c r="Q912" s="305"/>
      <c r="R912" s="305"/>
      <c r="S912" s="305"/>
      <c r="T912" s="305"/>
      <c r="U912" s="305"/>
      <c r="V912" s="305"/>
      <c r="W912" s="305"/>
      <c r="X912" s="305"/>
      <c r="Y912" s="305"/>
      <c r="Z912" s="305"/>
      <c r="AA912" s="305"/>
      <c r="AB912" s="305"/>
      <c r="AC912" s="307"/>
    </row>
    <row r="913" ht="13.5" customHeight="1">
      <c r="A913" s="312"/>
      <c r="B913" s="301"/>
      <c r="C913" s="301"/>
      <c r="D913" s="301"/>
      <c r="E913" s="301"/>
      <c r="F913" s="301"/>
      <c r="G913" s="301"/>
      <c r="H913" s="301"/>
      <c r="I913" s="301"/>
      <c r="J913" s="301"/>
      <c r="K913" s="301"/>
      <c r="L913" s="302"/>
      <c r="M913" s="302"/>
      <c r="N913" s="302"/>
      <c r="O913" s="302"/>
      <c r="P913" s="302"/>
      <c r="Q913" s="302"/>
      <c r="R913" s="302"/>
      <c r="S913" s="302"/>
      <c r="T913" s="302"/>
      <c r="U913" s="302"/>
      <c r="V913" s="302"/>
      <c r="W913" s="302"/>
      <c r="X913" s="302"/>
      <c r="Y913" s="302"/>
      <c r="Z913" s="302"/>
      <c r="AA913" s="302"/>
      <c r="AB913" s="302"/>
      <c r="AC913" s="303"/>
    </row>
    <row r="914" ht="13.5" customHeight="1">
      <c r="A914" s="326"/>
      <c r="B914" s="15"/>
      <c r="C914" s="7"/>
      <c r="D914" s="9"/>
      <c r="E914" s="13"/>
      <c r="F914" s="13"/>
      <c r="G914" s="308"/>
      <c r="H914" s="308"/>
      <c r="I914" s="7"/>
      <c r="J914" s="9"/>
      <c r="K914" s="7"/>
      <c r="L914" s="305"/>
      <c r="M914" s="305"/>
      <c r="N914" s="305"/>
      <c r="O914" s="305"/>
      <c r="P914" s="305"/>
      <c r="Q914" s="305"/>
      <c r="R914" s="305"/>
      <c r="S914" s="305"/>
      <c r="T914" s="305"/>
      <c r="U914" s="305"/>
      <c r="V914" s="305"/>
      <c r="W914" s="305"/>
      <c r="X914" s="305"/>
      <c r="Y914" s="305"/>
      <c r="Z914" s="305"/>
      <c r="AA914" s="305"/>
      <c r="AB914" s="305"/>
      <c r="AC914" s="307"/>
    </row>
    <row r="915" ht="13.5" customHeight="1">
      <c r="A915" s="312"/>
      <c r="B915" s="301"/>
      <c r="C915" s="301"/>
      <c r="D915" s="301"/>
      <c r="E915" s="301"/>
      <c r="F915" s="301"/>
      <c r="G915" s="301"/>
      <c r="H915" s="301"/>
      <c r="I915" s="301"/>
      <c r="J915" s="301"/>
      <c r="K915" s="301"/>
      <c r="L915" s="302"/>
      <c r="M915" s="302"/>
      <c r="N915" s="302"/>
      <c r="O915" s="302"/>
      <c r="P915" s="302"/>
      <c r="Q915" s="302"/>
      <c r="R915" s="302"/>
      <c r="S915" s="302"/>
      <c r="T915" s="302"/>
      <c r="U915" s="302"/>
      <c r="V915" s="302"/>
      <c r="W915" s="302"/>
      <c r="X915" s="302"/>
      <c r="Y915" s="302"/>
      <c r="Z915" s="302"/>
      <c r="AA915" s="302"/>
      <c r="AB915" s="302"/>
      <c r="AC915" s="303"/>
    </row>
    <row r="916" ht="13.5" customHeight="1">
      <c r="A916" s="326"/>
      <c r="B916" s="15"/>
      <c r="C916" s="7"/>
      <c r="D916" s="9"/>
      <c r="E916" s="13"/>
      <c r="F916" s="13"/>
      <c r="G916" s="308"/>
      <c r="H916" s="308"/>
      <c r="I916" s="7"/>
      <c r="J916" s="9"/>
      <c r="K916" s="7"/>
      <c r="L916" s="305"/>
      <c r="M916" s="305"/>
      <c r="N916" s="305"/>
      <c r="O916" s="305"/>
      <c r="P916" s="305"/>
      <c r="Q916" s="305"/>
      <c r="R916" s="305"/>
      <c r="S916" s="305"/>
      <c r="T916" s="305"/>
      <c r="U916" s="305"/>
      <c r="V916" s="305"/>
      <c r="W916" s="305"/>
      <c r="X916" s="305"/>
      <c r="Y916" s="305"/>
      <c r="Z916" s="305"/>
      <c r="AA916" s="305"/>
      <c r="AB916" s="305"/>
      <c r="AC916" s="307"/>
    </row>
    <row r="917" ht="13.5" customHeight="1">
      <c r="A917" s="312"/>
      <c r="B917" s="301"/>
      <c r="C917" s="301"/>
      <c r="D917" s="301"/>
      <c r="E917" s="301"/>
      <c r="F917" s="301"/>
      <c r="G917" s="301"/>
      <c r="H917" s="301"/>
      <c r="I917" s="301"/>
      <c r="J917" s="301"/>
      <c r="K917" s="301"/>
      <c r="L917" s="302"/>
      <c r="M917" s="302"/>
      <c r="N917" s="302"/>
      <c r="O917" s="302"/>
      <c r="P917" s="302"/>
      <c r="Q917" s="302"/>
      <c r="R917" s="302"/>
      <c r="S917" s="302"/>
      <c r="T917" s="302"/>
      <c r="U917" s="302"/>
      <c r="V917" s="302"/>
      <c r="W917" s="302"/>
      <c r="X917" s="302"/>
      <c r="Y917" s="302"/>
      <c r="Z917" s="302"/>
      <c r="AA917" s="302"/>
      <c r="AB917" s="302"/>
      <c r="AC917" s="303"/>
    </row>
    <row r="918" ht="13.5" customHeight="1">
      <c r="A918" s="326"/>
      <c r="B918" s="15"/>
      <c r="C918" s="7"/>
      <c r="D918" s="9"/>
      <c r="E918" s="13"/>
      <c r="F918" s="13"/>
      <c r="G918" s="308"/>
      <c r="H918" s="308"/>
      <c r="I918" s="7"/>
      <c r="J918" s="9"/>
      <c r="K918" s="7"/>
      <c r="L918" s="305"/>
      <c r="M918" s="305"/>
      <c r="N918" s="305"/>
      <c r="O918" s="305"/>
      <c r="P918" s="305"/>
      <c r="Q918" s="305"/>
      <c r="R918" s="305"/>
      <c r="S918" s="305"/>
      <c r="T918" s="305"/>
      <c r="U918" s="305"/>
      <c r="V918" s="305"/>
      <c r="W918" s="305"/>
      <c r="X918" s="305"/>
      <c r="Y918" s="305"/>
      <c r="Z918" s="305"/>
      <c r="AA918" s="305"/>
      <c r="AB918" s="305"/>
      <c r="AC918" s="307"/>
    </row>
    <row r="919" ht="13.5" customHeight="1">
      <c r="A919" s="312"/>
      <c r="B919" s="301"/>
      <c r="C919" s="301"/>
      <c r="D919" s="301"/>
      <c r="E919" s="301"/>
      <c r="F919" s="301"/>
      <c r="G919" s="301"/>
      <c r="H919" s="301"/>
      <c r="I919" s="301"/>
      <c r="J919" s="301"/>
      <c r="K919" s="301"/>
      <c r="L919" s="302"/>
      <c r="M919" s="302"/>
      <c r="N919" s="302"/>
      <c r="O919" s="302"/>
      <c r="P919" s="302"/>
      <c r="Q919" s="302"/>
      <c r="R919" s="302"/>
      <c r="S919" s="302"/>
      <c r="T919" s="302"/>
      <c r="U919" s="302"/>
      <c r="V919" s="302"/>
      <c r="W919" s="302"/>
      <c r="X919" s="302"/>
      <c r="Y919" s="302"/>
      <c r="Z919" s="302"/>
      <c r="AA919" s="302"/>
      <c r="AB919" s="302"/>
      <c r="AC919" s="303"/>
    </row>
    <row r="920" ht="13.5" customHeight="1">
      <c r="A920" s="326"/>
      <c r="B920" s="15"/>
      <c r="C920" s="7"/>
      <c r="D920" s="9"/>
      <c r="E920" s="13"/>
      <c r="F920" s="13"/>
      <c r="G920" s="308"/>
      <c r="H920" s="308"/>
      <c r="I920" s="7"/>
      <c r="J920" s="9"/>
      <c r="K920" s="7"/>
      <c r="L920" s="305"/>
      <c r="M920" s="305"/>
      <c r="N920" s="305"/>
      <c r="O920" s="305"/>
      <c r="P920" s="305"/>
      <c r="Q920" s="305"/>
      <c r="R920" s="305"/>
      <c r="S920" s="305"/>
      <c r="T920" s="305"/>
      <c r="U920" s="305"/>
      <c r="V920" s="305"/>
      <c r="W920" s="305"/>
      <c r="X920" s="305"/>
      <c r="Y920" s="305"/>
      <c r="Z920" s="305"/>
      <c r="AA920" s="305"/>
      <c r="AB920" s="305"/>
      <c r="AC920" s="307"/>
    </row>
    <row r="921" ht="13.5" customHeight="1">
      <c r="A921" s="312"/>
      <c r="B921" s="301"/>
      <c r="C921" s="301"/>
      <c r="D921" s="301"/>
      <c r="E921" s="301"/>
      <c r="F921" s="301"/>
      <c r="G921" s="301"/>
      <c r="H921" s="301"/>
      <c r="I921" s="301"/>
      <c r="J921" s="301"/>
      <c r="K921" s="301"/>
      <c r="L921" s="302"/>
      <c r="M921" s="302"/>
      <c r="N921" s="302"/>
      <c r="O921" s="302"/>
      <c r="P921" s="302"/>
      <c r="Q921" s="302"/>
      <c r="R921" s="302"/>
      <c r="S921" s="302"/>
      <c r="T921" s="302"/>
      <c r="U921" s="302"/>
      <c r="V921" s="302"/>
      <c r="W921" s="302"/>
      <c r="X921" s="302"/>
      <c r="Y921" s="302"/>
      <c r="Z921" s="302"/>
      <c r="AA921" s="302"/>
      <c r="AB921" s="302"/>
      <c r="AC921" s="303"/>
    </row>
    <row r="922" ht="13.5" customHeight="1">
      <c r="A922" s="326"/>
      <c r="B922" s="15"/>
      <c r="C922" s="7"/>
      <c r="D922" s="9"/>
      <c r="E922" s="13"/>
      <c r="F922" s="13"/>
      <c r="G922" s="308"/>
      <c r="H922" s="308"/>
      <c r="I922" s="7"/>
      <c r="J922" s="9"/>
      <c r="K922" s="7"/>
      <c r="L922" s="305"/>
      <c r="M922" s="305"/>
      <c r="N922" s="305"/>
      <c r="O922" s="305"/>
      <c r="P922" s="305"/>
      <c r="Q922" s="305"/>
      <c r="R922" s="305"/>
      <c r="S922" s="305"/>
      <c r="T922" s="305"/>
      <c r="U922" s="305"/>
      <c r="V922" s="305"/>
      <c r="W922" s="305"/>
      <c r="X922" s="305"/>
      <c r="Y922" s="305"/>
      <c r="Z922" s="305"/>
      <c r="AA922" s="305"/>
      <c r="AB922" s="305"/>
      <c r="AC922" s="307"/>
    </row>
    <row r="923" ht="13.5" customHeight="1">
      <c r="A923" s="312"/>
      <c r="B923" s="301"/>
      <c r="C923" s="301"/>
      <c r="D923" s="301"/>
      <c r="E923" s="301"/>
      <c r="F923" s="301"/>
      <c r="G923" s="301"/>
      <c r="H923" s="301"/>
      <c r="I923" s="301"/>
      <c r="J923" s="301"/>
      <c r="K923" s="301"/>
      <c r="L923" s="302"/>
      <c r="M923" s="302"/>
      <c r="N923" s="302"/>
      <c r="O923" s="302"/>
      <c r="P923" s="302"/>
      <c r="Q923" s="302"/>
      <c r="R923" s="302"/>
      <c r="S923" s="302"/>
      <c r="T923" s="302"/>
      <c r="U923" s="302"/>
      <c r="V923" s="302"/>
      <c r="W923" s="302"/>
      <c r="X923" s="302"/>
      <c r="Y923" s="302"/>
      <c r="Z923" s="302"/>
      <c r="AA923" s="302"/>
      <c r="AB923" s="302"/>
      <c r="AC923" s="303"/>
    </row>
    <row r="924" ht="13.5" customHeight="1">
      <c r="A924" s="326"/>
      <c r="B924" s="15"/>
      <c r="C924" s="7"/>
      <c r="D924" s="9"/>
      <c r="E924" s="13"/>
      <c r="F924" s="13"/>
      <c r="G924" s="308"/>
      <c r="H924" s="308"/>
      <c r="I924" s="7"/>
      <c r="J924" s="9"/>
      <c r="K924" s="7"/>
      <c r="L924" s="305"/>
      <c r="M924" s="305"/>
      <c r="N924" s="305"/>
      <c r="O924" s="305"/>
      <c r="P924" s="305"/>
      <c r="Q924" s="305"/>
      <c r="R924" s="305"/>
      <c r="S924" s="305"/>
      <c r="T924" s="305"/>
      <c r="U924" s="305"/>
      <c r="V924" s="305"/>
      <c r="W924" s="305"/>
      <c r="X924" s="305"/>
      <c r="Y924" s="305"/>
      <c r="Z924" s="305"/>
      <c r="AA924" s="305"/>
      <c r="AB924" s="305"/>
      <c r="AC924" s="307"/>
    </row>
    <row r="925" ht="13.5" customHeight="1">
      <c r="A925" s="312"/>
      <c r="B925" s="301"/>
      <c r="C925" s="301"/>
      <c r="D925" s="301"/>
      <c r="E925" s="301"/>
      <c r="F925" s="301"/>
      <c r="G925" s="301"/>
      <c r="H925" s="301"/>
      <c r="I925" s="301"/>
      <c r="J925" s="301"/>
      <c r="K925" s="301"/>
      <c r="L925" s="302"/>
      <c r="M925" s="302"/>
      <c r="N925" s="302"/>
      <c r="O925" s="302"/>
      <c r="P925" s="302"/>
      <c r="Q925" s="302"/>
      <c r="R925" s="302"/>
      <c r="S925" s="302"/>
      <c r="T925" s="302"/>
      <c r="U925" s="302"/>
      <c r="V925" s="302"/>
      <c r="W925" s="302"/>
      <c r="X925" s="302"/>
      <c r="Y925" s="302"/>
      <c r="Z925" s="302"/>
      <c r="AA925" s="302"/>
      <c r="AB925" s="302"/>
      <c r="AC925" s="303"/>
    </row>
    <row r="926" ht="13.5" customHeight="1">
      <c r="A926" s="326"/>
      <c r="B926" s="15"/>
      <c r="C926" s="7"/>
      <c r="D926" s="9"/>
      <c r="E926" s="13"/>
      <c r="F926" s="13"/>
      <c r="G926" s="308"/>
      <c r="H926" s="308"/>
      <c r="I926" s="7"/>
      <c r="J926" s="9"/>
      <c r="K926" s="7"/>
      <c r="L926" s="305"/>
      <c r="M926" s="305"/>
      <c r="N926" s="305"/>
      <c r="O926" s="305"/>
      <c r="P926" s="305"/>
      <c r="Q926" s="305"/>
      <c r="R926" s="305"/>
      <c r="S926" s="305"/>
      <c r="T926" s="305"/>
      <c r="U926" s="305"/>
      <c r="V926" s="305"/>
      <c r="W926" s="305"/>
      <c r="X926" s="305"/>
      <c r="Y926" s="305"/>
      <c r="Z926" s="305"/>
      <c r="AA926" s="305"/>
      <c r="AB926" s="305"/>
      <c r="AC926" s="307"/>
    </row>
    <row r="927" ht="13.5" customHeight="1">
      <c r="A927" s="312"/>
      <c r="B927" s="301"/>
      <c r="C927" s="301"/>
      <c r="D927" s="301"/>
      <c r="E927" s="301"/>
      <c r="F927" s="301"/>
      <c r="G927" s="301"/>
      <c r="H927" s="301"/>
      <c r="I927" s="301"/>
      <c r="J927" s="301"/>
      <c r="K927" s="301"/>
      <c r="L927" s="302"/>
      <c r="M927" s="302"/>
      <c r="N927" s="302"/>
      <c r="O927" s="302"/>
      <c r="P927" s="302"/>
      <c r="Q927" s="302"/>
      <c r="R927" s="302"/>
      <c r="S927" s="302"/>
      <c r="T927" s="302"/>
      <c r="U927" s="302"/>
      <c r="V927" s="302"/>
      <c r="W927" s="302"/>
      <c r="X927" s="302"/>
      <c r="Y927" s="302"/>
      <c r="Z927" s="302"/>
      <c r="AA927" s="302"/>
      <c r="AB927" s="302"/>
      <c r="AC927" s="303"/>
    </row>
    <row r="928" ht="13.5" customHeight="1">
      <c r="A928" s="326"/>
      <c r="B928" s="15"/>
      <c r="C928" s="7"/>
      <c r="D928" s="9"/>
      <c r="E928" s="13"/>
      <c r="F928" s="13"/>
      <c r="G928" s="308"/>
      <c r="H928" s="308"/>
      <c r="I928" s="7"/>
      <c r="J928" s="9"/>
      <c r="K928" s="7"/>
      <c r="L928" s="305"/>
      <c r="M928" s="305"/>
      <c r="N928" s="305"/>
      <c r="O928" s="305"/>
      <c r="P928" s="305"/>
      <c r="Q928" s="305"/>
      <c r="R928" s="305"/>
      <c r="S928" s="305"/>
      <c r="T928" s="305"/>
      <c r="U928" s="305"/>
      <c r="V928" s="305"/>
      <c r="W928" s="305"/>
      <c r="X928" s="305"/>
      <c r="Y928" s="305"/>
      <c r="Z928" s="305"/>
      <c r="AA928" s="305"/>
      <c r="AB928" s="305"/>
      <c r="AC928" s="307"/>
    </row>
    <row r="929" ht="13.5" customHeight="1">
      <c r="A929" s="312"/>
      <c r="B929" s="301"/>
      <c r="C929" s="301"/>
      <c r="D929" s="301"/>
      <c r="E929" s="301"/>
      <c r="F929" s="301"/>
      <c r="G929" s="301"/>
      <c r="H929" s="301"/>
      <c r="I929" s="301"/>
      <c r="J929" s="301"/>
      <c r="K929" s="301"/>
      <c r="L929" s="302"/>
      <c r="M929" s="302"/>
      <c r="N929" s="302"/>
      <c r="O929" s="302"/>
      <c r="P929" s="302"/>
      <c r="Q929" s="302"/>
      <c r="R929" s="302"/>
      <c r="S929" s="302"/>
      <c r="T929" s="302"/>
      <c r="U929" s="302"/>
      <c r="V929" s="302"/>
      <c r="W929" s="302"/>
      <c r="X929" s="302"/>
      <c r="Y929" s="302"/>
      <c r="Z929" s="302"/>
      <c r="AA929" s="302"/>
      <c r="AB929" s="302"/>
      <c r="AC929" s="303"/>
    </row>
    <row r="930" ht="13.5" customHeight="1">
      <c r="A930" s="326"/>
      <c r="B930" s="15"/>
      <c r="C930" s="7"/>
      <c r="D930" s="9"/>
      <c r="E930" s="13"/>
      <c r="F930" s="13"/>
      <c r="G930" s="308"/>
      <c r="H930" s="308"/>
      <c r="I930" s="7"/>
      <c r="J930" s="9"/>
      <c r="K930" s="7"/>
      <c r="L930" s="305"/>
      <c r="M930" s="305"/>
      <c r="N930" s="305"/>
      <c r="O930" s="305"/>
      <c r="P930" s="305"/>
      <c r="Q930" s="305"/>
      <c r="R930" s="305"/>
      <c r="S930" s="305"/>
      <c r="T930" s="305"/>
      <c r="U930" s="305"/>
      <c r="V930" s="305"/>
      <c r="W930" s="305"/>
      <c r="X930" s="305"/>
      <c r="Y930" s="305"/>
      <c r="Z930" s="305"/>
      <c r="AA930" s="305"/>
      <c r="AB930" s="305"/>
      <c r="AC930" s="307"/>
    </row>
    <row r="931" ht="13.5" customHeight="1">
      <c r="A931" s="312"/>
      <c r="B931" s="301"/>
      <c r="C931" s="301"/>
      <c r="D931" s="301"/>
      <c r="E931" s="301"/>
      <c r="F931" s="301"/>
      <c r="G931" s="301"/>
      <c r="H931" s="301"/>
      <c r="I931" s="301"/>
      <c r="J931" s="301"/>
      <c r="K931" s="301"/>
      <c r="L931" s="302"/>
      <c r="M931" s="302"/>
      <c r="N931" s="302"/>
      <c r="O931" s="302"/>
      <c r="P931" s="302"/>
      <c r="Q931" s="302"/>
      <c r="R931" s="302"/>
      <c r="S931" s="302"/>
      <c r="T931" s="302"/>
      <c r="U931" s="302"/>
      <c r="V931" s="302"/>
      <c r="W931" s="302"/>
      <c r="X931" s="302"/>
      <c r="Y931" s="302"/>
      <c r="Z931" s="302"/>
      <c r="AA931" s="302"/>
      <c r="AB931" s="302"/>
      <c r="AC931" s="303"/>
    </row>
    <row r="932" ht="13.5" customHeight="1">
      <c r="A932" s="326"/>
      <c r="B932" s="15"/>
      <c r="C932" s="7"/>
      <c r="D932" s="9"/>
      <c r="E932" s="13"/>
      <c r="F932" s="13"/>
      <c r="G932" s="308"/>
      <c r="H932" s="308"/>
      <c r="I932" s="7"/>
      <c r="J932" s="9"/>
      <c r="K932" s="7"/>
      <c r="L932" s="305"/>
      <c r="M932" s="305"/>
      <c r="N932" s="305"/>
      <c r="O932" s="305"/>
      <c r="P932" s="305"/>
      <c r="Q932" s="305"/>
      <c r="R932" s="305"/>
      <c r="S932" s="305"/>
      <c r="T932" s="305"/>
      <c r="U932" s="305"/>
      <c r="V932" s="305"/>
      <c r="W932" s="305"/>
      <c r="X932" s="305"/>
      <c r="Y932" s="305"/>
      <c r="Z932" s="305"/>
      <c r="AA932" s="305"/>
      <c r="AB932" s="305"/>
      <c r="AC932" s="307"/>
    </row>
    <row r="933" ht="13.5" customHeight="1">
      <c r="A933" s="312"/>
      <c r="B933" s="301"/>
      <c r="C933" s="301"/>
      <c r="D933" s="301"/>
      <c r="E933" s="301"/>
      <c r="F933" s="301"/>
      <c r="G933" s="301"/>
      <c r="H933" s="301"/>
      <c r="I933" s="301"/>
      <c r="J933" s="301"/>
      <c r="K933" s="301"/>
      <c r="L933" s="302"/>
      <c r="M933" s="302"/>
      <c r="N933" s="302"/>
      <c r="O933" s="302"/>
      <c r="P933" s="302"/>
      <c r="Q933" s="302"/>
      <c r="R933" s="302"/>
      <c r="S933" s="302"/>
      <c r="T933" s="302"/>
      <c r="U933" s="302"/>
      <c r="V933" s="302"/>
      <c r="W933" s="302"/>
      <c r="X933" s="302"/>
      <c r="Y933" s="302"/>
      <c r="Z933" s="302"/>
      <c r="AA933" s="302"/>
      <c r="AB933" s="302"/>
      <c r="AC933" s="303"/>
    </row>
    <row r="934" ht="13.5" customHeight="1">
      <c r="A934" s="326"/>
      <c r="B934" s="15"/>
      <c r="C934" s="7"/>
      <c r="D934" s="9"/>
      <c r="E934" s="13"/>
      <c r="F934" s="13"/>
      <c r="G934" s="308"/>
      <c r="H934" s="308"/>
      <c r="I934" s="7"/>
      <c r="J934" s="9"/>
      <c r="K934" s="7"/>
      <c r="L934" s="305"/>
      <c r="M934" s="305"/>
      <c r="N934" s="305"/>
      <c r="O934" s="305"/>
      <c r="P934" s="305"/>
      <c r="Q934" s="305"/>
      <c r="R934" s="305"/>
      <c r="S934" s="305"/>
      <c r="T934" s="305"/>
      <c r="U934" s="305"/>
      <c r="V934" s="305"/>
      <c r="W934" s="305"/>
      <c r="X934" s="305"/>
      <c r="Y934" s="305"/>
      <c r="Z934" s="305"/>
      <c r="AA934" s="305"/>
      <c r="AB934" s="305"/>
      <c r="AC934" s="307"/>
    </row>
    <row r="935" ht="13.5" customHeight="1">
      <c r="A935" s="312"/>
      <c r="B935" s="301"/>
      <c r="C935" s="301"/>
      <c r="D935" s="301"/>
      <c r="E935" s="301"/>
      <c r="F935" s="301"/>
      <c r="G935" s="301"/>
      <c r="H935" s="301"/>
      <c r="I935" s="301"/>
      <c r="J935" s="301"/>
      <c r="K935" s="301"/>
      <c r="L935" s="302"/>
      <c r="M935" s="302"/>
      <c r="N935" s="302"/>
      <c r="O935" s="302"/>
      <c r="P935" s="302"/>
      <c r="Q935" s="302"/>
      <c r="R935" s="302"/>
      <c r="S935" s="302"/>
      <c r="T935" s="302"/>
      <c r="U935" s="302"/>
      <c r="V935" s="302"/>
      <c r="W935" s="302"/>
      <c r="X935" s="302"/>
      <c r="Y935" s="302"/>
      <c r="Z935" s="302"/>
      <c r="AA935" s="302"/>
      <c r="AB935" s="302"/>
      <c r="AC935" s="303"/>
    </row>
    <row r="936" ht="13.5" customHeight="1">
      <c r="A936" s="326"/>
      <c r="B936" s="15"/>
      <c r="C936" s="7"/>
      <c r="D936" s="9"/>
      <c r="E936" s="13"/>
      <c r="F936" s="13"/>
      <c r="G936" s="308"/>
      <c r="H936" s="308"/>
      <c r="I936" s="7"/>
      <c r="J936" s="9"/>
      <c r="K936" s="7"/>
      <c r="L936" s="305"/>
      <c r="M936" s="305"/>
      <c r="N936" s="305"/>
      <c r="O936" s="305"/>
      <c r="P936" s="305"/>
      <c r="Q936" s="305"/>
      <c r="R936" s="305"/>
      <c r="S936" s="305"/>
      <c r="T936" s="305"/>
      <c r="U936" s="305"/>
      <c r="V936" s="305"/>
      <c r="W936" s="305"/>
      <c r="X936" s="305"/>
      <c r="Y936" s="305"/>
      <c r="Z936" s="305"/>
      <c r="AA936" s="305"/>
      <c r="AB936" s="305"/>
      <c r="AC936" s="307"/>
    </row>
    <row r="937" ht="13.5" customHeight="1">
      <c r="A937" s="312"/>
      <c r="B937" s="301"/>
      <c r="C937" s="301"/>
      <c r="D937" s="301"/>
      <c r="E937" s="301"/>
      <c r="F937" s="301"/>
      <c r="G937" s="301"/>
      <c r="H937" s="301"/>
      <c r="I937" s="301"/>
      <c r="J937" s="301"/>
      <c r="K937" s="301"/>
      <c r="L937" s="302"/>
      <c r="M937" s="302"/>
      <c r="N937" s="302"/>
      <c r="O937" s="302"/>
      <c r="P937" s="302"/>
      <c r="Q937" s="302"/>
      <c r="R937" s="302"/>
      <c r="S937" s="302"/>
      <c r="T937" s="302"/>
      <c r="U937" s="302"/>
      <c r="V937" s="302"/>
      <c r="W937" s="302"/>
      <c r="X937" s="302"/>
      <c r="Y937" s="302"/>
      <c r="Z937" s="302"/>
      <c r="AA937" s="302"/>
      <c r="AB937" s="302"/>
      <c r="AC937" s="303"/>
    </row>
    <row r="938" ht="13.5" customHeight="1">
      <c r="A938" s="326"/>
      <c r="B938" s="15"/>
      <c r="C938" s="7"/>
      <c r="D938" s="9"/>
      <c r="E938" s="13"/>
      <c r="F938" s="13"/>
      <c r="G938" s="308"/>
      <c r="H938" s="308"/>
      <c r="I938" s="7"/>
      <c r="J938" s="9"/>
      <c r="K938" s="7"/>
      <c r="L938" s="305"/>
      <c r="M938" s="305"/>
      <c r="N938" s="305"/>
      <c r="O938" s="305"/>
      <c r="P938" s="305"/>
      <c r="Q938" s="305"/>
      <c r="R938" s="305"/>
      <c r="S938" s="305"/>
      <c r="T938" s="305"/>
      <c r="U938" s="305"/>
      <c r="V938" s="305"/>
      <c r="W938" s="305"/>
      <c r="X938" s="305"/>
      <c r="Y938" s="305"/>
      <c r="Z938" s="305"/>
      <c r="AA938" s="305"/>
      <c r="AB938" s="305"/>
      <c r="AC938" s="307"/>
    </row>
    <row r="939" ht="13.5" customHeight="1">
      <c r="A939" s="312"/>
      <c r="B939" s="301"/>
      <c r="C939" s="301"/>
      <c r="D939" s="301"/>
      <c r="E939" s="301"/>
      <c r="F939" s="301"/>
      <c r="G939" s="301"/>
      <c r="H939" s="301"/>
      <c r="I939" s="301"/>
      <c r="J939" s="301"/>
      <c r="K939" s="301"/>
      <c r="L939" s="302"/>
      <c r="M939" s="302"/>
      <c r="N939" s="302"/>
      <c r="O939" s="302"/>
      <c r="P939" s="302"/>
      <c r="Q939" s="302"/>
      <c r="R939" s="302"/>
      <c r="S939" s="302"/>
      <c r="T939" s="302"/>
      <c r="U939" s="302"/>
      <c r="V939" s="302"/>
      <c r="W939" s="302"/>
      <c r="X939" s="302"/>
      <c r="Y939" s="302"/>
      <c r="Z939" s="302"/>
      <c r="AA939" s="302"/>
      <c r="AB939" s="302"/>
      <c r="AC939" s="303"/>
    </row>
    <row r="940" ht="13.5" customHeight="1">
      <c r="A940" s="326"/>
      <c r="B940" s="15"/>
      <c r="C940" s="7"/>
      <c r="D940" s="9"/>
      <c r="E940" s="13"/>
      <c r="F940" s="13"/>
      <c r="G940" s="308"/>
      <c r="H940" s="308"/>
      <c r="I940" s="7"/>
      <c r="J940" s="9"/>
      <c r="K940" s="7"/>
      <c r="L940" s="305"/>
      <c r="M940" s="305"/>
      <c r="N940" s="305"/>
      <c r="O940" s="305"/>
      <c r="P940" s="305"/>
      <c r="Q940" s="305"/>
      <c r="R940" s="305"/>
      <c r="S940" s="305"/>
      <c r="T940" s="305"/>
      <c r="U940" s="305"/>
      <c r="V940" s="305"/>
      <c r="W940" s="305"/>
      <c r="X940" s="305"/>
      <c r="Y940" s="305"/>
      <c r="Z940" s="305"/>
      <c r="AA940" s="305"/>
      <c r="AB940" s="305"/>
      <c r="AC940" s="307"/>
    </row>
    <row r="941" ht="13.5" customHeight="1">
      <c r="A941" s="312"/>
      <c r="B941" s="301"/>
      <c r="C941" s="301"/>
      <c r="D941" s="301"/>
      <c r="E941" s="301"/>
      <c r="F941" s="301"/>
      <c r="G941" s="301"/>
      <c r="H941" s="301"/>
      <c r="I941" s="301"/>
      <c r="J941" s="301"/>
      <c r="K941" s="301"/>
      <c r="L941" s="302"/>
      <c r="M941" s="302"/>
      <c r="N941" s="302"/>
      <c r="O941" s="302"/>
      <c r="P941" s="302"/>
      <c r="Q941" s="302"/>
      <c r="R941" s="302"/>
      <c r="S941" s="302"/>
      <c r="T941" s="302"/>
      <c r="U941" s="302"/>
      <c r="V941" s="302"/>
      <c r="W941" s="302"/>
      <c r="X941" s="302"/>
      <c r="Y941" s="302"/>
      <c r="Z941" s="302"/>
      <c r="AA941" s="302"/>
      <c r="AB941" s="302"/>
      <c r="AC941" s="303"/>
    </row>
    <row r="942" ht="13.5" customHeight="1">
      <c r="A942" s="326"/>
      <c r="B942" s="15"/>
      <c r="C942" s="7"/>
      <c r="D942" s="9"/>
      <c r="E942" s="13"/>
      <c r="F942" s="13"/>
      <c r="G942" s="308"/>
      <c r="H942" s="308"/>
      <c r="I942" s="7"/>
      <c r="J942" s="9"/>
      <c r="K942" s="7"/>
      <c r="L942" s="305"/>
      <c r="M942" s="305"/>
      <c r="N942" s="305"/>
      <c r="O942" s="305"/>
      <c r="P942" s="305"/>
      <c r="Q942" s="305"/>
      <c r="R942" s="305"/>
      <c r="S942" s="305"/>
      <c r="T942" s="305"/>
      <c r="U942" s="305"/>
      <c r="V942" s="305"/>
      <c r="W942" s="305"/>
      <c r="X942" s="305"/>
      <c r="Y942" s="305"/>
      <c r="Z942" s="305"/>
      <c r="AA942" s="305"/>
      <c r="AB942" s="305"/>
      <c r="AC942" s="307"/>
    </row>
    <row r="943" ht="13.5" customHeight="1">
      <c r="A943" s="312"/>
      <c r="B943" s="301"/>
      <c r="C943" s="301"/>
      <c r="D943" s="301"/>
      <c r="E943" s="301"/>
      <c r="F943" s="301"/>
      <c r="G943" s="301"/>
      <c r="H943" s="301"/>
      <c r="I943" s="301"/>
      <c r="J943" s="301"/>
      <c r="K943" s="301"/>
      <c r="L943" s="302"/>
      <c r="M943" s="302"/>
      <c r="N943" s="302"/>
      <c r="O943" s="302"/>
      <c r="P943" s="302"/>
      <c r="Q943" s="302"/>
      <c r="R943" s="302"/>
      <c r="S943" s="302"/>
      <c r="T943" s="302"/>
      <c r="U943" s="302"/>
      <c r="V943" s="302"/>
      <c r="W943" s="302"/>
      <c r="X943" s="302"/>
      <c r="Y943" s="302"/>
      <c r="Z943" s="302"/>
      <c r="AA943" s="302"/>
      <c r="AB943" s="302"/>
      <c r="AC943" s="303"/>
    </row>
    <row r="944" ht="13.5" customHeight="1">
      <c r="A944" s="326"/>
      <c r="B944" s="15"/>
      <c r="C944" s="7"/>
      <c r="D944" s="9"/>
      <c r="E944" s="13"/>
      <c r="F944" s="13"/>
      <c r="G944" s="308"/>
      <c r="H944" s="308"/>
      <c r="I944" s="7"/>
      <c r="J944" s="9"/>
      <c r="K944" s="7"/>
      <c r="L944" s="305"/>
      <c r="M944" s="305"/>
      <c r="N944" s="305"/>
      <c r="O944" s="305"/>
      <c r="P944" s="305"/>
      <c r="Q944" s="305"/>
      <c r="R944" s="305"/>
      <c r="S944" s="305"/>
      <c r="T944" s="305"/>
      <c r="U944" s="305"/>
      <c r="V944" s="305"/>
      <c r="W944" s="305"/>
      <c r="X944" s="305"/>
      <c r="Y944" s="305"/>
      <c r="Z944" s="305"/>
      <c r="AA944" s="305"/>
      <c r="AB944" s="305"/>
      <c r="AC944" s="307"/>
    </row>
    <row r="945" ht="13.5" customHeight="1">
      <c r="A945" s="312"/>
      <c r="B945" s="301"/>
      <c r="C945" s="301"/>
      <c r="D945" s="301"/>
      <c r="E945" s="301"/>
      <c r="F945" s="301"/>
      <c r="G945" s="301"/>
      <c r="H945" s="301"/>
      <c r="I945" s="301"/>
      <c r="J945" s="301"/>
      <c r="K945" s="301"/>
      <c r="L945" s="302"/>
      <c r="M945" s="302"/>
      <c r="N945" s="302"/>
      <c r="O945" s="302"/>
      <c r="P945" s="302"/>
      <c r="Q945" s="302"/>
      <c r="R945" s="302"/>
      <c r="S945" s="302"/>
      <c r="T945" s="302"/>
      <c r="U945" s="302"/>
      <c r="V945" s="302"/>
      <c r="W945" s="302"/>
      <c r="X945" s="302"/>
      <c r="Y945" s="302"/>
      <c r="Z945" s="302"/>
      <c r="AA945" s="302"/>
      <c r="AB945" s="302"/>
      <c r="AC945" s="303"/>
    </row>
    <row r="946" ht="13.5" customHeight="1">
      <c r="A946" s="326"/>
      <c r="B946" s="15"/>
      <c r="C946" s="7"/>
      <c r="D946" s="9"/>
      <c r="E946" s="13"/>
      <c r="F946" s="13"/>
      <c r="G946" s="308"/>
      <c r="H946" s="308"/>
      <c r="I946" s="7"/>
      <c r="J946" s="9"/>
      <c r="K946" s="7"/>
      <c r="L946" s="305"/>
      <c r="M946" s="305"/>
      <c r="N946" s="305"/>
      <c r="O946" s="305"/>
      <c r="P946" s="305"/>
      <c r="Q946" s="305"/>
      <c r="R946" s="305"/>
      <c r="S946" s="305"/>
      <c r="T946" s="305"/>
      <c r="U946" s="305"/>
      <c r="V946" s="305"/>
      <c r="W946" s="305"/>
      <c r="X946" s="305"/>
      <c r="Y946" s="305"/>
      <c r="Z946" s="305"/>
      <c r="AA946" s="305"/>
      <c r="AB946" s="305"/>
      <c r="AC946" s="307"/>
    </row>
    <row r="947" ht="13.5" customHeight="1">
      <c r="A947" s="312"/>
      <c r="B947" s="301"/>
      <c r="C947" s="301"/>
      <c r="D947" s="301"/>
      <c r="E947" s="301"/>
      <c r="F947" s="301"/>
      <c r="G947" s="301"/>
      <c r="H947" s="301"/>
      <c r="I947" s="301"/>
      <c r="J947" s="301"/>
      <c r="K947" s="301"/>
      <c r="L947" s="302"/>
      <c r="M947" s="302"/>
      <c r="N947" s="302"/>
      <c r="O947" s="302"/>
      <c r="P947" s="302"/>
      <c r="Q947" s="302"/>
      <c r="R947" s="302"/>
      <c r="S947" s="302"/>
      <c r="T947" s="302"/>
      <c r="U947" s="302"/>
      <c r="V947" s="302"/>
      <c r="W947" s="302"/>
      <c r="X947" s="302"/>
      <c r="Y947" s="302"/>
      <c r="Z947" s="302"/>
      <c r="AA947" s="302"/>
      <c r="AB947" s="302"/>
      <c r="AC947" s="303"/>
    </row>
    <row r="948" ht="13.5" customHeight="1">
      <c r="A948" s="326"/>
      <c r="B948" s="15"/>
      <c r="C948" s="7"/>
      <c r="D948" s="9"/>
      <c r="E948" s="13"/>
      <c r="F948" s="13"/>
      <c r="G948" s="308"/>
      <c r="H948" s="308"/>
      <c r="I948" s="7"/>
      <c r="J948" s="9"/>
      <c r="K948" s="7"/>
      <c r="L948" s="305"/>
      <c r="M948" s="305"/>
      <c r="N948" s="305"/>
      <c r="O948" s="305"/>
      <c r="P948" s="305"/>
      <c r="Q948" s="305"/>
      <c r="R948" s="305"/>
      <c r="S948" s="305"/>
      <c r="T948" s="305"/>
      <c r="U948" s="305"/>
      <c r="V948" s="305"/>
      <c r="W948" s="305"/>
      <c r="X948" s="305"/>
      <c r="Y948" s="305"/>
      <c r="Z948" s="305"/>
      <c r="AA948" s="305"/>
      <c r="AB948" s="305"/>
      <c r="AC948" s="307"/>
    </row>
    <row r="949" ht="13.5" customHeight="1">
      <c r="A949" s="312"/>
      <c r="B949" s="301"/>
      <c r="C949" s="301"/>
      <c r="D949" s="301"/>
      <c r="E949" s="301"/>
      <c r="F949" s="301"/>
      <c r="G949" s="301"/>
      <c r="H949" s="301"/>
      <c r="I949" s="301"/>
      <c r="J949" s="301"/>
      <c r="K949" s="301"/>
      <c r="L949" s="302"/>
      <c r="M949" s="302"/>
      <c r="N949" s="302"/>
      <c r="O949" s="302"/>
      <c r="P949" s="302"/>
      <c r="Q949" s="302"/>
      <c r="R949" s="302"/>
      <c r="S949" s="302"/>
      <c r="T949" s="302"/>
      <c r="U949" s="302"/>
      <c r="V949" s="302"/>
      <c r="W949" s="302"/>
      <c r="X949" s="302"/>
      <c r="Y949" s="302"/>
      <c r="Z949" s="302"/>
      <c r="AA949" s="302"/>
      <c r="AB949" s="302"/>
      <c r="AC949" s="303"/>
    </row>
    <row r="950" ht="13.5" customHeight="1">
      <c r="A950" s="326"/>
      <c r="B950" s="15"/>
      <c r="C950" s="7"/>
      <c r="D950" s="9"/>
      <c r="E950" s="13"/>
      <c r="F950" s="13"/>
      <c r="G950" s="308"/>
      <c r="H950" s="308"/>
      <c r="I950" s="7"/>
      <c r="J950" s="9"/>
      <c r="K950" s="7"/>
      <c r="L950" s="305"/>
      <c r="M950" s="305"/>
      <c r="N950" s="305"/>
      <c r="O950" s="305"/>
      <c r="P950" s="305"/>
      <c r="Q950" s="305"/>
      <c r="R950" s="305"/>
      <c r="S950" s="305"/>
      <c r="T950" s="305"/>
      <c r="U950" s="305"/>
      <c r="V950" s="305"/>
      <c r="W950" s="305"/>
      <c r="X950" s="305"/>
      <c r="Y950" s="305"/>
      <c r="Z950" s="305"/>
      <c r="AA950" s="305"/>
      <c r="AB950" s="305"/>
      <c r="AC950" s="307"/>
    </row>
    <row r="951" ht="13.5" customHeight="1">
      <c r="A951" s="312"/>
      <c r="B951" s="301"/>
      <c r="C951" s="301"/>
      <c r="D951" s="301"/>
      <c r="E951" s="301"/>
      <c r="F951" s="301"/>
      <c r="G951" s="301"/>
      <c r="H951" s="301"/>
      <c r="I951" s="301"/>
      <c r="J951" s="301"/>
      <c r="K951" s="301"/>
      <c r="L951" s="302"/>
      <c r="M951" s="302"/>
      <c r="N951" s="302"/>
      <c r="O951" s="302"/>
      <c r="P951" s="302"/>
      <c r="Q951" s="302"/>
      <c r="R951" s="302"/>
      <c r="S951" s="302"/>
      <c r="T951" s="302"/>
      <c r="U951" s="302"/>
      <c r="V951" s="302"/>
      <c r="W951" s="302"/>
      <c r="X951" s="302"/>
      <c r="Y951" s="302"/>
      <c r="Z951" s="302"/>
      <c r="AA951" s="302"/>
      <c r="AB951" s="302"/>
      <c r="AC951" s="303"/>
    </row>
    <row r="952" ht="13.5" customHeight="1">
      <c r="A952" s="326"/>
      <c r="B952" s="15"/>
      <c r="C952" s="7"/>
      <c r="D952" s="9"/>
      <c r="E952" s="13"/>
      <c r="F952" s="13"/>
      <c r="G952" s="308"/>
      <c r="H952" s="308"/>
      <c r="I952" s="7"/>
      <c r="J952" s="9"/>
      <c r="K952" s="7"/>
      <c r="L952" s="305"/>
      <c r="M952" s="305"/>
      <c r="N952" s="305"/>
      <c r="O952" s="305"/>
      <c r="P952" s="305"/>
      <c r="Q952" s="305"/>
      <c r="R952" s="305"/>
      <c r="S952" s="305"/>
      <c r="T952" s="305"/>
      <c r="U952" s="305"/>
      <c r="V952" s="305"/>
      <c r="W952" s="305"/>
      <c r="X952" s="305"/>
      <c r="Y952" s="305"/>
      <c r="Z952" s="305"/>
      <c r="AA952" s="305"/>
      <c r="AB952" s="305"/>
      <c r="AC952" s="307"/>
    </row>
    <row r="953" ht="13.5" customHeight="1">
      <c r="A953" s="312"/>
      <c r="B953" s="301"/>
      <c r="C953" s="301"/>
      <c r="D953" s="301"/>
      <c r="E953" s="301"/>
      <c r="F953" s="301"/>
      <c r="G953" s="301"/>
      <c r="H953" s="301"/>
      <c r="I953" s="301"/>
      <c r="J953" s="301"/>
      <c r="K953" s="301"/>
      <c r="L953" s="302"/>
      <c r="M953" s="302"/>
      <c r="N953" s="302"/>
      <c r="O953" s="302"/>
      <c r="P953" s="302"/>
      <c r="Q953" s="302"/>
      <c r="R953" s="302"/>
      <c r="S953" s="302"/>
      <c r="T953" s="302"/>
      <c r="U953" s="302"/>
      <c r="V953" s="302"/>
      <c r="W953" s="302"/>
      <c r="X953" s="302"/>
      <c r="Y953" s="302"/>
      <c r="Z953" s="302"/>
      <c r="AA953" s="302"/>
      <c r="AB953" s="302"/>
      <c r="AC953" s="303"/>
    </row>
    <row r="954" ht="13.5" customHeight="1">
      <c r="A954" s="326"/>
      <c r="B954" s="15"/>
      <c r="C954" s="7"/>
      <c r="D954" s="9"/>
      <c r="E954" s="13"/>
      <c r="F954" s="13"/>
      <c r="G954" s="308"/>
      <c r="H954" s="308"/>
      <c r="I954" s="7"/>
      <c r="J954" s="9"/>
      <c r="K954" s="7"/>
      <c r="L954" s="305"/>
      <c r="M954" s="305"/>
      <c r="N954" s="305"/>
      <c r="O954" s="305"/>
      <c r="P954" s="305"/>
      <c r="Q954" s="305"/>
      <c r="R954" s="305"/>
      <c r="S954" s="305"/>
      <c r="T954" s="305"/>
      <c r="U954" s="305"/>
      <c r="V954" s="305"/>
      <c r="W954" s="305"/>
      <c r="X954" s="305"/>
      <c r="Y954" s="305"/>
      <c r="Z954" s="305"/>
      <c r="AA954" s="305"/>
      <c r="AB954" s="305"/>
      <c r="AC954" s="307"/>
    </row>
    <row r="955" ht="13.5" customHeight="1">
      <c r="A955" s="312"/>
      <c r="B955" s="301"/>
      <c r="C955" s="301"/>
      <c r="D955" s="301"/>
      <c r="E955" s="301"/>
      <c r="F955" s="301"/>
      <c r="G955" s="301"/>
      <c r="H955" s="301"/>
      <c r="I955" s="301"/>
      <c r="J955" s="301"/>
      <c r="K955" s="301"/>
      <c r="L955" s="302"/>
      <c r="M955" s="302"/>
      <c r="N955" s="302"/>
      <c r="O955" s="302"/>
      <c r="P955" s="302"/>
      <c r="Q955" s="302"/>
      <c r="R955" s="302"/>
      <c r="S955" s="302"/>
      <c r="T955" s="302"/>
      <c r="U955" s="302"/>
      <c r="V955" s="302"/>
      <c r="W955" s="302"/>
      <c r="X955" s="302"/>
      <c r="Y955" s="302"/>
      <c r="Z955" s="302"/>
      <c r="AA955" s="302"/>
      <c r="AB955" s="302"/>
      <c r="AC955" s="303"/>
    </row>
    <row r="956" ht="13.5" customHeight="1">
      <c r="A956" s="326"/>
      <c r="B956" s="15"/>
      <c r="C956" s="7"/>
      <c r="D956" s="9"/>
      <c r="E956" s="13"/>
      <c r="F956" s="13"/>
      <c r="G956" s="308"/>
      <c r="H956" s="308"/>
      <c r="I956" s="7"/>
      <c r="J956" s="9"/>
      <c r="K956" s="7"/>
      <c r="L956" s="305"/>
      <c r="M956" s="305"/>
      <c r="N956" s="305"/>
      <c r="O956" s="305"/>
      <c r="P956" s="305"/>
      <c r="Q956" s="305"/>
      <c r="R956" s="305"/>
      <c r="S956" s="305"/>
      <c r="T956" s="305"/>
      <c r="U956" s="305"/>
      <c r="V956" s="305"/>
      <c r="W956" s="305"/>
      <c r="X956" s="305"/>
      <c r="Y956" s="305"/>
      <c r="Z956" s="305"/>
      <c r="AA956" s="305"/>
      <c r="AB956" s="305"/>
      <c r="AC956" s="307"/>
    </row>
    <row r="957" ht="13.5" customHeight="1">
      <c r="A957" s="312"/>
      <c r="B957" s="301"/>
      <c r="C957" s="301"/>
      <c r="D957" s="301"/>
      <c r="E957" s="301"/>
      <c r="F957" s="301"/>
      <c r="G957" s="301"/>
      <c r="H957" s="301"/>
      <c r="I957" s="301"/>
      <c r="J957" s="301"/>
      <c r="K957" s="301"/>
      <c r="L957" s="302"/>
      <c r="M957" s="302"/>
      <c r="N957" s="302"/>
      <c r="O957" s="302"/>
      <c r="P957" s="302"/>
      <c r="Q957" s="302"/>
      <c r="R957" s="302"/>
      <c r="S957" s="302"/>
      <c r="T957" s="302"/>
      <c r="U957" s="302"/>
      <c r="V957" s="302"/>
      <c r="W957" s="302"/>
      <c r="X957" s="302"/>
      <c r="Y957" s="302"/>
      <c r="Z957" s="302"/>
      <c r="AA957" s="302"/>
      <c r="AB957" s="302"/>
      <c r="AC957" s="303"/>
    </row>
    <row r="958" ht="13.5" customHeight="1">
      <c r="A958" s="326"/>
      <c r="B958" s="15"/>
      <c r="C958" s="7"/>
      <c r="D958" s="9"/>
      <c r="E958" s="13"/>
      <c r="F958" s="13"/>
      <c r="G958" s="308"/>
      <c r="H958" s="308"/>
      <c r="I958" s="7"/>
      <c r="J958" s="9"/>
      <c r="K958" s="7"/>
      <c r="L958" s="305"/>
      <c r="M958" s="305"/>
      <c r="N958" s="305"/>
      <c r="O958" s="305"/>
      <c r="P958" s="305"/>
      <c r="Q958" s="305"/>
      <c r="R958" s="305"/>
      <c r="S958" s="305"/>
      <c r="T958" s="305"/>
      <c r="U958" s="305"/>
      <c r="V958" s="305"/>
      <c r="W958" s="305"/>
      <c r="X958" s="305"/>
      <c r="Y958" s="305"/>
      <c r="Z958" s="305"/>
      <c r="AA958" s="305"/>
      <c r="AB958" s="305"/>
      <c r="AC958" s="307"/>
    </row>
    <row r="959" ht="13.5" customHeight="1">
      <c r="A959" s="312"/>
      <c r="B959" s="301"/>
      <c r="C959" s="301"/>
      <c r="D959" s="301"/>
      <c r="E959" s="301"/>
      <c r="F959" s="301"/>
      <c r="G959" s="301"/>
      <c r="H959" s="301"/>
      <c r="I959" s="301"/>
      <c r="J959" s="301"/>
      <c r="K959" s="301"/>
      <c r="L959" s="302"/>
      <c r="M959" s="302"/>
      <c r="N959" s="302"/>
      <c r="O959" s="302"/>
      <c r="P959" s="302"/>
      <c r="Q959" s="302"/>
      <c r="R959" s="302"/>
      <c r="S959" s="302"/>
      <c r="T959" s="302"/>
      <c r="U959" s="302"/>
      <c r="V959" s="302"/>
      <c r="W959" s="302"/>
      <c r="X959" s="302"/>
      <c r="Y959" s="302"/>
      <c r="Z959" s="302"/>
      <c r="AA959" s="302"/>
      <c r="AB959" s="302"/>
      <c r="AC959" s="303"/>
    </row>
    <row r="960" ht="13.5" customHeight="1">
      <c r="A960" s="326"/>
      <c r="B960" s="15"/>
      <c r="C960" s="7"/>
      <c r="D960" s="9"/>
      <c r="E960" s="13"/>
      <c r="F960" s="13"/>
      <c r="G960" s="308"/>
      <c r="H960" s="308"/>
      <c r="I960" s="7"/>
      <c r="J960" s="9"/>
      <c r="K960" s="7"/>
      <c r="L960" s="305"/>
      <c r="M960" s="305"/>
      <c r="N960" s="305"/>
      <c r="O960" s="305"/>
      <c r="P960" s="305"/>
      <c r="Q960" s="305"/>
      <c r="R960" s="305"/>
      <c r="S960" s="305"/>
      <c r="T960" s="305"/>
      <c r="U960" s="305"/>
      <c r="V960" s="305"/>
      <c r="W960" s="305"/>
      <c r="X960" s="305"/>
      <c r="Y960" s="305"/>
      <c r="Z960" s="305"/>
      <c r="AA960" s="305"/>
      <c r="AB960" s="305"/>
      <c r="AC960" s="307"/>
    </row>
    <row r="961" ht="13.5" customHeight="1">
      <c r="A961" s="312"/>
      <c r="B961" s="301"/>
      <c r="C961" s="301"/>
      <c r="D961" s="301"/>
      <c r="E961" s="301"/>
      <c r="F961" s="301"/>
      <c r="G961" s="301"/>
      <c r="H961" s="301"/>
      <c r="I961" s="301"/>
      <c r="J961" s="301"/>
      <c r="K961" s="301"/>
      <c r="L961" s="302"/>
      <c r="M961" s="302"/>
      <c r="N961" s="302"/>
      <c r="O961" s="302"/>
      <c r="P961" s="302"/>
      <c r="Q961" s="302"/>
      <c r="R961" s="302"/>
      <c r="S961" s="302"/>
      <c r="T961" s="302"/>
      <c r="U961" s="302"/>
      <c r="V961" s="302"/>
      <c r="W961" s="302"/>
      <c r="X961" s="302"/>
      <c r="Y961" s="302"/>
      <c r="Z961" s="302"/>
      <c r="AA961" s="302"/>
      <c r="AB961" s="302"/>
      <c r="AC961" s="303"/>
    </row>
    <row r="962" ht="13.5" customHeight="1">
      <c r="A962" s="326"/>
      <c r="B962" s="15"/>
      <c r="C962" s="7"/>
      <c r="D962" s="9"/>
      <c r="E962" s="13"/>
      <c r="F962" s="13"/>
      <c r="G962" s="308"/>
      <c r="H962" s="308"/>
      <c r="I962" s="7"/>
      <c r="J962" s="9"/>
      <c r="K962" s="7"/>
      <c r="L962" s="305"/>
      <c r="M962" s="305"/>
      <c r="N962" s="305"/>
      <c r="O962" s="305"/>
      <c r="P962" s="305"/>
      <c r="Q962" s="305"/>
      <c r="R962" s="305"/>
      <c r="S962" s="305"/>
      <c r="T962" s="305"/>
      <c r="U962" s="305"/>
      <c r="V962" s="305"/>
      <c r="W962" s="305"/>
      <c r="X962" s="305"/>
      <c r="Y962" s="305"/>
      <c r="Z962" s="305"/>
      <c r="AA962" s="305"/>
      <c r="AB962" s="305"/>
      <c r="AC962" s="307"/>
    </row>
    <row r="963" ht="13.5" customHeight="1">
      <c r="A963" s="312"/>
      <c r="B963" s="301"/>
      <c r="C963" s="301"/>
      <c r="D963" s="301"/>
      <c r="E963" s="301"/>
      <c r="F963" s="301"/>
      <c r="G963" s="301"/>
      <c r="H963" s="301"/>
      <c r="I963" s="301"/>
      <c r="J963" s="301"/>
      <c r="K963" s="301"/>
      <c r="L963" s="302"/>
      <c r="M963" s="302"/>
      <c r="N963" s="302"/>
      <c r="O963" s="302"/>
      <c r="P963" s="302"/>
      <c r="Q963" s="302"/>
      <c r="R963" s="302"/>
      <c r="S963" s="302"/>
      <c r="T963" s="302"/>
      <c r="U963" s="302"/>
      <c r="V963" s="302"/>
      <c r="W963" s="302"/>
      <c r="X963" s="302"/>
      <c r="Y963" s="302"/>
      <c r="Z963" s="302"/>
      <c r="AA963" s="302"/>
      <c r="AB963" s="302"/>
      <c r="AC963" s="303"/>
    </row>
    <row r="964" ht="13.5" customHeight="1">
      <c r="A964" s="326"/>
      <c r="B964" s="15"/>
      <c r="C964" s="7"/>
      <c r="D964" s="9"/>
      <c r="E964" s="13"/>
      <c r="F964" s="13"/>
      <c r="G964" s="308"/>
      <c r="H964" s="308"/>
      <c r="I964" s="7"/>
      <c r="J964" s="9"/>
      <c r="K964" s="7"/>
      <c r="L964" s="305"/>
      <c r="M964" s="305"/>
      <c r="N964" s="305"/>
      <c r="O964" s="305"/>
      <c r="P964" s="305"/>
      <c r="Q964" s="305"/>
      <c r="R964" s="305"/>
      <c r="S964" s="305"/>
      <c r="T964" s="305"/>
      <c r="U964" s="305"/>
      <c r="V964" s="305"/>
      <c r="W964" s="305"/>
      <c r="X964" s="305"/>
      <c r="Y964" s="305"/>
      <c r="Z964" s="305"/>
      <c r="AA964" s="305"/>
      <c r="AB964" s="305"/>
      <c r="AC964" s="307"/>
    </row>
    <row r="965" ht="13.5" customHeight="1">
      <c r="A965" s="312"/>
      <c r="B965" s="301"/>
      <c r="C965" s="301"/>
      <c r="D965" s="301"/>
      <c r="E965" s="301"/>
      <c r="F965" s="301"/>
      <c r="G965" s="301"/>
      <c r="H965" s="301"/>
      <c r="I965" s="301"/>
      <c r="J965" s="301"/>
      <c r="K965" s="301"/>
      <c r="L965" s="302"/>
      <c r="M965" s="302"/>
      <c r="N965" s="302"/>
      <c r="O965" s="302"/>
      <c r="P965" s="302"/>
      <c r="Q965" s="302"/>
      <c r="R965" s="302"/>
      <c r="S965" s="302"/>
      <c r="T965" s="302"/>
      <c r="U965" s="302"/>
      <c r="V965" s="302"/>
      <c r="W965" s="302"/>
      <c r="X965" s="302"/>
      <c r="Y965" s="302"/>
      <c r="Z965" s="302"/>
      <c r="AA965" s="302"/>
      <c r="AB965" s="302"/>
      <c r="AC965" s="303"/>
    </row>
    <row r="966" ht="13.5" customHeight="1">
      <c r="A966" s="326"/>
      <c r="B966" s="15"/>
      <c r="C966" s="7"/>
      <c r="D966" s="9"/>
      <c r="E966" s="13"/>
      <c r="F966" s="13"/>
      <c r="G966" s="308"/>
      <c r="H966" s="308"/>
      <c r="I966" s="7"/>
      <c r="J966" s="9"/>
      <c r="K966" s="7"/>
      <c r="L966" s="305"/>
      <c r="M966" s="305"/>
      <c r="N966" s="305"/>
      <c r="O966" s="305"/>
      <c r="P966" s="305"/>
      <c r="Q966" s="305"/>
      <c r="R966" s="305"/>
      <c r="S966" s="305"/>
      <c r="T966" s="305"/>
      <c r="U966" s="305"/>
      <c r="V966" s="305"/>
      <c r="W966" s="305"/>
      <c r="X966" s="305"/>
      <c r="Y966" s="305"/>
      <c r="Z966" s="305"/>
      <c r="AA966" s="305"/>
      <c r="AB966" s="305"/>
      <c r="AC966" s="307"/>
    </row>
    <row r="967" ht="13.5" customHeight="1">
      <c r="A967" s="312"/>
      <c r="B967" s="301"/>
      <c r="C967" s="301"/>
      <c r="D967" s="301"/>
      <c r="E967" s="301"/>
      <c r="F967" s="301"/>
      <c r="G967" s="301"/>
      <c r="H967" s="301"/>
      <c r="I967" s="301"/>
      <c r="J967" s="301"/>
      <c r="K967" s="301"/>
      <c r="L967" s="302"/>
      <c r="M967" s="302"/>
      <c r="N967" s="302"/>
      <c r="O967" s="302"/>
      <c r="P967" s="302"/>
      <c r="Q967" s="302"/>
      <c r="R967" s="302"/>
      <c r="S967" s="302"/>
      <c r="T967" s="302"/>
      <c r="U967" s="302"/>
      <c r="V967" s="302"/>
      <c r="W967" s="302"/>
      <c r="X967" s="302"/>
      <c r="Y967" s="302"/>
      <c r="Z967" s="302"/>
      <c r="AA967" s="302"/>
      <c r="AB967" s="302"/>
      <c r="AC967" s="303"/>
    </row>
    <row r="968" ht="13.5" customHeight="1">
      <c r="A968" s="326"/>
      <c r="B968" s="15"/>
      <c r="C968" s="7"/>
      <c r="D968" s="9"/>
      <c r="E968" s="13"/>
      <c r="F968" s="13"/>
      <c r="G968" s="308"/>
      <c r="H968" s="308"/>
      <c r="I968" s="7"/>
      <c r="J968" s="9"/>
      <c r="K968" s="7"/>
      <c r="L968" s="305"/>
      <c r="M968" s="305"/>
      <c r="N968" s="305"/>
      <c r="O968" s="305"/>
      <c r="P968" s="305"/>
      <c r="Q968" s="305"/>
      <c r="R968" s="305"/>
      <c r="S968" s="305"/>
      <c r="T968" s="305"/>
      <c r="U968" s="305"/>
      <c r="V968" s="305"/>
      <c r="W968" s="305"/>
      <c r="X968" s="305"/>
      <c r="Y968" s="305"/>
      <c r="Z968" s="305"/>
      <c r="AA968" s="305"/>
      <c r="AB968" s="305"/>
      <c r="AC968" s="307"/>
    </row>
    <row r="969" ht="13.5" customHeight="1">
      <c r="A969" s="312"/>
      <c r="B969" s="301"/>
      <c r="C969" s="301"/>
      <c r="D969" s="301"/>
      <c r="E969" s="301"/>
      <c r="F969" s="301"/>
      <c r="G969" s="301"/>
      <c r="H969" s="301"/>
      <c r="I969" s="301"/>
      <c r="J969" s="301"/>
      <c r="K969" s="301"/>
      <c r="L969" s="302"/>
      <c r="M969" s="302"/>
      <c r="N969" s="302"/>
      <c r="O969" s="302"/>
      <c r="P969" s="302"/>
      <c r="Q969" s="302"/>
      <c r="R969" s="302"/>
      <c r="S969" s="302"/>
      <c r="T969" s="302"/>
      <c r="U969" s="302"/>
      <c r="V969" s="302"/>
      <c r="W969" s="302"/>
      <c r="X969" s="302"/>
      <c r="Y969" s="302"/>
      <c r="Z969" s="302"/>
      <c r="AA969" s="302"/>
      <c r="AB969" s="302"/>
      <c r="AC969" s="303"/>
    </row>
    <row r="970" ht="13.5" customHeight="1">
      <c r="A970" s="326"/>
      <c r="B970" s="15"/>
      <c r="C970" s="7"/>
      <c r="D970" s="9"/>
      <c r="E970" s="13"/>
      <c r="F970" s="13"/>
      <c r="G970" s="308"/>
      <c r="H970" s="308"/>
      <c r="I970" s="7"/>
      <c r="J970" s="9"/>
      <c r="K970" s="7"/>
      <c r="L970" s="305"/>
      <c r="M970" s="305"/>
      <c r="N970" s="305"/>
      <c r="O970" s="305"/>
      <c r="P970" s="305"/>
      <c r="Q970" s="305"/>
      <c r="R970" s="305"/>
      <c r="S970" s="305"/>
      <c r="T970" s="305"/>
      <c r="U970" s="305"/>
      <c r="V970" s="305"/>
      <c r="W970" s="305"/>
      <c r="X970" s="305"/>
      <c r="Y970" s="305"/>
      <c r="Z970" s="305"/>
      <c r="AA970" s="305"/>
      <c r="AB970" s="305"/>
      <c r="AC970" s="307"/>
    </row>
    <row r="971" ht="13.5" customHeight="1">
      <c r="A971" s="312"/>
      <c r="B971" s="301"/>
      <c r="C971" s="301"/>
      <c r="D971" s="301"/>
      <c r="E971" s="301"/>
      <c r="F971" s="301"/>
      <c r="G971" s="301"/>
      <c r="H971" s="301"/>
      <c r="I971" s="301"/>
      <c r="J971" s="301"/>
      <c r="K971" s="301"/>
      <c r="L971" s="302"/>
      <c r="M971" s="302"/>
      <c r="N971" s="302"/>
      <c r="O971" s="302"/>
      <c r="P971" s="302"/>
      <c r="Q971" s="302"/>
      <c r="R971" s="302"/>
      <c r="S971" s="302"/>
      <c r="T971" s="302"/>
      <c r="U971" s="302"/>
      <c r="V971" s="302"/>
      <c r="W971" s="302"/>
      <c r="X971" s="302"/>
      <c r="Y971" s="302"/>
      <c r="Z971" s="302"/>
      <c r="AA971" s="302"/>
      <c r="AB971" s="302"/>
      <c r="AC971" s="303"/>
    </row>
    <row r="972" ht="13.5" customHeight="1">
      <c r="A972" s="326"/>
      <c r="B972" s="15"/>
      <c r="C972" s="7"/>
      <c r="D972" s="9"/>
      <c r="E972" s="13"/>
      <c r="F972" s="13"/>
      <c r="G972" s="308"/>
      <c r="H972" s="308"/>
      <c r="I972" s="7"/>
      <c r="J972" s="9"/>
      <c r="K972" s="7"/>
      <c r="L972" s="305"/>
      <c r="M972" s="305"/>
      <c r="N972" s="305"/>
      <c r="O972" s="305"/>
      <c r="P972" s="305"/>
      <c r="Q972" s="305"/>
      <c r="R972" s="305"/>
      <c r="S972" s="305"/>
      <c r="T972" s="305"/>
      <c r="U972" s="305"/>
      <c r="V972" s="305"/>
      <c r="W972" s="305"/>
      <c r="X972" s="305"/>
      <c r="Y972" s="305"/>
      <c r="Z972" s="305"/>
      <c r="AA972" s="305"/>
      <c r="AB972" s="305"/>
      <c r="AC972" s="307"/>
    </row>
    <row r="973" ht="13.5" customHeight="1">
      <c r="A973" s="312"/>
      <c r="B973" s="301"/>
      <c r="C973" s="301"/>
      <c r="D973" s="301"/>
      <c r="E973" s="301"/>
      <c r="F973" s="301"/>
      <c r="G973" s="301"/>
      <c r="H973" s="301"/>
      <c r="I973" s="301"/>
      <c r="J973" s="301"/>
      <c r="K973" s="301"/>
      <c r="L973" s="302"/>
      <c r="M973" s="302"/>
      <c r="N973" s="302"/>
      <c r="O973" s="302"/>
      <c r="P973" s="302"/>
      <c r="Q973" s="302"/>
      <c r="R973" s="302"/>
      <c r="S973" s="302"/>
      <c r="T973" s="302"/>
      <c r="U973" s="302"/>
      <c r="V973" s="302"/>
      <c r="W973" s="302"/>
      <c r="X973" s="302"/>
      <c r="Y973" s="302"/>
      <c r="Z973" s="302"/>
      <c r="AA973" s="302"/>
      <c r="AB973" s="302"/>
      <c r="AC973" s="303"/>
    </row>
    <row r="974" ht="13.5" customHeight="1">
      <c r="A974" s="326"/>
      <c r="B974" s="15"/>
      <c r="C974" s="7"/>
      <c r="D974" s="9"/>
      <c r="E974" s="13"/>
      <c r="F974" s="13"/>
      <c r="G974" s="308"/>
      <c r="H974" s="308"/>
      <c r="I974" s="7"/>
      <c r="J974" s="9"/>
      <c r="K974" s="7"/>
      <c r="L974" s="305"/>
      <c r="M974" s="305"/>
      <c r="N974" s="305"/>
      <c r="O974" s="305"/>
      <c r="P974" s="305"/>
      <c r="Q974" s="305"/>
      <c r="R974" s="305"/>
      <c r="S974" s="305"/>
      <c r="T974" s="305"/>
      <c r="U974" s="305"/>
      <c r="V974" s="305"/>
      <c r="W974" s="305"/>
      <c r="X974" s="305"/>
      <c r="Y974" s="305"/>
      <c r="Z974" s="305"/>
      <c r="AA974" s="305"/>
      <c r="AB974" s="305"/>
      <c r="AC974" s="307"/>
    </row>
    <row r="975" ht="13.5" customHeight="1">
      <c r="A975" s="312"/>
      <c r="B975" s="301"/>
      <c r="C975" s="301"/>
      <c r="D975" s="301"/>
      <c r="E975" s="301"/>
      <c r="F975" s="301"/>
      <c r="G975" s="301"/>
      <c r="H975" s="301"/>
      <c r="I975" s="301"/>
      <c r="J975" s="301"/>
      <c r="K975" s="301"/>
      <c r="L975" s="302"/>
      <c r="M975" s="302"/>
      <c r="N975" s="302"/>
      <c r="O975" s="302"/>
      <c r="P975" s="302"/>
      <c r="Q975" s="302"/>
      <c r="R975" s="302"/>
      <c r="S975" s="302"/>
      <c r="T975" s="302"/>
      <c r="U975" s="302"/>
      <c r="V975" s="302"/>
      <c r="W975" s="302"/>
      <c r="X975" s="302"/>
      <c r="Y975" s="302"/>
      <c r="Z975" s="302"/>
      <c r="AA975" s="302"/>
      <c r="AB975" s="302"/>
      <c r="AC975" s="303"/>
    </row>
    <row r="976" ht="13.5" customHeight="1">
      <c r="A976" s="326"/>
      <c r="B976" s="15"/>
      <c r="C976" s="7"/>
      <c r="D976" s="9"/>
      <c r="E976" s="13"/>
      <c r="F976" s="13"/>
      <c r="G976" s="308"/>
      <c r="H976" s="308"/>
      <c r="I976" s="7"/>
      <c r="J976" s="9"/>
      <c r="K976" s="7"/>
      <c r="L976" s="305"/>
      <c r="M976" s="305"/>
      <c r="N976" s="305"/>
      <c r="O976" s="305"/>
      <c r="P976" s="305"/>
      <c r="Q976" s="305"/>
      <c r="R976" s="305"/>
      <c r="S976" s="305"/>
      <c r="T976" s="305"/>
      <c r="U976" s="305"/>
      <c r="V976" s="305"/>
      <c r="W976" s="305"/>
      <c r="X976" s="305"/>
      <c r="Y976" s="305"/>
      <c r="Z976" s="305"/>
      <c r="AA976" s="305"/>
      <c r="AB976" s="305"/>
      <c r="AC976" s="307"/>
    </row>
    <row r="977" ht="13.5" customHeight="1">
      <c r="A977" s="312"/>
      <c r="B977" s="301"/>
      <c r="C977" s="301"/>
      <c r="D977" s="301"/>
      <c r="E977" s="301"/>
      <c r="F977" s="301"/>
      <c r="G977" s="301"/>
      <c r="H977" s="301"/>
      <c r="I977" s="301"/>
      <c r="J977" s="301"/>
      <c r="K977" s="301"/>
      <c r="L977" s="302"/>
      <c r="M977" s="302"/>
      <c r="N977" s="302"/>
      <c r="O977" s="302"/>
      <c r="P977" s="302"/>
      <c r="Q977" s="302"/>
      <c r="R977" s="302"/>
      <c r="S977" s="302"/>
      <c r="T977" s="302"/>
      <c r="U977" s="302"/>
      <c r="V977" s="302"/>
      <c r="W977" s="302"/>
      <c r="X977" s="302"/>
      <c r="Y977" s="302"/>
      <c r="Z977" s="302"/>
      <c r="AA977" s="302"/>
      <c r="AB977" s="302"/>
      <c r="AC977" s="303"/>
    </row>
    <row r="978" ht="13.5" customHeight="1">
      <c r="A978" s="326"/>
      <c r="B978" s="15"/>
      <c r="C978" s="7"/>
      <c r="D978" s="9"/>
      <c r="E978" s="13"/>
      <c r="F978" s="13"/>
      <c r="G978" s="308"/>
      <c r="H978" s="308"/>
      <c r="I978" s="7"/>
      <c r="J978" s="9"/>
      <c r="K978" s="7"/>
      <c r="L978" s="305"/>
      <c r="M978" s="305"/>
      <c r="N978" s="305"/>
      <c r="O978" s="305"/>
      <c r="P978" s="305"/>
      <c r="Q978" s="305"/>
      <c r="R978" s="305"/>
      <c r="S978" s="305"/>
      <c r="T978" s="305"/>
      <c r="U978" s="305"/>
      <c r="V978" s="305"/>
      <c r="W978" s="305"/>
      <c r="X978" s="305"/>
      <c r="Y978" s="305"/>
      <c r="Z978" s="305"/>
      <c r="AA978" s="305"/>
      <c r="AB978" s="305"/>
      <c r="AC978" s="307"/>
    </row>
    <row r="979" ht="13.5" customHeight="1">
      <c r="A979" s="312"/>
      <c r="B979" s="301"/>
      <c r="C979" s="301"/>
      <c r="D979" s="301"/>
      <c r="E979" s="301"/>
      <c r="F979" s="301"/>
      <c r="G979" s="301"/>
      <c r="H979" s="301"/>
      <c r="I979" s="301"/>
      <c r="J979" s="301"/>
      <c r="K979" s="301"/>
      <c r="L979" s="302"/>
      <c r="M979" s="302"/>
      <c r="N979" s="302"/>
      <c r="O979" s="302"/>
      <c r="P979" s="302"/>
      <c r="Q979" s="302"/>
      <c r="R979" s="302"/>
      <c r="S979" s="302"/>
      <c r="T979" s="302"/>
      <c r="U979" s="302"/>
      <c r="V979" s="302"/>
      <c r="W979" s="302"/>
      <c r="X979" s="302"/>
      <c r="Y979" s="302"/>
      <c r="Z979" s="302"/>
      <c r="AA979" s="302"/>
      <c r="AB979" s="302"/>
      <c r="AC979" s="303"/>
    </row>
    <row r="980" ht="13.5" customHeight="1">
      <c r="A980" s="326"/>
      <c r="B980" s="15"/>
      <c r="C980" s="7"/>
      <c r="D980" s="9"/>
      <c r="E980" s="13"/>
      <c r="F980" s="13"/>
      <c r="G980" s="308"/>
      <c r="H980" s="308"/>
      <c r="I980" s="7"/>
      <c r="J980" s="9"/>
      <c r="K980" s="7"/>
      <c r="L980" s="305"/>
      <c r="M980" s="305"/>
      <c r="N980" s="305"/>
      <c r="O980" s="305"/>
      <c r="P980" s="305"/>
      <c r="Q980" s="305"/>
      <c r="R980" s="305"/>
      <c r="S980" s="305"/>
      <c r="T980" s="305"/>
      <c r="U980" s="305"/>
      <c r="V980" s="305"/>
      <c r="W980" s="305"/>
      <c r="X980" s="305"/>
      <c r="Y980" s="305"/>
      <c r="Z980" s="305"/>
      <c r="AA980" s="305"/>
      <c r="AB980" s="305"/>
      <c r="AC980" s="307"/>
    </row>
    <row r="981" ht="13.5" customHeight="1">
      <c r="A981" s="312"/>
      <c r="B981" s="301"/>
      <c r="C981" s="301"/>
      <c r="D981" s="301"/>
      <c r="E981" s="301"/>
      <c r="F981" s="301"/>
      <c r="G981" s="301"/>
      <c r="H981" s="301"/>
      <c r="I981" s="301"/>
      <c r="J981" s="301"/>
      <c r="K981" s="301"/>
      <c r="L981" s="302"/>
      <c r="M981" s="302"/>
      <c r="N981" s="302"/>
      <c r="O981" s="302"/>
      <c r="P981" s="302"/>
      <c r="Q981" s="302"/>
      <c r="R981" s="302"/>
      <c r="S981" s="302"/>
      <c r="T981" s="302"/>
      <c r="U981" s="302"/>
      <c r="V981" s="302"/>
      <c r="W981" s="302"/>
      <c r="X981" s="302"/>
      <c r="Y981" s="302"/>
      <c r="Z981" s="302"/>
      <c r="AA981" s="302"/>
      <c r="AB981" s="302"/>
      <c r="AC981" s="303"/>
    </row>
    <row r="982" ht="13.5" customHeight="1">
      <c r="A982" s="326"/>
      <c r="B982" s="15"/>
      <c r="C982" s="7"/>
      <c r="D982" s="9"/>
      <c r="E982" s="13"/>
      <c r="F982" s="13"/>
      <c r="G982" s="308"/>
      <c r="H982" s="308"/>
      <c r="I982" s="7"/>
      <c r="J982" s="9"/>
      <c r="K982" s="7"/>
      <c r="L982" s="305"/>
      <c r="M982" s="305"/>
      <c r="N982" s="305"/>
      <c r="O982" s="305"/>
      <c r="P982" s="305"/>
      <c r="Q982" s="305"/>
      <c r="R982" s="305"/>
      <c r="S982" s="305"/>
      <c r="T982" s="305"/>
      <c r="U982" s="305"/>
      <c r="V982" s="305"/>
      <c r="W982" s="305"/>
      <c r="X982" s="305"/>
      <c r="Y982" s="305"/>
      <c r="Z982" s="305"/>
      <c r="AA982" s="305"/>
      <c r="AB982" s="305"/>
      <c r="AC982" s="307"/>
    </row>
    <row r="983" ht="24.0" customHeight="1">
      <c r="A983" s="312"/>
      <c r="B983" s="301"/>
      <c r="C983" s="301"/>
      <c r="D983" s="301"/>
      <c r="E983" s="301"/>
      <c r="F983" s="301"/>
      <c r="G983" s="301"/>
      <c r="H983" s="301"/>
      <c r="I983" s="301"/>
      <c r="J983" s="301"/>
      <c r="K983" s="301"/>
      <c r="L983" s="302"/>
      <c r="M983" s="302"/>
      <c r="N983" s="302"/>
      <c r="O983" s="302"/>
      <c r="P983" s="302"/>
      <c r="Q983" s="302"/>
      <c r="R983" s="302"/>
      <c r="S983" s="302"/>
      <c r="T983" s="302"/>
      <c r="U983" s="302"/>
      <c r="V983" s="302"/>
      <c r="W983" s="302"/>
      <c r="X983" s="302"/>
      <c r="Y983" s="302"/>
      <c r="Z983" s="302"/>
      <c r="AA983" s="302"/>
      <c r="AB983" s="302"/>
      <c r="AC983" s="303"/>
    </row>
    <row r="984" ht="27.75" customHeight="1">
      <c r="A984" s="326"/>
      <c r="B984" s="15"/>
      <c r="C984" s="7"/>
      <c r="D984" s="9"/>
      <c r="E984" s="13"/>
      <c r="F984" s="13"/>
      <c r="G984" s="308"/>
      <c r="H984" s="308"/>
      <c r="I984" s="7"/>
      <c r="J984" s="9"/>
      <c r="K984" s="7"/>
      <c r="L984" s="305"/>
      <c r="M984" s="305"/>
      <c r="N984" s="305"/>
      <c r="O984" s="305"/>
      <c r="P984" s="305"/>
      <c r="Q984" s="305"/>
      <c r="R984" s="305"/>
      <c r="S984" s="305"/>
      <c r="T984" s="305"/>
      <c r="U984" s="305"/>
      <c r="V984" s="305"/>
      <c r="W984" s="305"/>
      <c r="X984" s="305"/>
      <c r="Y984" s="305"/>
      <c r="Z984" s="305"/>
      <c r="AA984" s="305"/>
      <c r="AB984" s="305"/>
      <c r="AC984" s="307"/>
    </row>
    <row r="985" ht="13.5" customHeight="1">
      <c r="A985" s="256"/>
      <c r="B985" s="256"/>
      <c r="C985" s="256"/>
      <c r="D985" s="256"/>
      <c r="E985" s="256"/>
      <c r="F985" s="256"/>
      <c r="G985" s="277"/>
      <c r="H985" s="256"/>
      <c r="I985" s="256"/>
      <c r="J985" s="256"/>
      <c r="K985" s="256"/>
      <c r="L985" s="256"/>
      <c r="M985" s="256"/>
      <c r="N985" s="256"/>
      <c r="O985" s="256"/>
      <c r="P985" s="256"/>
      <c r="Q985" s="256"/>
      <c r="R985" s="256"/>
      <c r="S985" s="256"/>
      <c r="T985" s="256"/>
      <c r="U985" s="256"/>
      <c r="V985" s="256"/>
      <c r="W985" s="256"/>
      <c r="X985" s="256"/>
      <c r="Y985" s="256"/>
      <c r="Z985" s="256"/>
      <c r="AA985" s="256"/>
      <c r="AB985" s="256"/>
      <c r="AC985" s="256"/>
    </row>
  </sheetData>
  <conditionalFormatting sqref="C7:C8 C15">
    <cfRule type="expression" dxfId="7" priority="1">
      <formula>if($G6="Closed",1,0)</formula>
    </cfRule>
  </conditionalFormatting>
  <conditionalFormatting sqref="C7:C8 C15">
    <cfRule type="expression" dxfId="7" priority="2">
      <formula>if($G6="Closed",1,0)</formula>
    </cfRule>
  </conditionalFormatting>
  <conditionalFormatting sqref="C7:C8 C15">
    <cfRule type="expression" dxfId="7" priority="3">
      <formula>if($G8="Closed",1,0)</formula>
    </cfRule>
  </conditionalFormatting>
  <conditionalFormatting sqref="C6 C16">
    <cfRule type="expression" dxfId="7" priority="4">
      <formula>if($G3="Closed",1,0)</formula>
    </cfRule>
  </conditionalFormatting>
  <conditionalFormatting sqref="C6 C16">
    <cfRule type="expression" dxfId="7" priority="5">
      <formula>if($G3="Closed",1,0)</formula>
    </cfRule>
  </conditionalFormatting>
  <conditionalFormatting sqref="D6">
    <cfRule type="expression" dxfId="7" priority="6">
      <formula>if($G4="Closed",1,0)</formula>
    </cfRule>
  </conditionalFormatting>
  <conditionalFormatting sqref="D6">
    <cfRule type="expression" dxfId="7" priority="7">
      <formula>if($G4="Closed",1,0)</formula>
    </cfRule>
  </conditionalFormatting>
  <conditionalFormatting sqref="D7">
    <cfRule type="expression" dxfId="7" priority="8">
      <formula>if($G3="Closed",1,0)</formula>
    </cfRule>
  </conditionalFormatting>
  <conditionalFormatting sqref="C13:C14">
    <cfRule type="expression" dxfId="7" priority="9">
      <formula>if($G10="Closed",1,0)</formula>
    </cfRule>
  </conditionalFormatting>
  <conditionalFormatting sqref="C13:C14">
    <cfRule type="expression" dxfId="7" priority="10">
      <formula>if($G10="Closed",1,0)</formula>
    </cfRule>
  </conditionalFormatting>
  <conditionalFormatting sqref="C10:C11">
    <cfRule type="expression" dxfId="7" priority="11">
      <formula>if($G8="Closed",1,0)</formula>
    </cfRule>
  </conditionalFormatting>
  <conditionalFormatting sqref="C7:C9">
    <cfRule type="expression" dxfId="7" priority="12">
      <formula>if($G5="Closed",1,0)</formula>
    </cfRule>
  </conditionalFormatting>
  <conditionalFormatting sqref="C2:C13 D2:D5">
    <cfRule type="expression" dxfId="7" priority="13">
      <formula>if(#REF!="Closed",1,0)</formula>
    </cfRule>
  </conditionalFormatting>
  <conditionalFormatting sqref="C6:C7">
    <cfRule type="expression" dxfId="7" priority="14">
      <formula>if($G4="Closed",1,0)</formula>
    </cfRule>
  </conditionalFormatting>
  <conditionalFormatting sqref="D8">
    <cfRule type="expression" dxfId="7" priority="15">
      <formula>if($G5="Closed",1,0)</formula>
    </cfRule>
  </conditionalFormatting>
  <conditionalFormatting sqref="D5 D8">
    <cfRule type="expression" dxfId="7" priority="16">
      <formula>if($G2="Closed",1,0)</formula>
    </cfRule>
  </conditionalFormatting>
  <conditionalFormatting sqref="I3">
    <cfRule type="expression" dxfId="7" priority="17">
      <formula>if($G4="Closed",1,0)</formula>
    </cfRule>
  </conditionalFormatting>
  <conditionalFormatting sqref="I3">
    <cfRule type="expression" dxfId="7" priority="18">
      <formula>if($G4="Closed",1,0)</formula>
    </cfRule>
  </conditionalFormatting>
  <conditionalFormatting sqref="I3">
    <cfRule type="expression" dxfId="7" priority="19">
      <formula>if($G4="Closed",1,0)</formula>
    </cfRule>
  </conditionalFormatting>
  <conditionalFormatting sqref="I3">
    <cfRule type="expression" dxfId="7" priority="20">
      <formula>if($G4="Closed",1,0)</formula>
    </cfRule>
  </conditionalFormatting>
  <conditionalFormatting sqref="D11:D12">
    <cfRule type="expression" dxfId="7" priority="21">
      <formula>if($G7="Closed",1,0)</formula>
    </cfRule>
  </conditionalFormatting>
  <conditionalFormatting sqref="D8:D9">
    <cfRule type="expression" dxfId="7" priority="22">
      <formula>if($G8="Closed",1,0)</formula>
    </cfRule>
  </conditionalFormatting>
  <conditionalFormatting sqref="D8:D9">
    <cfRule type="expression" dxfId="7" priority="23">
      <formula>if($G8="Closed",1,0)</formula>
    </cfRule>
  </conditionalFormatting>
  <conditionalFormatting sqref="D9:D12">
    <cfRule type="expression" dxfId="7" priority="24">
      <formula>if($G5="Closed",1,0)</formula>
    </cfRule>
  </conditionalFormatting>
  <conditionalFormatting sqref="D12:D13">
    <cfRule type="expression" dxfId="7" priority="25">
      <formula>if($G6="Closed",1,0)</formula>
    </cfRule>
  </conditionalFormatting>
  <conditionalFormatting sqref="D12:D13">
    <cfRule type="expression" dxfId="7" priority="26">
      <formula>if($G6="Closed",1,0)</formula>
    </cfRule>
  </conditionalFormatting>
  <conditionalFormatting sqref="G984:H984 K984">
    <cfRule type="containsText" dxfId="1" priority="27" operator="containsText" text="Open">
      <formula>NOT(ISERROR(SEARCH(("Open"),(G984))))</formula>
    </cfRule>
  </conditionalFormatting>
  <conditionalFormatting sqref="G984:H984 K984">
    <cfRule type="containsText" dxfId="0" priority="28" operator="containsText" text="Closed">
      <formula>NOT(ISERROR(SEARCH(("Closed"),(G984))))</formula>
    </cfRule>
  </conditionalFormatting>
  <conditionalFormatting sqref="G984:H984 K984">
    <cfRule type="containsText" dxfId="3" priority="29" operator="containsText" text="Monitor">
      <formula>NOT(ISERROR(SEARCH(("Monitor"),(G984))))</formula>
    </cfRule>
  </conditionalFormatting>
  <conditionalFormatting sqref="A983:AC984">
    <cfRule type="notContainsBlanks" dxfId="8" priority="30">
      <formula>LEN(TRIM(A983))&gt;0</formula>
    </cfRule>
  </conditionalFormatting>
  <conditionalFormatting sqref="A984:K984">
    <cfRule type="expression" dxfId="7" priority="31">
      <formula>if($G984="Closed",1,0)</formula>
    </cfRule>
  </conditionalFormatting>
  <conditionalFormatting sqref="G982:H982 K982">
    <cfRule type="containsText" dxfId="1" priority="32" operator="containsText" text="Open">
      <formula>NOT(ISERROR(SEARCH(("Open"),(G982))))</formula>
    </cfRule>
  </conditionalFormatting>
  <conditionalFormatting sqref="G982:H982 K982">
    <cfRule type="containsText" dxfId="0" priority="33" operator="containsText" text="Closed">
      <formula>NOT(ISERROR(SEARCH(("Closed"),(G982))))</formula>
    </cfRule>
  </conditionalFormatting>
  <conditionalFormatting sqref="G982:H982 K982">
    <cfRule type="containsText" dxfId="3" priority="34" operator="containsText" text="Monitor">
      <formula>NOT(ISERROR(SEARCH(("Monitor"),(G982))))</formula>
    </cfRule>
  </conditionalFormatting>
  <conditionalFormatting sqref="A981:AC982">
    <cfRule type="notContainsBlanks" dxfId="8" priority="35">
      <formula>LEN(TRIM(A981))&gt;0</formula>
    </cfRule>
  </conditionalFormatting>
  <conditionalFormatting sqref="A982:K982">
    <cfRule type="expression" dxfId="7" priority="36">
      <formula>if($G982="Closed",1,0)</formula>
    </cfRule>
  </conditionalFormatting>
  <conditionalFormatting sqref="G980:H980 K980">
    <cfRule type="containsText" dxfId="1" priority="37" operator="containsText" text="Open">
      <formula>NOT(ISERROR(SEARCH(("Open"),(G980))))</formula>
    </cfRule>
  </conditionalFormatting>
  <conditionalFormatting sqref="G980:H980 K980">
    <cfRule type="containsText" dxfId="0" priority="38" operator="containsText" text="Closed">
      <formula>NOT(ISERROR(SEARCH(("Closed"),(G980))))</formula>
    </cfRule>
  </conditionalFormatting>
  <conditionalFormatting sqref="G980:H980 K980">
    <cfRule type="containsText" dxfId="3" priority="39" operator="containsText" text="Monitor">
      <formula>NOT(ISERROR(SEARCH(("Monitor"),(G980))))</formula>
    </cfRule>
  </conditionalFormatting>
  <conditionalFormatting sqref="A979:AC980">
    <cfRule type="notContainsBlanks" dxfId="8" priority="40">
      <formula>LEN(TRIM(A979))&gt;0</formula>
    </cfRule>
  </conditionalFormatting>
  <conditionalFormatting sqref="A980:K980">
    <cfRule type="expression" dxfId="7" priority="41">
      <formula>if($G980="Closed",1,0)</formula>
    </cfRule>
  </conditionalFormatting>
  <conditionalFormatting sqref="G978:H978 K978">
    <cfRule type="containsText" dxfId="1" priority="42" operator="containsText" text="Open">
      <formula>NOT(ISERROR(SEARCH(("Open"),(G978))))</formula>
    </cfRule>
  </conditionalFormatting>
  <conditionalFormatting sqref="G978:H978 K978">
    <cfRule type="containsText" dxfId="0" priority="43" operator="containsText" text="Closed">
      <formula>NOT(ISERROR(SEARCH(("Closed"),(G978))))</formula>
    </cfRule>
  </conditionalFormatting>
  <conditionalFormatting sqref="G978:H978 K978">
    <cfRule type="containsText" dxfId="3" priority="44" operator="containsText" text="Monitor">
      <formula>NOT(ISERROR(SEARCH(("Monitor"),(G978))))</formula>
    </cfRule>
  </conditionalFormatting>
  <conditionalFormatting sqref="A977:AC978">
    <cfRule type="notContainsBlanks" dxfId="8" priority="45">
      <formula>LEN(TRIM(A977))&gt;0</formula>
    </cfRule>
  </conditionalFormatting>
  <conditionalFormatting sqref="A978:K978">
    <cfRule type="expression" dxfId="7" priority="46">
      <formula>if($G978="Closed",1,0)</formula>
    </cfRule>
  </conditionalFormatting>
  <conditionalFormatting sqref="G976:H976 K976">
    <cfRule type="containsText" dxfId="1" priority="47" operator="containsText" text="Open">
      <formula>NOT(ISERROR(SEARCH(("Open"),(G976))))</formula>
    </cfRule>
  </conditionalFormatting>
  <conditionalFormatting sqref="G976:H976 K976">
    <cfRule type="containsText" dxfId="0" priority="48" operator="containsText" text="Closed">
      <formula>NOT(ISERROR(SEARCH(("Closed"),(G976))))</formula>
    </cfRule>
  </conditionalFormatting>
  <conditionalFormatting sqref="G976:H976 K976">
    <cfRule type="containsText" dxfId="3" priority="49" operator="containsText" text="Monitor">
      <formula>NOT(ISERROR(SEARCH(("Monitor"),(G976))))</formula>
    </cfRule>
  </conditionalFormatting>
  <conditionalFormatting sqref="A975:AC976">
    <cfRule type="notContainsBlanks" dxfId="8" priority="50">
      <formula>LEN(TRIM(A975))&gt;0</formula>
    </cfRule>
  </conditionalFormatting>
  <conditionalFormatting sqref="A976:K976">
    <cfRule type="expression" dxfId="7" priority="51">
      <formula>if($G976="Closed",1,0)</formula>
    </cfRule>
  </conditionalFormatting>
  <conditionalFormatting sqref="G974:H974 K974">
    <cfRule type="containsText" dxfId="1" priority="52" operator="containsText" text="Open">
      <formula>NOT(ISERROR(SEARCH(("Open"),(G974))))</formula>
    </cfRule>
  </conditionalFormatting>
  <conditionalFormatting sqref="G974:H974 K974">
    <cfRule type="containsText" dxfId="0" priority="53" operator="containsText" text="Closed">
      <formula>NOT(ISERROR(SEARCH(("Closed"),(G974))))</formula>
    </cfRule>
  </conditionalFormatting>
  <conditionalFormatting sqref="G974:H974 K974">
    <cfRule type="containsText" dxfId="3" priority="54" operator="containsText" text="Monitor">
      <formula>NOT(ISERROR(SEARCH(("Monitor"),(G974))))</formula>
    </cfRule>
  </conditionalFormatting>
  <conditionalFormatting sqref="A973:AC974">
    <cfRule type="notContainsBlanks" dxfId="8" priority="55">
      <formula>LEN(TRIM(A973))&gt;0</formula>
    </cfRule>
  </conditionalFormatting>
  <conditionalFormatting sqref="A974:K974">
    <cfRule type="expression" dxfId="7" priority="56">
      <formula>if($G974="Closed",1,0)</formula>
    </cfRule>
  </conditionalFormatting>
  <conditionalFormatting sqref="G972:H972 K972">
    <cfRule type="containsText" dxfId="1" priority="57" operator="containsText" text="Open">
      <formula>NOT(ISERROR(SEARCH(("Open"),(G972))))</formula>
    </cfRule>
  </conditionalFormatting>
  <conditionalFormatting sqref="G972:H972 K972">
    <cfRule type="containsText" dxfId="0" priority="58" operator="containsText" text="Closed">
      <formula>NOT(ISERROR(SEARCH(("Closed"),(G972))))</formula>
    </cfRule>
  </conditionalFormatting>
  <conditionalFormatting sqref="G972:H972 K972">
    <cfRule type="containsText" dxfId="3" priority="59" operator="containsText" text="Monitor">
      <formula>NOT(ISERROR(SEARCH(("Monitor"),(G972))))</formula>
    </cfRule>
  </conditionalFormatting>
  <conditionalFormatting sqref="A971:AC972">
    <cfRule type="notContainsBlanks" dxfId="8" priority="60">
      <formula>LEN(TRIM(A971))&gt;0</formula>
    </cfRule>
  </conditionalFormatting>
  <conditionalFormatting sqref="A972:K972">
    <cfRule type="expression" dxfId="7" priority="61">
      <formula>if($G972="Closed",1,0)</formula>
    </cfRule>
  </conditionalFormatting>
  <conditionalFormatting sqref="G970:H970 K970">
    <cfRule type="containsText" dxfId="1" priority="62" operator="containsText" text="Open">
      <formula>NOT(ISERROR(SEARCH(("Open"),(G970))))</formula>
    </cfRule>
  </conditionalFormatting>
  <conditionalFormatting sqref="G970:H970 K970">
    <cfRule type="containsText" dxfId="0" priority="63" operator="containsText" text="Closed">
      <formula>NOT(ISERROR(SEARCH(("Closed"),(G970))))</formula>
    </cfRule>
  </conditionalFormatting>
  <conditionalFormatting sqref="G970:H970 K970">
    <cfRule type="containsText" dxfId="3" priority="64" operator="containsText" text="Monitor">
      <formula>NOT(ISERROR(SEARCH(("Monitor"),(G970))))</formula>
    </cfRule>
  </conditionalFormatting>
  <conditionalFormatting sqref="A969:AC970">
    <cfRule type="notContainsBlanks" dxfId="8" priority="65">
      <formula>LEN(TRIM(A969))&gt;0</formula>
    </cfRule>
  </conditionalFormatting>
  <conditionalFormatting sqref="A970:K970">
    <cfRule type="expression" dxfId="7" priority="66">
      <formula>if($G970="Closed",1,0)</formula>
    </cfRule>
  </conditionalFormatting>
  <conditionalFormatting sqref="G968:H968 K968">
    <cfRule type="containsText" dxfId="1" priority="67" operator="containsText" text="Open">
      <formula>NOT(ISERROR(SEARCH(("Open"),(G968))))</formula>
    </cfRule>
  </conditionalFormatting>
  <conditionalFormatting sqref="G968:H968 K968">
    <cfRule type="containsText" dxfId="0" priority="68" operator="containsText" text="Closed">
      <formula>NOT(ISERROR(SEARCH(("Closed"),(G968))))</formula>
    </cfRule>
  </conditionalFormatting>
  <conditionalFormatting sqref="G968:H968 K968">
    <cfRule type="containsText" dxfId="3" priority="69" operator="containsText" text="Monitor">
      <formula>NOT(ISERROR(SEARCH(("Monitor"),(G968))))</formula>
    </cfRule>
  </conditionalFormatting>
  <conditionalFormatting sqref="A967:AC968">
    <cfRule type="notContainsBlanks" dxfId="8" priority="70">
      <formula>LEN(TRIM(A967))&gt;0</formula>
    </cfRule>
  </conditionalFormatting>
  <conditionalFormatting sqref="A968:K968">
    <cfRule type="expression" dxfId="7" priority="71">
      <formula>if($G968="Closed",1,0)</formula>
    </cfRule>
  </conditionalFormatting>
  <conditionalFormatting sqref="G966:H966 K966">
    <cfRule type="containsText" dxfId="1" priority="72" operator="containsText" text="Open">
      <formula>NOT(ISERROR(SEARCH(("Open"),(G966))))</formula>
    </cfRule>
  </conditionalFormatting>
  <conditionalFormatting sqref="G966:H966 K966">
    <cfRule type="containsText" dxfId="0" priority="73" operator="containsText" text="Closed">
      <formula>NOT(ISERROR(SEARCH(("Closed"),(G966))))</formula>
    </cfRule>
  </conditionalFormatting>
  <conditionalFormatting sqref="G966:H966 K966">
    <cfRule type="containsText" dxfId="3" priority="74" operator="containsText" text="Monitor">
      <formula>NOT(ISERROR(SEARCH(("Monitor"),(G966))))</formula>
    </cfRule>
  </conditionalFormatting>
  <conditionalFormatting sqref="A965:AC966">
    <cfRule type="notContainsBlanks" dxfId="8" priority="75">
      <formula>LEN(TRIM(A965))&gt;0</formula>
    </cfRule>
  </conditionalFormatting>
  <conditionalFormatting sqref="A966:K966">
    <cfRule type="expression" dxfId="7" priority="76">
      <formula>if($G966="Closed",1,0)</formula>
    </cfRule>
  </conditionalFormatting>
  <conditionalFormatting sqref="G964:H964 K964">
    <cfRule type="containsText" dxfId="1" priority="77" operator="containsText" text="Open">
      <formula>NOT(ISERROR(SEARCH(("Open"),(G964))))</formula>
    </cfRule>
  </conditionalFormatting>
  <conditionalFormatting sqref="G964:H964 K964">
    <cfRule type="containsText" dxfId="0" priority="78" operator="containsText" text="Closed">
      <formula>NOT(ISERROR(SEARCH(("Closed"),(G964))))</formula>
    </cfRule>
  </conditionalFormatting>
  <conditionalFormatting sqref="G964:H964 K964">
    <cfRule type="containsText" dxfId="3" priority="79" operator="containsText" text="Monitor">
      <formula>NOT(ISERROR(SEARCH(("Monitor"),(G964))))</formula>
    </cfRule>
  </conditionalFormatting>
  <conditionalFormatting sqref="A963:AC964">
    <cfRule type="notContainsBlanks" dxfId="8" priority="80">
      <formula>LEN(TRIM(A963))&gt;0</formula>
    </cfRule>
  </conditionalFormatting>
  <conditionalFormatting sqref="A964:K964">
    <cfRule type="expression" dxfId="7" priority="81">
      <formula>if($G964="Closed",1,0)</formula>
    </cfRule>
  </conditionalFormatting>
  <conditionalFormatting sqref="G962:H962 K962">
    <cfRule type="containsText" dxfId="1" priority="82" operator="containsText" text="Open">
      <formula>NOT(ISERROR(SEARCH(("Open"),(G962))))</formula>
    </cfRule>
  </conditionalFormatting>
  <conditionalFormatting sqref="G962:H962 K962">
    <cfRule type="containsText" dxfId="0" priority="83" operator="containsText" text="Closed">
      <formula>NOT(ISERROR(SEARCH(("Closed"),(G962))))</formula>
    </cfRule>
  </conditionalFormatting>
  <conditionalFormatting sqref="G962:H962 K962">
    <cfRule type="containsText" dxfId="3" priority="84" operator="containsText" text="Monitor">
      <formula>NOT(ISERROR(SEARCH(("Monitor"),(G962))))</formula>
    </cfRule>
  </conditionalFormatting>
  <conditionalFormatting sqref="A961:AC962">
    <cfRule type="notContainsBlanks" dxfId="8" priority="85">
      <formula>LEN(TRIM(A961))&gt;0</formula>
    </cfRule>
  </conditionalFormatting>
  <conditionalFormatting sqref="A962:K962">
    <cfRule type="expression" dxfId="7" priority="86">
      <formula>if($G962="Closed",1,0)</formula>
    </cfRule>
  </conditionalFormatting>
  <conditionalFormatting sqref="G960:H960 K960">
    <cfRule type="containsText" dxfId="1" priority="87" operator="containsText" text="Open">
      <formula>NOT(ISERROR(SEARCH(("Open"),(G960))))</formula>
    </cfRule>
  </conditionalFormatting>
  <conditionalFormatting sqref="G960:H960 K960">
    <cfRule type="containsText" dxfId="0" priority="88" operator="containsText" text="Closed">
      <formula>NOT(ISERROR(SEARCH(("Closed"),(G960))))</formula>
    </cfRule>
  </conditionalFormatting>
  <conditionalFormatting sqref="G960:H960 K960">
    <cfRule type="containsText" dxfId="3" priority="89" operator="containsText" text="Monitor">
      <formula>NOT(ISERROR(SEARCH(("Monitor"),(G960))))</formula>
    </cfRule>
  </conditionalFormatting>
  <conditionalFormatting sqref="A959:AC960">
    <cfRule type="notContainsBlanks" dxfId="8" priority="90">
      <formula>LEN(TRIM(A959))&gt;0</formula>
    </cfRule>
  </conditionalFormatting>
  <conditionalFormatting sqref="A960:K960">
    <cfRule type="expression" dxfId="7" priority="91">
      <formula>if($G960="Closed",1,0)</formula>
    </cfRule>
  </conditionalFormatting>
  <conditionalFormatting sqref="G958:H958 K958">
    <cfRule type="containsText" dxfId="1" priority="92" operator="containsText" text="Open">
      <formula>NOT(ISERROR(SEARCH(("Open"),(G958))))</formula>
    </cfRule>
  </conditionalFormatting>
  <conditionalFormatting sqref="G958:H958 K958">
    <cfRule type="containsText" dxfId="0" priority="93" operator="containsText" text="Closed">
      <formula>NOT(ISERROR(SEARCH(("Closed"),(G958))))</formula>
    </cfRule>
  </conditionalFormatting>
  <conditionalFormatting sqref="G958:H958 K958">
    <cfRule type="containsText" dxfId="3" priority="94" operator="containsText" text="Monitor">
      <formula>NOT(ISERROR(SEARCH(("Monitor"),(G958))))</formula>
    </cfRule>
  </conditionalFormatting>
  <conditionalFormatting sqref="A957:AC958">
    <cfRule type="notContainsBlanks" dxfId="8" priority="95">
      <formula>LEN(TRIM(A957))&gt;0</formula>
    </cfRule>
  </conditionalFormatting>
  <conditionalFormatting sqref="A958:K958">
    <cfRule type="expression" dxfId="7" priority="96">
      <formula>if($G958="Closed",1,0)</formula>
    </cfRule>
  </conditionalFormatting>
  <conditionalFormatting sqref="G956:H956 K956">
    <cfRule type="containsText" dxfId="1" priority="97" operator="containsText" text="Open">
      <formula>NOT(ISERROR(SEARCH(("Open"),(G956))))</formula>
    </cfRule>
  </conditionalFormatting>
  <conditionalFormatting sqref="G956:H956 K956">
    <cfRule type="containsText" dxfId="0" priority="98" operator="containsText" text="Closed">
      <formula>NOT(ISERROR(SEARCH(("Closed"),(G956))))</formula>
    </cfRule>
  </conditionalFormatting>
  <conditionalFormatting sqref="G956:H956 K956">
    <cfRule type="containsText" dxfId="3" priority="99" operator="containsText" text="Monitor">
      <formula>NOT(ISERROR(SEARCH(("Monitor"),(G956))))</formula>
    </cfRule>
  </conditionalFormatting>
  <conditionalFormatting sqref="A955:AC956">
    <cfRule type="notContainsBlanks" dxfId="8" priority="100">
      <formula>LEN(TRIM(A955))&gt;0</formula>
    </cfRule>
  </conditionalFormatting>
  <conditionalFormatting sqref="A956:K956">
    <cfRule type="expression" dxfId="7" priority="101">
      <formula>if($G956="Closed",1,0)</formula>
    </cfRule>
  </conditionalFormatting>
  <conditionalFormatting sqref="G954:H954 K954">
    <cfRule type="containsText" dxfId="1" priority="102" operator="containsText" text="Open">
      <formula>NOT(ISERROR(SEARCH(("Open"),(G954))))</formula>
    </cfRule>
  </conditionalFormatting>
  <conditionalFormatting sqref="G954:H954 K954">
    <cfRule type="containsText" dxfId="0" priority="103" operator="containsText" text="Closed">
      <formula>NOT(ISERROR(SEARCH(("Closed"),(G954))))</formula>
    </cfRule>
  </conditionalFormatting>
  <conditionalFormatting sqref="G954:H954 K954">
    <cfRule type="containsText" dxfId="3" priority="104" operator="containsText" text="Monitor">
      <formula>NOT(ISERROR(SEARCH(("Monitor"),(G954))))</formula>
    </cfRule>
  </conditionalFormatting>
  <conditionalFormatting sqref="A953:AC954">
    <cfRule type="notContainsBlanks" dxfId="8" priority="105">
      <formula>LEN(TRIM(A953))&gt;0</formula>
    </cfRule>
  </conditionalFormatting>
  <conditionalFormatting sqref="A954:K954">
    <cfRule type="expression" dxfId="7" priority="106">
      <formula>if($G954="Closed",1,0)</formula>
    </cfRule>
  </conditionalFormatting>
  <conditionalFormatting sqref="G952:H952 K952">
    <cfRule type="containsText" dxfId="1" priority="107" operator="containsText" text="Open">
      <formula>NOT(ISERROR(SEARCH(("Open"),(G952))))</formula>
    </cfRule>
  </conditionalFormatting>
  <conditionalFormatting sqref="G952:H952 K952">
    <cfRule type="containsText" dxfId="0" priority="108" operator="containsText" text="Closed">
      <formula>NOT(ISERROR(SEARCH(("Closed"),(G952))))</formula>
    </cfRule>
  </conditionalFormatting>
  <conditionalFormatting sqref="G952:H952 K952">
    <cfRule type="containsText" dxfId="3" priority="109" operator="containsText" text="Monitor">
      <formula>NOT(ISERROR(SEARCH(("Monitor"),(G952))))</formula>
    </cfRule>
  </conditionalFormatting>
  <conditionalFormatting sqref="A951:AC952">
    <cfRule type="notContainsBlanks" dxfId="8" priority="110">
      <formula>LEN(TRIM(A951))&gt;0</formula>
    </cfRule>
  </conditionalFormatting>
  <conditionalFormatting sqref="A952:K952">
    <cfRule type="expression" dxfId="7" priority="111">
      <formula>if($G952="Closed",1,0)</formula>
    </cfRule>
  </conditionalFormatting>
  <conditionalFormatting sqref="G950:H950 K950">
    <cfRule type="containsText" dxfId="1" priority="112" operator="containsText" text="Open">
      <formula>NOT(ISERROR(SEARCH(("Open"),(G950))))</formula>
    </cfRule>
  </conditionalFormatting>
  <conditionalFormatting sqref="G950:H950 K950">
    <cfRule type="containsText" dxfId="0" priority="113" operator="containsText" text="Closed">
      <formula>NOT(ISERROR(SEARCH(("Closed"),(G950))))</formula>
    </cfRule>
  </conditionalFormatting>
  <conditionalFormatting sqref="G950:H950 K950">
    <cfRule type="containsText" dxfId="3" priority="114" operator="containsText" text="Monitor">
      <formula>NOT(ISERROR(SEARCH(("Monitor"),(G950))))</formula>
    </cfRule>
  </conditionalFormatting>
  <conditionalFormatting sqref="A949:AC950">
    <cfRule type="notContainsBlanks" dxfId="8" priority="115">
      <formula>LEN(TRIM(A949))&gt;0</formula>
    </cfRule>
  </conditionalFormatting>
  <conditionalFormatting sqref="A950:K950">
    <cfRule type="expression" dxfId="7" priority="116">
      <formula>if($G950="Closed",1,0)</formula>
    </cfRule>
  </conditionalFormatting>
  <conditionalFormatting sqref="G948:H948 K948">
    <cfRule type="containsText" dxfId="1" priority="117" operator="containsText" text="Open">
      <formula>NOT(ISERROR(SEARCH(("Open"),(G948))))</formula>
    </cfRule>
  </conditionalFormatting>
  <conditionalFormatting sqref="G948:H948 K948">
    <cfRule type="containsText" dxfId="0" priority="118" operator="containsText" text="Closed">
      <formula>NOT(ISERROR(SEARCH(("Closed"),(G948))))</formula>
    </cfRule>
  </conditionalFormatting>
  <conditionalFormatting sqref="G948:H948 K948">
    <cfRule type="containsText" dxfId="3" priority="119" operator="containsText" text="Monitor">
      <formula>NOT(ISERROR(SEARCH(("Monitor"),(G948))))</formula>
    </cfRule>
  </conditionalFormatting>
  <conditionalFormatting sqref="A947:AC948">
    <cfRule type="notContainsBlanks" dxfId="8" priority="120">
      <formula>LEN(TRIM(A947))&gt;0</formula>
    </cfRule>
  </conditionalFormatting>
  <conditionalFormatting sqref="A948:K948">
    <cfRule type="expression" dxfId="7" priority="121">
      <formula>if($G948="Closed",1,0)</formula>
    </cfRule>
  </conditionalFormatting>
  <conditionalFormatting sqref="G946:H946 K946">
    <cfRule type="containsText" dxfId="1" priority="122" operator="containsText" text="Open">
      <formula>NOT(ISERROR(SEARCH(("Open"),(G946))))</formula>
    </cfRule>
  </conditionalFormatting>
  <conditionalFormatting sqref="G946:H946 K946">
    <cfRule type="containsText" dxfId="0" priority="123" operator="containsText" text="Closed">
      <formula>NOT(ISERROR(SEARCH(("Closed"),(G946))))</formula>
    </cfRule>
  </conditionalFormatting>
  <conditionalFormatting sqref="G946:H946 K946">
    <cfRule type="containsText" dxfId="3" priority="124" operator="containsText" text="Monitor">
      <formula>NOT(ISERROR(SEARCH(("Monitor"),(G946))))</formula>
    </cfRule>
  </conditionalFormatting>
  <conditionalFormatting sqref="A945:AC946">
    <cfRule type="notContainsBlanks" dxfId="8" priority="125">
      <formula>LEN(TRIM(A945))&gt;0</formula>
    </cfRule>
  </conditionalFormatting>
  <conditionalFormatting sqref="A946:K946">
    <cfRule type="expression" dxfId="7" priority="126">
      <formula>if($G946="Closed",1,0)</formula>
    </cfRule>
  </conditionalFormatting>
  <conditionalFormatting sqref="G944:H944 K944">
    <cfRule type="containsText" dxfId="1" priority="127" operator="containsText" text="Open">
      <formula>NOT(ISERROR(SEARCH(("Open"),(G944))))</formula>
    </cfRule>
  </conditionalFormatting>
  <conditionalFormatting sqref="G944:H944 K944">
    <cfRule type="containsText" dxfId="0" priority="128" operator="containsText" text="Closed">
      <formula>NOT(ISERROR(SEARCH(("Closed"),(G944))))</formula>
    </cfRule>
  </conditionalFormatting>
  <conditionalFormatting sqref="G944:H944 K944">
    <cfRule type="containsText" dxfId="3" priority="129" operator="containsText" text="Monitor">
      <formula>NOT(ISERROR(SEARCH(("Monitor"),(G944))))</formula>
    </cfRule>
  </conditionalFormatting>
  <conditionalFormatting sqref="A943:AC944">
    <cfRule type="notContainsBlanks" dxfId="8" priority="130">
      <formula>LEN(TRIM(A943))&gt;0</formula>
    </cfRule>
  </conditionalFormatting>
  <conditionalFormatting sqref="A944:K944">
    <cfRule type="expression" dxfId="7" priority="131">
      <formula>if($G944="Closed",1,0)</formula>
    </cfRule>
  </conditionalFormatting>
  <conditionalFormatting sqref="G942:H942 K942">
    <cfRule type="containsText" dxfId="1" priority="132" operator="containsText" text="Open">
      <formula>NOT(ISERROR(SEARCH(("Open"),(G942))))</formula>
    </cfRule>
  </conditionalFormatting>
  <conditionalFormatting sqref="G942:H942 K942">
    <cfRule type="containsText" dxfId="0" priority="133" operator="containsText" text="Closed">
      <formula>NOT(ISERROR(SEARCH(("Closed"),(G942))))</formula>
    </cfRule>
  </conditionalFormatting>
  <conditionalFormatting sqref="G942:H942 K942">
    <cfRule type="containsText" dxfId="3" priority="134" operator="containsText" text="Monitor">
      <formula>NOT(ISERROR(SEARCH(("Monitor"),(G942))))</formula>
    </cfRule>
  </conditionalFormatting>
  <conditionalFormatting sqref="A941:AC942">
    <cfRule type="notContainsBlanks" dxfId="8" priority="135">
      <formula>LEN(TRIM(A941))&gt;0</formula>
    </cfRule>
  </conditionalFormatting>
  <conditionalFormatting sqref="A942:K942">
    <cfRule type="expression" dxfId="7" priority="136">
      <formula>if($G942="Closed",1,0)</formula>
    </cfRule>
  </conditionalFormatting>
  <conditionalFormatting sqref="G940:H940 K940">
    <cfRule type="containsText" dxfId="1" priority="137" operator="containsText" text="Open">
      <formula>NOT(ISERROR(SEARCH(("Open"),(G940))))</formula>
    </cfRule>
  </conditionalFormatting>
  <conditionalFormatting sqref="G940:H940 K940">
    <cfRule type="containsText" dxfId="0" priority="138" operator="containsText" text="Closed">
      <formula>NOT(ISERROR(SEARCH(("Closed"),(G940))))</formula>
    </cfRule>
  </conditionalFormatting>
  <conditionalFormatting sqref="G940:H940 K940">
    <cfRule type="containsText" dxfId="3" priority="139" operator="containsText" text="Monitor">
      <formula>NOT(ISERROR(SEARCH(("Monitor"),(G940))))</formula>
    </cfRule>
  </conditionalFormatting>
  <conditionalFormatting sqref="A939:AC940">
    <cfRule type="notContainsBlanks" dxfId="8" priority="140">
      <formula>LEN(TRIM(A939))&gt;0</formula>
    </cfRule>
  </conditionalFormatting>
  <conditionalFormatting sqref="A940:K940">
    <cfRule type="expression" dxfId="7" priority="141">
      <formula>if($G940="Closed",1,0)</formula>
    </cfRule>
  </conditionalFormatting>
  <conditionalFormatting sqref="G938:H938 K938">
    <cfRule type="containsText" dxfId="1" priority="142" operator="containsText" text="Open">
      <formula>NOT(ISERROR(SEARCH(("Open"),(G938))))</formula>
    </cfRule>
  </conditionalFormatting>
  <conditionalFormatting sqref="G938:H938 K938">
    <cfRule type="containsText" dxfId="0" priority="143" operator="containsText" text="Closed">
      <formula>NOT(ISERROR(SEARCH(("Closed"),(G938))))</formula>
    </cfRule>
  </conditionalFormatting>
  <conditionalFormatting sqref="G938:H938 K938">
    <cfRule type="containsText" dxfId="3" priority="144" operator="containsText" text="Monitor">
      <formula>NOT(ISERROR(SEARCH(("Monitor"),(G938))))</formula>
    </cfRule>
  </conditionalFormatting>
  <conditionalFormatting sqref="A937:AC938">
    <cfRule type="notContainsBlanks" dxfId="8" priority="145">
      <formula>LEN(TRIM(A937))&gt;0</formula>
    </cfRule>
  </conditionalFormatting>
  <conditionalFormatting sqref="A938:K938">
    <cfRule type="expression" dxfId="7" priority="146">
      <formula>if($G938="Closed",1,0)</formula>
    </cfRule>
  </conditionalFormatting>
  <conditionalFormatting sqref="G936:H936 K936">
    <cfRule type="containsText" dxfId="1" priority="147" operator="containsText" text="Open">
      <formula>NOT(ISERROR(SEARCH(("Open"),(G936))))</formula>
    </cfRule>
  </conditionalFormatting>
  <conditionalFormatting sqref="G936:H936 K936">
    <cfRule type="containsText" dxfId="0" priority="148" operator="containsText" text="Closed">
      <formula>NOT(ISERROR(SEARCH(("Closed"),(G936))))</formula>
    </cfRule>
  </conditionalFormatting>
  <conditionalFormatting sqref="G936:H936 K936">
    <cfRule type="containsText" dxfId="3" priority="149" operator="containsText" text="Monitor">
      <formula>NOT(ISERROR(SEARCH(("Monitor"),(G936))))</formula>
    </cfRule>
  </conditionalFormatting>
  <conditionalFormatting sqref="A935:AC936">
    <cfRule type="notContainsBlanks" dxfId="8" priority="150">
      <formula>LEN(TRIM(A935))&gt;0</formula>
    </cfRule>
  </conditionalFormatting>
  <conditionalFormatting sqref="A936:K936">
    <cfRule type="expression" dxfId="7" priority="151">
      <formula>if($G936="Closed",1,0)</formula>
    </cfRule>
  </conditionalFormatting>
  <conditionalFormatting sqref="G934:H934 K934">
    <cfRule type="containsText" dxfId="1" priority="152" operator="containsText" text="Open">
      <formula>NOT(ISERROR(SEARCH(("Open"),(G934))))</formula>
    </cfRule>
  </conditionalFormatting>
  <conditionalFormatting sqref="G934:H934 K934">
    <cfRule type="containsText" dxfId="0" priority="153" operator="containsText" text="Closed">
      <formula>NOT(ISERROR(SEARCH(("Closed"),(G934))))</formula>
    </cfRule>
  </conditionalFormatting>
  <conditionalFormatting sqref="G934:H934 K934">
    <cfRule type="containsText" dxfId="3" priority="154" operator="containsText" text="Monitor">
      <formula>NOT(ISERROR(SEARCH(("Monitor"),(G934))))</formula>
    </cfRule>
  </conditionalFormatting>
  <conditionalFormatting sqref="A933:AC934">
    <cfRule type="notContainsBlanks" dxfId="8" priority="155">
      <formula>LEN(TRIM(A933))&gt;0</formula>
    </cfRule>
  </conditionalFormatting>
  <conditionalFormatting sqref="A934:K934">
    <cfRule type="expression" dxfId="7" priority="156">
      <formula>if($G934="Closed",1,0)</formula>
    </cfRule>
  </conditionalFormatting>
  <conditionalFormatting sqref="G932:H932 K932">
    <cfRule type="containsText" dxfId="1" priority="157" operator="containsText" text="Open">
      <formula>NOT(ISERROR(SEARCH(("Open"),(G932))))</formula>
    </cfRule>
  </conditionalFormatting>
  <conditionalFormatting sqref="G932:H932 K932">
    <cfRule type="containsText" dxfId="0" priority="158" operator="containsText" text="Closed">
      <formula>NOT(ISERROR(SEARCH(("Closed"),(G932))))</formula>
    </cfRule>
  </conditionalFormatting>
  <conditionalFormatting sqref="G932:H932 K932">
    <cfRule type="containsText" dxfId="3" priority="159" operator="containsText" text="Monitor">
      <formula>NOT(ISERROR(SEARCH(("Monitor"),(G932))))</formula>
    </cfRule>
  </conditionalFormatting>
  <conditionalFormatting sqref="A931:AC932">
    <cfRule type="notContainsBlanks" dxfId="8" priority="160">
      <formula>LEN(TRIM(A931))&gt;0</formula>
    </cfRule>
  </conditionalFormatting>
  <conditionalFormatting sqref="A932:K932">
    <cfRule type="expression" dxfId="7" priority="161">
      <formula>if($G932="Closed",1,0)</formula>
    </cfRule>
  </conditionalFormatting>
  <conditionalFormatting sqref="G930:H930 K930">
    <cfRule type="containsText" dxfId="1" priority="162" operator="containsText" text="Open">
      <formula>NOT(ISERROR(SEARCH(("Open"),(G930))))</formula>
    </cfRule>
  </conditionalFormatting>
  <conditionalFormatting sqref="G930:H930 K930">
    <cfRule type="containsText" dxfId="0" priority="163" operator="containsText" text="Closed">
      <formula>NOT(ISERROR(SEARCH(("Closed"),(G930))))</formula>
    </cfRule>
  </conditionalFormatting>
  <conditionalFormatting sqref="G930:H930 K930">
    <cfRule type="containsText" dxfId="3" priority="164" operator="containsText" text="Monitor">
      <formula>NOT(ISERROR(SEARCH(("Monitor"),(G930))))</formula>
    </cfRule>
  </conditionalFormatting>
  <conditionalFormatting sqref="A929:AC930">
    <cfRule type="notContainsBlanks" dxfId="8" priority="165">
      <formula>LEN(TRIM(A929))&gt;0</formula>
    </cfRule>
  </conditionalFormatting>
  <conditionalFormatting sqref="A930:K930">
    <cfRule type="expression" dxfId="7" priority="166">
      <formula>if($G930="Closed",1,0)</formula>
    </cfRule>
  </conditionalFormatting>
  <conditionalFormatting sqref="G928:H928 K928">
    <cfRule type="containsText" dxfId="1" priority="167" operator="containsText" text="Open">
      <formula>NOT(ISERROR(SEARCH(("Open"),(G928))))</formula>
    </cfRule>
  </conditionalFormatting>
  <conditionalFormatting sqref="G928:H928 K928">
    <cfRule type="containsText" dxfId="0" priority="168" operator="containsText" text="Closed">
      <formula>NOT(ISERROR(SEARCH(("Closed"),(G928))))</formula>
    </cfRule>
  </conditionalFormatting>
  <conditionalFormatting sqref="G928:H928 K928">
    <cfRule type="containsText" dxfId="3" priority="169" operator="containsText" text="Monitor">
      <formula>NOT(ISERROR(SEARCH(("Monitor"),(G928))))</formula>
    </cfRule>
  </conditionalFormatting>
  <conditionalFormatting sqref="A927:AC928">
    <cfRule type="notContainsBlanks" dxfId="8" priority="170">
      <formula>LEN(TRIM(A927))&gt;0</formula>
    </cfRule>
  </conditionalFormatting>
  <conditionalFormatting sqref="A928:K928">
    <cfRule type="expression" dxfId="7" priority="171">
      <formula>if($G928="Closed",1,0)</formula>
    </cfRule>
  </conditionalFormatting>
  <conditionalFormatting sqref="G926:H926 K926">
    <cfRule type="containsText" dxfId="1" priority="172" operator="containsText" text="Open">
      <formula>NOT(ISERROR(SEARCH(("Open"),(G926))))</formula>
    </cfRule>
  </conditionalFormatting>
  <conditionalFormatting sqref="G926:H926 K926">
    <cfRule type="containsText" dxfId="0" priority="173" operator="containsText" text="Closed">
      <formula>NOT(ISERROR(SEARCH(("Closed"),(G926))))</formula>
    </cfRule>
  </conditionalFormatting>
  <conditionalFormatting sqref="G926:H926 K926">
    <cfRule type="containsText" dxfId="3" priority="174" operator="containsText" text="Monitor">
      <formula>NOT(ISERROR(SEARCH(("Monitor"),(G926))))</formula>
    </cfRule>
  </conditionalFormatting>
  <conditionalFormatting sqref="A925:AC926">
    <cfRule type="notContainsBlanks" dxfId="8" priority="175">
      <formula>LEN(TRIM(A925))&gt;0</formula>
    </cfRule>
  </conditionalFormatting>
  <conditionalFormatting sqref="A926:K926">
    <cfRule type="expression" dxfId="7" priority="176">
      <formula>if($G926="Closed",1,0)</formula>
    </cfRule>
  </conditionalFormatting>
  <conditionalFormatting sqref="G924:H924 K924">
    <cfRule type="containsText" dxfId="1" priority="177" operator="containsText" text="Open">
      <formula>NOT(ISERROR(SEARCH(("Open"),(G924))))</formula>
    </cfRule>
  </conditionalFormatting>
  <conditionalFormatting sqref="G924:H924 K924">
    <cfRule type="containsText" dxfId="0" priority="178" operator="containsText" text="Closed">
      <formula>NOT(ISERROR(SEARCH(("Closed"),(G924))))</formula>
    </cfRule>
  </conditionalFormatting>
  <conditionalFormatting sqref="G924:H924 K924">
    <cfRule type="containsText" dxfId="3" priority="179" operator="containsText" text="Monitor">
      <formula>NOT(ISERROR(SEARCH(("Monitor"),(G924))))</formula>
    </cfRule>
  </conditionalFormatting>
  <conditionalFormatting sqref="A923:AC924">
    <cfRule type="notContainsBlanks" dxfId="8" priority="180">
      <formula>LEN(TRIM(A923))&gt;0</formula>
    </cfRule>
  </conditionalFormatting>
  <conditionalFormatting sqref="A924:K924">
    <cfRule type="expression" dxfId="7" priority="181">
      <formula>if($G924="Closed",1,0)</formula>
    </cfRule>
  </conditionalFormatting>
  <conditionalFormatting sqref="G922:H922 K922">
    <cfRule type="containsText" dxfId="1" priority="182" operator="containsText" text="Open">
      <formula>NOT(ISERROR(SEARCH(("Open"),(G922))))</formula>
    </cfRule>
  </conditionalFormatting>
  <conditionalFormatting sqref="G922:H922 K922">
    <cfRule type="containsText" dxfId="0" priority="183" operator="containsText" text="Closed">
      <formula>NOT(ISERROR(SEARCH(("Closed"),(G922))))</formula>
    </cfRule>
  </conditionalFormatting>
  <conditionalFormatting sqref="G922:H922 K922">
    <cfRule type="containsText" dxfId="3" priority="184" operator="containsText" text="Monitor">
      <formula>NOT(ISERROR(SEARCH(("Monitor"),(G922))))</formula>
    </cfRule>
  </conditionalFormatting>
  <conditionalFormatting sqref="A921:AC922">
    <cfRule type="notContainsBlanks" dxfId="8" priority="185">
      <formula>LEN(TRIM(A921))&gt;0</formula>
    </cfRule>
  </conditionalFormatting>
  <conditionalFormatting sqref="A922:K922">
    <cfRule type="expression" dxfId="7" priority="186">
      <formula>if($G922="Closed",1,0)</formula>
    </cfRule>
  </conditionalFormatting>
  <conditionalFormatting sqref="G920:H920 K920">
    <cfRule type="containsText" dxfId="1" priority="187" operator="containsText" text="Open">
      <formula>NOT(ISERROR(SEARCH(("Open"),(G920))))</formula>
    </cfRule>
  </conditionalFormatting>
  <conditionalFormatting sqref="G920:H920 K920">
    <cfRule type="containsText" dxfId="0" priority="188" operator="containsText" text="Closed">
      <formula>NOT(ISERROR(SEARCH(("Closed"),(G920))))</formula>
    </cfRule>
  </conditionalFormatting>
  <conditionalFormatting sqref="G920:H920 K920">
    <cfRule type="containsText" dxfId="3" priority="189" operator="containsText" text="Monitor">
      <formula>NOT(ISERROR(SEARCH(("Monitor"),(G920))))</formula>
    </cfRule>
  </conditionalFormatting>
  <conditionalFormatting sqref="A919:AC920">
    <cfRule type="notContainsBlanks" dxfId="8" priority="190">
      <formula>LEN(TRIM(A919))&gt;0</formula>
    </cfRule>
  </conditionalFormatting>
  <conditionalFormatting sqref="A920:K920">
    <cfRule type="expression" dxfId="7" priority="191">
      <formula>if($G920="Closed",1,0)</formula>
    </cfRule>
  </conditionalFormatting>
  <conditionalFormatting sqref="G918:H918 K918">
    <cfRule type="containsText" dxfId="1" priority="192" operator="containsText" text="Open">
      <formula>NOT(ISERROR(SEARCH(("Open"),(G918))))</formula>
    </cfRule>
  </conditionalFormatting>
  <conditionalFormatting sqref="G918:H918 K918">
    <cfRule type="containsText" dxfId="0" priority="193" operator="containsText" text="Closed">
      <formula>NOT(ISERROR(SEARCH(("Closed"),(G918))))</formula>
    </cfRule>
  </conditionalFormatting>
  <conditionalFormatting sqref="G918:H918 K918">
    <cfRule type="containsText" dxfId="3" priority="194" operator="containsText" text="Monitor">
      <formula>NOT(ISERROR(SEARCH(("Monitor"),(G918))))</formula>
    </cfRule>
  </conditionalFormatting>
  <conditionalFormatting sqref="A917:AC918">
    <cfRule type="notContainsBlanks" dxfId="8" priority="195">
      <formula>LEN(TRIM(A917))&gt;0</formula>
    </cfRule>
  </conditionalFormatting>
  <conditionalFormatting sqref="A918:K918">
    <cfRule type="expression" dxfId="7" priority="196">
      <formula>if($G918="Closed",1,0)</formula>
    </cfRule>
  </conditionalFormatting>
  <conditionalFormatting sqref="G916:H916 K916">
    <cfRule type="containsText" dxfId="1" priority="197" operator="containsText" text="Open">
      <formula>NOT(ISERROR(SEARCH(("Open"),(G916))))</formula>
    </cfRule>
  </conditionalFormatting>
  <conditionalFormatting sqref="G916:H916 K916">
    <cfRule type="containsText" dxfId="0" priority="198" operator="containsText" text="Closed">
      <formula>NOT(ISERROR(SEARCH(("Closed"),(G916))))</formula>
    </cfRule>
  </conditionalFormatting>
  <conditionalFormatting sqref="G916:H916 K916">
    <cfRule type="containsText" dxfId="3" priority="199" operator="containsText" text="Monitor">
      <formula>NOT(ISERROR(SEARCH(("Monitor"),(G916))))</formula>
    </cfRule>
  </conditionalFormatting>
  <conditionalFormatting sqref="A915:AC916">
    <cfRule type="notContainsBlanks" dxfId="8" priority="200">
      <formula>LEN(TRIM(A915))&gt;0</formula>
    </cfRule>
  </conditionalFormatting>
  <conditionalFormatting sqref="A916:K916">
    <cfRule type="expression" dxfId="7" priority="201">
      <formula>if($G916="Closed",1,0)</formula>
    </cfRule>
  </conditionalFormatting>
  <conditionalFormatting sqref="G914:H914 K914">
    <cfRule type="containsText" dxfId="1" priority="202" operator="containsText" text="Open">
      <formula>NOT(ISERROR(SEARCH(("Open"),(G914))))</formula>
    </cfRule>
  </conditionalFormatting>
  <conditionalFormatting sqref="G914:H914 K914">
    <cfRule type="containsText" dxfId="0" priority="203" operator="containsText" text="Closed">
      <formula>NOT(ISERROR(SEARCH(("Closed"),(G914))))</formula>
    </cfRule>
  </conditionalFormatting>
  <conditionalFormatting sqref="G914:H914 K914">
    <cfRule type="containsText" dxfId="3" priority="204" operator="containsText" text="Monitor">
      <formula>NOT(ISERROR(SEARCH(("Monitor"),(G914))))</formula>
    </cfRule>
  </conditionalFormatting>
  <conditionalFormatting sqref="A913:AC914">
    <cfRule type="notContainsBlanks" dxfId="8" priority="205">
      <formula>LEN(TRIM(A913))&gt;0</formula>
    </cfRule>
  </conditionalFormatting>
  <conditionalFormatting sqref="A914:K914">
    <cfRule type="expression" dxfId="7" priority="206">
      <formula>if($G914="Closed",1,0)</formula>
    </cfRule>
  </conditionalFormatting>
  <conditionalFormatting sqref="G912:H912 K912">
    <cfRule type="containsText" dxfId="1" priority="207" operator="containsText" text="Open">
      <formula>NOT(ISERROR(SEARCH(("Open"),(G912))))</formula>
    </cfRule>
  </conditionalFormatting>
  <conditionalFormatting sqref="G912:H912 K912">
    <cfRule type="containsText" dxfId="0" priority="208" operator="containsText" text="Closed">
      <formula>NOT(ISERROR(SEARCH(("Closed"),(G912))))</formula>
    </cfRule>
  </conditionalFormatting>
  <conditionalFormatting sqref="G912:H912 K912">
    <cfRule type="containsText" dxfId="3" priority="209" operator="containsText" text="Monitor">
      <formula>NOT(ISERROR(SEARCH(("Monitor"),(G912))))</formula>
    </cfRule>
  </conditionalFormatting>
  <conditionalFormatting sqref="A911:AC912">
    <cfRule type="notContainsBlanks" dxfId="8" priority="210">
      <formula>LEN(TRIM(A911))&gt;0</formula>
    </cfRule>
  </conditionalFormatting>
  <conditionalFormatting sqref="A912:K912">
    <cfRule type="expression" dxfId="7" priority="211">
      <formula>if($G912="Closed",1,0)</formula>
    </cfRule>
  </conditionalFormatting>
  <conditionalFormatting sqref="G910:H910 K910">
    <cfRule type="containsText" dxfId="1" priority="212" operator="containsText" text="Open">
      <formula>NOT(ISERROR(SEARCH(("Open"),(G910))))</formula>
    </cfRule>
  </conditionalFormatting>
  <conditionalFormatting sqref="G910:H910 K910">
    <cfRule type="containsText" dxfId="0" priority="213" operator="containsText" text="Closed">
      <formula>NOT(ISERROR(SEARCH(("Closed"),(G910))))</formula>
    </cfRule>
  </conditionalFormatting>
  <conditionalFormatting sqref="G910:H910 K910">
    <cfRule type="containsText" dxfId="3" priority="214" operator="containsText" text="Monitor">
      <formula>NOT(ISERROR(SEARCH(("Monitor"),(G910))))</formula>
    </cfRule>
  </conditionalFormatting>
  <conditionalFormatting sqref="A909:AC910">
    <cfRule type="notContainsBlanks" dxfId="8" priority="215">
      <formula>LEN(TRIM(A909))&gt;0</formula>
    </cfRule>
  </conditionalFormatting>
  <conditionalFormatting sqref="A910:K910">
    <cfRule type="expression" dxfId="7" priority="216">
      <formula>if($G910="Closed",1,0)</formula>
    </cfRule>
  </conditionalFormatting>
  <conditionalFormatting sqref="G908:H908 K908">
    <cfRule type="containsText" dxfId="1" priority="217" operator="containsText" text="Open">
      <formula>NOT(ISERROR(SEARCH(("Open"),(G908))))</formula>
    </cfRule>
  </conditionalFormatting>
  <conditionalFormatting sqref="G908:H908 K908">
    <cfRule type="containsText" dxfId="0" priority="218" operator="containsText" text="Closed">
      <formula>NOT(ISERROR(SEARCH(("Closed"),(G908))))</formula>
    </cfRule>
  </conditionalFormatting>
  <conditionalFormatting sqref="G908:H908 K908">
    <cfRule type="containsText" dxfId="3" priority="219" operator="containsText" text="Monitor">
      <formula>NOT(ISERROR(SEARCH(("Monitor"),(G908))))</formula>
    </cfRule>
  </conditionalFormatting>
  <conditionalFormatting sqref="A907:AC908">
    <cfRule type="notContainsBlanks" dxfId="8" priority="220">
      <formula>LEN(TRIM(A907))&gt;0</formula>
    </cfRule>
  </conditionalFormatting>
  <conditionalFormatting sqref="A908:K908">
    <cfRule type="expression" dxfId="7" priority="221">
      <formula>if($G908="Closed",1,0)</formula>
    </cfRule>
  </conditionalFormatting>
  <conditionalFormatting sqref="G906:H906 K906">
    <cfRule type="containsText" dxfId="1" priority="222" operator="containsText" text="Open">
      <formula>NOT(ISERROR(SEARCH(("Open"),(G906))))</formula>
    </cfRule>
  </conditionalFormatting>
  <conditionalFormatting sqref="G906:H906 K906">
    <cfRule type="containsText" dxfId="0" priority="223" operator="containsText" text="Closed">
      <formula>NOT(ISERROR(SEARCH(("Closed"),(G906))))</formula>
    </cfRule>
  </conditionalFormatting>
  <conditionalFormatting sqref="G906:H906 K906">
    <cfRule type="containsText" dxfId="3" priority="224" operator="containsText" text="Monitor">
      <formula>NOT(ISERROR(SEARCH(("Monitor"),(G906))))</formula>
    </cfRule>
  </conditionalFormatting>
  <conditionalFormatting sqref="A905:AC906">
    <cfRule type="notContainsBlanks" dxfId="8" priority="225">
      <formula>LEN(TRIM(A905))&gt;0</formula>
    </cfRule>
  </conditionalFormatting>
  <conditionalFormatting sqref="A906:K906">
    <cfRule type="expression" dxfId="7" priority="226">
      <formula>if($G906="Closed",1,0)</formula>
    </cfRule>
  </conditionalFormatting>
  <conditionalFormatting sqref="G904:H904 K904">
    <cfRule type="containsText" dxfId="1" priority="227" operator="containsText" text="Open">
      <formula>NOT(ISERROR(SEARCH(("Open"),(G904))))</formula>
    </cfRule>
  </conditionalFormatting>
  <conditionalFormatting sqref="G904:H904 K904">
    <cfRule type="containsText" dxfId="0" priority="228" operator="containsText" text="Closed">
      <formula>NOT(ISERROR(SEARCH(("Closed"),(G904))))</formula>
    </cfRule>
  </conditionalFormatting>
  <conditionalFormatting sqref="G904:H904 K904">
    <cfRule type="containsText" dxfId="3" priority="229" operator="containsText" text="Monitor">
      <formula>NOT(ISERROR(SEARCH(("Monitor"),(G904))))</formula>
    </cfRule>
  </conditionalFormatting>
  <conditionalFormatting sqref="A903:AC904">
    <cfRule type="notContainsBlanks" dxfId="8" priority="230">
      <formula>LEN(TRIM(A903))&gt;0</formula>
    </cfRule>
  </conditionalFormatting>
  <conditionalFormatting sqref="A904:K904">
    <cfRule type="expression" dxfId="7" priority="231">
      <formula>if($G904="Closed",1,0)</formula>
    </cfRule>
  </conditionalFormatting>
  <conditionalFormatting sqref="G902:H902 K902">
    <cfRule type="containsText" dxfId="1" priority="232" operator="containsText" text="Open">
      <formula>NOT(ISERROR(SEARCH(("Open"),(G902))))</formula>
    </cfRule>
  </conditionalFormatting>
  <conditionalFormatting sqref="G902:H902 K902">
    <cfRule type="containsText" dxfId="0" priority="233" operator="containsText" text="Closed">
      <formula>NOT(ISERROR(SEARCH(("Closed"),(G902))))</formula>
    </cfRule>
  </conditionalFormatting>
  <conditionalFormatting sqref="G902:H902 K902">
    <cfRule type="containsText" dxfId="3" priority="234" operator="containsText" text="Monitor">
      <formula>NOT(ISERROR(SEARCH(("Monitor"),(G902))))</formula>
    </cfRule>
  </conditionalFormatting>
  <conditionalFormatting sqref="A901:AC902">
    <cfRule type="notContainsBlanks" dxfId="8" priority="235">
      <formula>LEN(TRIM(A901))&gt;0</formula>
    </cfRule>
  </conditionalFormatting>
  <conditionalFormatting sqref="A902:K902">
    <cfRule type="expression" dxfId="7" priority="236">
      <formula>if($G902="Closed",1,0)</formula>
    </cfRule>
  </conditionalFormatting>
  <conditionalFormatting sqref="G900:H900 K900">
    <cfRule type="containsText" dxfId="1" priority="237" operator="containsText" text="Open">
      <formula>NOT(ISERROR(SEARCH(("Open"),(G900))))</formula>
    </cfRule>
  </conditionalFormatting>
  <conditionalFormatting sqref="G900:H900 K900">
    <cfRule type="containsText" dxfId="0" priority="238" operator="containsText" text="Closed">
      <formula>NOT(ISERROR(SEARCH(("Closed"),(G900))))</formula>
    </cfRule>
  </conditionalFormatting>
  <conditionalFormatting sqref="G900:H900 K900">
    <cfRule type="containsText" dxfId="3" priority="239" operator="containsText" text="Monitor">
      <formula>NOT(ISERROR(SEARCH(("Monitor"),(G900))))</formula>
    </cfRule>
  </conditionalFormatting>
  <conditionalFormatting sqref="A899:AC900">
    <cfRule type="notContainsBlanks" dxfId="8" priority="240">
      <formula>LEN(TRIM(A899))&gt;0</formula>
    </cfRule>
  </conditionalFormatting>
  <conditionalFormatting sqref="A900:K900">
    <cfRule type="expression" dxfId="7" priority="241">
      <formula>if($G900="Closed",1,0)</formula>
    </cfRule>
  </conditionalFormatting>
  <conditionalFormatting sqref="G898:H898 K898">
    <cfRule type="containsText" dxfId="1" priority="242" operator="containsText" text="Open">
      <formula>NOT(ISERROR(SEARCH(("Open"),(G898))))</formula>
    </cfRule>
  </conditionalFormatting>
  <conditionalFormatting sqref="G898:H898 K898">
    <cfRule type="containsText" dxfId="0" priority="243" operator="containsText" text="Closed">
      <formula>NOT(ISERROR(SEARCH(("Closed"),(G898))))</formula>
    </cfRule>
  </conditionalFormatting>
  <conditionalFormatting sqref="G898:H898 K898">
    <cfRule type="containsText" dxfId="3" priority="244" operator="containsText" text="Monitor">
      <formula>NOT(ISERROR(SEARCH(("Monitor"),(G898))))</formula>
    </cfRule>
  </conditionalFormatting>
  <conditionalFormatting sqref="A897:AC898">
    <cfRule type="notContainsBlanks" dxfId="8" priority="245">
      <formula>LEN(TRIM(A897))&gt;0</formula>
    </cfRule>
  </conditionalFormatting>
  <conditionalFormatting sqref="A898:K898">
    <cfRule type="expression" dxfId="7" priority="246">
      <formula>if($G898="Closed",1,0)</formula>
    </cfRule>
  </conditionalFormatting>
  <conditionalFormatting sqref="G896:H896 K896">
    <cfRule type="containsText" dxfId="1" priority="247" operator="containsText" text="Open">
      <formula>NOT(ISERROR(SEARCH(("Open"),(G896))))</formula>
    </cfRule>
  </conditionalFormatting>
  <conditionalFormatting sqref="G896:H896 K896">
    <cfRule type="containsText" dxfId="0" priority="248" operator="containsText" text="Closed">
      <formula>NOT(ISERROR(SEARCH(("Closed"),(G896))))</formula>
    </cfRule>
  </conditionalFormatting>
  <conditionalFormatting sqref="G896:H896 K896">
    <cfRule type="containsText" dxfId="3" priority="249" operator="containsText" text="Monitor">
      <formula>NOT(ISERROR(SEARCH(("Monitor"),(G896))))</formula>
    </cfRule>
  </conditionalFormatting>
  <conditionalFormatting sqref="A895:AC896">
    <cfRule type="notContainsBlanks" dxfId="8" priority="250">
      <formula>LEN(TRIM(A895))&gt;0</formula>
    </cfRule>
  </conditionalFormatting>
  <conditionalFormatting sqref="A896:K896">
    <cfRule type="expression" dxfId="7" priority="251">
      <formula>if($G896="Closed",1,0)</formula>
    </cfRule>
  </conditionalFormatting>
  <conditionalFormatting sqref="G894:H894 K894">
    <cfRule type="containsText" dxfId="1" priority="252" operator="containsText" text="Open">
      <formula>NOT(ISERROR(SEARCH(("Open"),(G894))))</formula>
    </cfRule>
  </conditionalFormatting>
  <conditionalFormatting sqref="G894:H894 K894">
    <cfRule type="containsText" dxfId="0" priority="253" operator="containsText" text="Closed">
      <formula>NOT(ISERROR(SEARCH(("Closed"),(G894))))</formula>
    </cfRule>
  </conditionalFormatting>
  <conditionalFormatting sqref="G894:H894 K894">
    <cfRule type="containsText" dxfId="3" priority="254" operator="containsText" text="Monitor">
      <formula>NOT(ISERROR(SEARCH(("Monitor"),(G894))))</formula>
    </cfRule>
  </conditionalFormatting>
  <conditionalFormatting sqref="A893:AC894">
    <cfRule type="notContainsBlanks" dxfId="8" priority="255">
      <formula>LEN(TRIM(A893))&gt;0</formula>
    </cfRule>
  </conditionalFormatting>
  <conditionalFormatting sqref="A894:K894">
    <cfRule type="expression" dxfId="7" priority="256">
      <formula>if($G894="Closed",1,0)</formula>
    </cfRule>
  </conditionalFormatting>
  <conditionalFormatting sqref="G892:H892 K892">
    <cfRule type="containsText" dxfId="1" priority="257" operator="containsText" text="Open">
      <formula>NOT(ISERROR(SEARCH(("Open"),(G892))))</formula>
    </cfRule>
  </conditionalFormatting>
  <conditionalFormatting sqref="G892:H892 K892">
    <cfRule type="containsText" dxfId="0" priority="258" operator="containsText" text="Closed">
      <formula>NOT(ISERROR(SEARCH(("Closed"),(G892))))</formula>
    </cfRule>
  </conditionalFormatting>
  <conditionalFormatting sqref="G892:H892 K892">
    <cfRule type="containsText" dxfId="3" priority="259" operator="containsText" text="Monitor">
      <formula>NOT(ISERROR(SEARCH(("Monitor"),(G892))))</formula>
    </cfRule>
  </conditionalFormatting>
  <conditionalFormatting sqref="A891:AC892">
    <cfRule type="notContainsBlanks" dxfId="8" priority="260">
      <formula>LEN(TRIM(A891))&gt;0</formula>
    </cfRule>
  </conditionalFormatting>
  <conditionalFormatting sqref="A892:K892">
    <cfRule type="expression" dxfId="7" priority="261">
      <formula>if($G892="Closed",1,0)</formula>
    </cfRule>
  </conditionalFormatting>
  <conditionalFormatting sqref="G890:H890 K890">
    <cfRule type="containsText" dxfId="1" priority="262" operator="containsText" text="Open">
      <formula>NOT(ISERROR(SEARCH(("Open"),(G890))))</formula>
    </cfRule>
  </conditionalFormatting>
  <conditionalFormatting sqref="G890:H890 K890">
    <cfRule type="containsText" dxfId="0" priority="263" operator="containsText" text="Closed">
      <formula>NOT(ISERROR(SEARCH(("Closed"),(G890))))</formula>
    </cfRule>
  </conditionalFormatting>
  <conditionalFormatting sqref="G890:H890 K890">
    <cfRule type="containsText" dxfId="3" priority="264" operator="containsText" text="Monitor">
      <formula>NOT(ISERROR(SEARCH(("Monitor"),(G890))))</formula>
    </cfRule>
  </conditionalFormatting>
  <conditionalFormatting sqref="A889:AC890">
    <cfRule type="notContainsBlanks" dxfId="8" priority="265">
      <formula>LEN(TRIM(A889))&gt;0</formula>
    </cfRule>
  </conditionalFormatting>
  <conditionalFormatting sqref="A890:K890">
    <cfRule type="expression" dxfId="7" priority="266">
      <formula>if($G890="Closed",1,0)</formula>
    </cfRule>
  </conditionalFormatting>
  <conditionalFormatting sqref="G888:H888 K888">
    <cfRule type="containsText" dxfId="1" priority="267" operator="containsText" text="Open">
      <formula>NOT(ISERROR(SEARCH(("Open"),(G888))))</formula>
    </cfRule>
  </conditionalFormatting>
  <conditionalFormatting sqref="G888:H888 K888">
    <cfRule type="containsText" dxfId="0" priority="268" operator="containsText" text="Closed">
      <formula>NOT(ISERROR(SEARCH(("Closed"),(G888))))</formula>
    </cfRule>
  </conditionalFormatting>
  <conditionalFormatting sqref="G888:H888 K888">
    <cfRule type="containsText" dxfId="3" priority="269" operator="containsText" text="Monitor">
      <formula>NOT(ISERROR(SEARCH(("Monitor"),(G888))))</formula>
    </cfRule>
  </conditionalFormatting>
  <conditionalFormatting sqref="A887:AC888">
    <cfRule type="notContainsBlanks" dxfId="8" priority="270">
      <formula>LEN(TRIM(A887))&gt;0</formula>
    </cfRule>
  </conditionalFormatting>
  <conditionalFormatting sqref="A888:K888">
    <cfRule type="expression" dxfId="7" priority="271">
      <formula>if($G888="Closed",1,0)</formula>
    </cfRule>
  </conditionalFormatting>
  <conditionalFormatting sqref="G886:H886 K886">
    <cfRule type="containsText" dxfId="1" priority="272" operator="containsText" text="Open">
      <formula>NOT(ISERROR(SEARCH(("Open"),(G886))))</formula>
    </cfRule>
  </conditionalFormatting>
  <conditionalFormatting sqref="G886:H886 K886">
    <cfRule type="containsText" dxfId="0" priority="273" operator="containsText" text="Closed">
      <formula>NOT(ISERROR(SEARCH(("Closed"),(G886))))</formula>
    </cfRule>
  </conditionalFormatting>
  <conditionalFormatting sqref="G886:H886 K886">
    <cfRule type="containsText" dxfId="3" priority="274" operator="containsText" text="Monitor">
      <formula>NOT(ISERROR(SEARCH(("Monitor"),(G886))))</formula>
    </cfRule>
  </conditionalFormatting>
  <conditionalFormatting sqref="A885:AC886">
    <cfRule type="notContainsBlanks" dxfId="8" priority="275">
      <formula>LEN(TRIM(A885))&gt;0</formula>
    </cfRule>
  </conditionalFormatting>
  <conditionalFormatting sqref="A886:K886">
    <cfRule type="expression" dxfId="7" priority="276">
      <formula>if($G886="Closed",1,0)</formula>
    </cfRule>
  </conditionalFormatting>
  <conditionalFormatting sqref="G884:H884 K884">
    <cfRule type="containsText" dxfId="1" priority="277" operator="containsText" text="Open">
      <formula>NOT(ISERROR(SEARCH(("Open"),(G884))))</formula>
    </cfRule>
  </conditionalFormatting>
  <conditionalFormatting sqref="G884:H884 K884">
    <cfRule type="containsText" dxfId="0" priority="278" operator="containsText" text="Closed">
      <formula>NOT(ISERROR(SEARCH(("Closed"),(G884))))</formula>
    </cfRule>
  </conditionalFormatting>
  <conditionalFormatting sqref="G884:H884 K884">
    <cfRule type="containsText" dxfId="3" priority="279" operator="containsText" text="Monitor">
      <formula>NOT(ISERROR(SEARCH(("Monitor"),(G884))))</formula>
    </cfRule>
  </conditionalFormatting>
  <conditionalFormatting sqref="A883:AC884">
    <cfRule type="notContainsBlanks" dxfId="8" priority="280">
      <formula>LEN(TRIM(A883))&gt;0</formula>
    </cfRule>
  </conditionalFormatting>
  <conditionalFormatting sqref="A884:K884">
    <cfRule type="expression" dxfId="7" priority="281">
      <formula>if($G884="Closed",1,0)</formula>
    </cfRule>
  </conditionalFormatting>
  <conditionalFormatting sqref="G882:H882 K882">
    <cfRule type="containsText" dxfId="1" priority="282" operator="containsText" text="Open">
      <formula>NOT(ISERROR(SEARCH(("Open"),(G882))))</formula>
    </cfRule>
  </conditionalFormatting>
  <conditionalFormatting sqref="G882:H882 K882">
    <cfRule type="containsText" dxfId="0" priority="283" operator="containsText" text="Closed">
      <formula>NOT(ISERROR(SEARCH(("Closed"),(G882))))</formula>
    </cfRule>
  </conditionalFormatting>
  <conditionalFormatting sqref="G882:H882 K882">
    <cfRule type="containsText" dxfId="3" priority="284" operator="containsText" text="Monitor">
      <formula>NOT(ISERROR(SEARCH(("Monitor"),(G882))))</formula>
    </cfRule>
  </conditionalFormatting>
  <conditionalFormatting sqref="A881:AC882">
    <cfRule type="notContainsBlanks" dxfId="8" priority="285">
      <formula>LEN(TRIM(A881))&gt;0</formula>
    </cfRule>
  </conditionalFormatting>
  <conditionalFormatting sqref="A882:K882">
    <cfRule type="expression" dxfId="7" priority="286">
      <formula>if($G882="Closed",1,0)</formula>
    </cfRule>
  </conditionalFormatting>
  <conditionalFormatting sqref="G880:H880 K880">
    <cfRule type="containsText" dxfId="1" priority="287" operator="containsText" text="Open">
      <formula>NOT(ISERROR(SEARCH(("Open"),(G880))))</formula>
    </cfRule>
  </conditionalFormatting>
  <conditionalFormatting sqref="G880:H880 K880">
    <cfRule type="containsText" dxfId="0" priority="288" operator="containsText" text="Closed">
      <formula>NOT(ISERROR(SEARCH(("Closed"),(G880))))</formula>
    </cfRule>
  </conditionalFormatting>
  <conditionalFormatting sqref="G880:H880 K880">
    <cfRule type="containsText" dxfId="3" priority="289" operator="containsText" text="Monitor">
      <formula>NOT(ISERROR(SEARCH(("Monitor"),(G880))))</formula>
    </cfRule>
  </conditionalFormatting>
  <conditionalFormatting sqref="A879:AC880">
    <cfRule type="notContainsBlanks" dxfId="8" priority="290">
      <formula>LEN(TRIM(A879))&gt;0</formula>
    </cfRule>
  </conditionalFormatting>
  <conditionalFormatting sqref="A880:K880">
    <cfRule type="expression" dxfId="7" priority="291">
      <formula>if($G880="Closed",1,0)</formula>
    </cfRule>
  </conditionalFormatting>
  <conditionalFormatting sqref="G878:H878 K878">
    <cfRule type="containsText" dxfId="1" priority="292" operator="containsText" text="Open">
      <formula>NOT(ISERROR(SEARCH(("Open"),(G878))))</formula>
    </cfRule>
  </conditionalFormatting>
  <conditionalFormatting sqref="G878:H878 K878">
    <cfRule type="containsText" dxfId="0" priority="293" operator="containsText" text="Closed">
      <formula>NOT(ISERROR(SEARCH(("Closed"),(G878))))</formula>
    </cfRule>
  </conditionalFormatting>
  <conditionalFormatting sqref="G878:H878 K878">
    <cfRule type="containsText" dxfId="3" priority="294" operator="containsText" text="Monitor">
      <formula>NOT(ISERROR(SEARCH(("Monitor"),(G878))))</formula>
    </cfRule>
  </conditionalFormatting>
  <conditionalFormatting sqref="A877:AC878">
    <cfRule type="notContainsBlanks" dxfId="8" priority="295">
      <formula>LEN(TRIM(A877))&gt;0</formula>
    </cfRule>
  </conditionalFormatting>
  <conditionalFormatting sqref="A878:K878">
    <cfRule type="expression" dxfId="7" priority="296">
      <formula>if($G878="Closed",1,0)</formula>
    </cfRule>
  </conditionalFormatting>
  <conditionalFormatting sqref="G876:H876 K876">
    <cfRule type="containsText" dxfId="1" priority="297" operator="containsText" text="Open">
      <formula>NOT(ISERROR(SEARCH(("Open"),(G876))))</formula>
    </cfRule>
  </conditionalFormatting>
  <conditionalFormatting sqref="G876:H876 K876">
    <cfRule type="containsText" dxfId="0" priority="298" operator="containsText" text="Closed">
      <formula>NOT(ISERROR(SEARCH(("Closed"),(G876))))</formula>
    </cfRule>
  </conditionalFormatting>
  <conditionalFormatting sqref="G876:H876 K876">
    <cfRule type="containsText" dxfId="3" priority="299" operator="containsText" text="Monitor">
      <formula>NOT(ISERROR(SEARCH(("Monitor"),(G876))))</formula>
    </cfRule>
  </conditionalFormatting>
  <conditionalFormatting sqref="A875:AC876">
    <cfRule type="notContainsBlanks" dxfId="8" priority="300">
      <formula>LEN(TRIM(A875))&gt;0</formula>
    </cfRule>
  </conditionalFormatting>
  <conditionalFormatting sqref="A876:K876">
    <cfRule type="expression" dxfId="7" priority="301">
      <formula>if($G876="Closed",1,0)</formula>
    </cfRule>
  </conditionalFormatting>
  <conditionalFormatting sqref="G874:H874 K874">
    <cfRule type="containsText" dxfId="1" priority="302" operator="containsText" text="Open">
      <formula>NOT(ISERROR(SEARCH(("Open"),(G874))))</formula>
    </cfRule>
  </conditionalFormatting>
  <conditionalFormatting sqref="G874:H874 K874">
    <cfRule type="containsText" dxfId="0" priority="303" operator="containsText" text="Closed">
      <formula>NOT(ISERROR(SEARCH(("Closed"),(G874))))</formula>
    </cfRule>
  </conditionalFormatting>
  <conditionalFormatting sqref="G874:H874 K874">
    <cfRule type="containsText" dxfId="3" priority="304" operator="containsText" text="Monitor">
      <formula>NOT(ISERROR(SEARCH(("Monitor"),(G874))))</formula>
    </cfRule>
  </conditionalFormatting>
  <conditionalFormatting sqref="A873:AC874">
    <cfRule type="notContainsBlanks" dxfId="8" priority="305">
      <formula>LEN(TRIM(A873))&gt;0</formula>
    </cfRule>
  </conditionalFormatting>
  <conditionalFormatting sqref="A874:K874">
    <cfRule type="expression" dxfId="7" priority="306">
      <formula>if($G874="Closed",1,0)</formula>
    </cfRule>
  </conditionalFormatting>
  <conditionalFormatting sqref="G872:H872 K872">
    <cfRule type="containsText" dxfId="1" priority="307" operator="containsText" text="Open">
      <formula>NOT(ISERROR(SEARCH(("Open"),(G872))))</formula>
    </cfRule>
  </conditionalFormatting>
  <conditionalFormatting sqref="G872:H872 K872">
    <cfRule type="containsText" dxfId="0" priority="308" operator="containsText" text="Closed">
      <formula>NOT(ISERROR(SEARCH(("Closed"),(G872))))</formula>
    </cfRule>
  </conditionalFormatting>
  <conditionalFormatting sqref="G872:H872 K872">
    <cfRule type="containsText" dxfId="3" priority="309" operator="containsText" text="Monitor">
      <formula>NOT(ISERROR(SEARCH(("Monitor"),(G872))))</formula>
    </cfRule>
  </conditionalFormatting>
  <conditionalFormatting sqref="A871:AC872">
    <cfRule type="notContainsBlanks" dxfId="8" priority="310">
      <formula>LEN(TRIM(A871))&gt;0</formula>
    </cfRule>
  </conditionalFormatting>
  <conditionalFormatting sqref="A872:K872">
    <cfRule type="expression" dxfId="7" priority="311">
      <formula>if($G872="Closed",1,0)</formula>
    </cfRule>
  </conditionalFormatting>
  <conditionalFormatting sqref="G870:H870 K870">
    <cfRule type="containsText" dxfId="1" priority="312" operator="containsText" text="Open">
      <formula>NOT(ISERROR(SEARCH(("Open"),(G870))))</formula>
    </cfRule>
  </conditionalFormatting>
  <conditionalFormatting sqref="G870:H870 K870">
    <cfRule type="containsText" dxfId="0" priority="313" operator="containsText" text="Closed">
      <formula>NOT(ISERROR(SEARCH(("Closed"),(G870))))</formula>
    </cfRule>
  </conditionalFormatting>
  <conditionalFormatting sqref="G870:H870 K870">
    <cfRule type="containsText" dxfId="3" priority="314" operator="containsText" text="Monitor">
      <formula>NOT(ISERROR(SEARCH(("Monitor"),(G870))))</formula>
    </cfRule>
  </conditionalFormatting>
  <conditionalFormatting sqref="A869:AC870">
    <cfRule type="notContainsBlanks" dxfId="8" priority="315">
      <formula>LEN(TRIM(A869))&gt;0</formula>
    </cfRule>
  </conditionalFormatting>
  <conditionalFormatting sqref="A870:K870">
    <cfRule type="expression" dxfId="7" priority="316">
      <formula>if($G870="Closed",1,0)</formula>
    </cfRule>
  </conditionalFormatting>
  <conditionalFormatting sqref="G868:H868 K868">
    <cfRule type="containsText" dxfId="1" priority="317" operator="containsText" text="Open">
      <formula>NOT(ISERROR(SEARCH(("Open"),(G868))))</formula>
    </cfRule>
  </conditionalFormatting>
  <conditionalFormatting sqref="G868:H868 K868">
    <cfRule type="containsText" dxfId="0" priority="318" operator="containsText" text="Closed">
      <formula>NOT(ISERROR(SEARCH(("Closed"),(G868))))</formula>
    </cfRule>
  </conditionalFormatting>
  <conditionalFormatting sqref="G868:H868 K868">
    <cfRule type="containsText" dxfId="3" priority="319" operator="containsText" text="Monitor">
      <formula>NOT(ISERROR(SEARCH(("Monitor"),(G868))))</formula>
    </cfRule>
  </conditionalFormatting>
  <conditionalFormatting sqref="A867:AC868">
    <cfRule type="notContainsBlanks" dxfId="8" priority="320">
      <formula>LEN(TRIM(A867))&gt;0</formula>
    </cfRule>
  </conditionalFormatting>
  <conditionalFormatting sqref="A868:K868">
    <cfRule type="expression" dxfId="7" priority="321">
      <formula>if($G868="Closed",1,0)</formula>
    </cfRule>
  </conditionalFormatting>
  <conditionalFormatting sqref="G866:H866 K866">
    <cfRule type="containsText" dxfId="1" priority="322" operator="containsText" text="Open">
      <formula>NOT(ISERROR(SEARCH(("Open"),(G866))))</formula>
    </cfRule>
  </conditionalFormatting>
  <conditionalFormatting sqref="G866:H866 K866">
    <cfRule type="containsText" dxfId="0" priority="323" operator="containsText" text="Closed">
      <formula>NOT(ISERROR(SEARCH(("Closed"),(G866))))</formula>
    </cfRule>
  </conditionalFormatting>
  <conditionalFormatting sqref="G866:H866 K866">
    <cfRule type="containsText" dxfId="3" priority="324" operator="containsText" text="Monitor">
      <formula>NOT(ISERROR(SEARCH(("Monitor"),(G866))))</formula>
    </cfRule>
  </conditionalFormatting>
  <conditionalFormatting sqref="A865:AC866">
    <cfRule type="notContainsBlanks" dxfId="8" priority="325">
      <formula>LEN(TRIM(A865))&gt;0</formula>
    </cfRule>
  </conditionalFormatting>
  <conditionalFormatting sqref="A866:K866">
    <cfRule type="expression" dxfId="7" priority="326">
      <formula>if($G866="Closed",1,0)</formula>
    </cfRule>
  </conditionalFormatting>
  <conditionalFormatting sqref="G864:H864 K864">
    <cfRule type="containsText" dxfId="1" priority="327" operator="containsText" text="Open">
      <formula>NOT(ISERROR(SEARCH(("Open"),(G864))))</formula>
    </cfRule>
  </conditionalFormatting>
  <conditionalFormatting sqref="G864:H864 K864">
    <cfRule type="containsText" dxfId="0" priority="328" operator="containsText" text="Closed">
      <formula>NOT(ISERROR(SEARCH(("Closed"),(G864))))</formula>
    </cfRule>
  </conditionalFormatting>
  <conditionalFormatting sqref="G864:H864 K864">
    <cfRule type="containsText" dxfId="3" priority="329" operator="containsText" text="Monitor">
      <formula>NOT(ISERROR(SEARCH(("Monitor"),(G864))))</formula>
    </cfRule>
  </conditionalFormatting>
  <conditionalFormatting sqref="A863:AC864">
    <cfRule type="notContainsBlanks" dxfId="8" priority="330">
      <formula>LEN(TRIM(A863))&gt;0</formula>
    </cfRule>
  </conditionalFormatting>
  <conditionalFormatting sqref="A864:K864">
    <cfRule type="expression" dxfId="7" priority="331">
      <formula>if($G864="Closed",1,0)</formula>
    </cfRule>
  </conditionalFormatting>
  <conditionalFormatting sqref="G862:H862 K862">
    <cfRule type="containsText" dxfId="1" priority="332" operator="containsText" text="Open">
      <formula>NOT(ISERROR(SEARCH(("Open"),(G862))))</formula>
    </cfRule>
  </conditionalFormatting>
  <conditionalFormatting sqref="G862:H862 K862">
    <cfRule type="containsText" dxfId="0" priority="333" operator="containsText" text="Closed">
      <formula>NOT(ISERROR(SEARCH(("Closed"),(G862))))</formula>
    </cfRule>
  </conditionalFormatting>
  <conditionalFormatting sqref="G862:H862 K862">
    <cfRule type="containsText" dxfId="3" priority="334" operator="containsText" text="Monitor">
      <formula>NOT(ISERROR(SEARCH(("Monitor"),(G862))))</formula>
    </cfRule>
  </conditionalFormatting>
  <conditionalFormatting sqref="A861:AC862">
    <cfRule type="notContainsBlanks" dxfId="8" priority="335">
      <formula>LEN(TRIM(A861))&gt;0</formula>
    </cfRule>
  </conditionalFormatting>
  <conditionalFormatting sqref="A862:K862">
    <cfRule type="expression" dxfId="7" priority="336">
      <formula>if($G862="Closed",1,0)</formula>
    </cfRule>
  </conditionalFormatting>
  <conditionalFormatting sqref="G860:H860 K860">
    <cfRule type="containsText" dxfId="1" priority="337" operator="containsText" text="Open">
      <formula>NOT(ISERROR(SEARCH(("Open"),(G860))))</formula>
    </cfRule>
  </conditionalFormatting>
  <conditionalFormatting sqref="G860:H860 K860">
    <cfRule type="containsText" dxfId="0" priority="338" operator="containsText" text="Closed">
      <formula>NOT(ISERROR(SEARCH(("Closed"),(G860))))</formula>
    </cfRule>
  </conditionalFormatting>
  <conditionalFormatting sqref="G860:H860 K860">
    <cfRule type="containsText" dxfId="3" priority="339" operator="containsText" text="Monitor">
      <formula>NOT(ISERROR(SEARCH(("Monitor"),(G860))))</formula>
    </cfRule>
  </conditionalFormatting>
  <conditionalFormatting sqref="A859:AC860">
    <cfRule type="notContainsBlanks" dxfId="8" priority="340">
      <formula>LEN(TRIM(A859))&gt;0</formula>
    </cfRule>
  </conditionalFormatting>
  <conditionalFormatting sqref="A860:K860">
    <cfRule type="expression" dxfId="7" priority="341">
      <formula>if($G860="Closed",1,0)</formula>
    </cfRule>
  </conditionalFormatting>
  <conditionalFormatting sqref="G858:H858 K858">
    <cfRule type="containsText" dxfId="1" priority="342" operator="containsText" text="Open">
      <formula>NOT(ISERROR(SEARCH(("Open"),(G858))))</formula>
    </cfRule>
  </conditionalFormatting>
  <conditionalFormatting sqref="G858:H858 K858">
    <cfRule type="containsText" dxfId="0" priority="343" operator="containsText" text="Closed">
      <formula>NOT(ISERROR(SEARCH(("Closed"),(G858))))</formula>
    </cfRule>
  </conditionalFormatting>
  <conditionalFormatting sqref="G858:H858 K858">
    <cfRule type="containsText" dxfId="3" priority="344" operator="containsText" text="Monitor">
      <formula>NOT(ISERROR(SEARCH(("Monitor"),(G858))))</formula>
    </cfRule>
  </conditionalFormatting>
  <conditionalFormatting sqref="A857:AC858">
    <cfRule type="notContainsBlanks" dxfId="8" priority="345">
      <formula>LEN(TRIM(A857))&gt;0</formula>
    </cfRule>
  </conditionalFormatting>
  <conditionalFormatting sqref="A858:K858">
    <cfRule type="expression" dxfId="7" priority="346">
      <formula>if($G858="Closed",1,0)</formula>
    </cfRule>
  </conditionalFormatting>
  <conditionalFormatting sqref="G856:H856 K856">
    <cfRule type="containsText" dxfId="1" priority="347" operator="containsText" text="Open">
      <formula>NOT(ISERROR(SEARCH(("Open"),(G856))))</formula>
    </cfRule>
  </conditionalFormatting>
  <conditionalFormatting sqref="G856:H856 K856">
    <cfRule type="containsText" dxfId="0" priority="348" operator="containsText" text="Closed">
      <formula>NOT(ISERROR(SEARCH(("Closed"),(G856))))</formula>
    </cfRule>
  </conditionalFormatting>
  <conditionalFormatting sqref="G856:H856 K856">
    <cfRule type="containsText" dxfId="3" priority="349" operator="containsText" text="Monitor">
      <formula>NOT(ISERROR(SEARCH(("Monitor"),(G856))))</formula>
    </cfRule>
  </conditionalFormatting>
  <conditionalFormatting sqref="A855:AC856">
    <cfRule type="notContainsBlanks" dxfId="8" priority="350">
      <formula>LEN(TRIM(A855))&gt;0</formula>
    </cfRule>
  </conditionalFormatting>
  <conditionalFormatting sqref="A856:K856">
    <cfRule type="expression" dxfId="7" priority="351">
      <formula>if($G856="Closed",1,0)</formula>
    </cfRule>
  </conditionalFormatting>
  <conditionalFormatting sqref="G854:H854 K854">
    <cfRule type="containsText" dxfId="1" priority="352" operator="containsText" text="Open">
      <formula>NOT(ISERROR(SEARCH(("Open"),(G854))))</formula>
    </cfRule>
  </conditionalFormatting>
  <conditionalFormatting sqref="G854:H854 K854">
    <cfRule type="containsText" dxfId="0" priority="353" operator="containsText" text="Closed">
      <formula>NOT(ISERROR(SEARCH(("Closed"),(G854))))</formula>
    </cfRule>
  </conditionalFormatting>
  <conditionalFormatting sqref="G854:H854 K854">
    <cfRule type="containsText" dxfId="3" priority="354" operator="containsText" text="Monitor">
      <formula>NOT(ISERROR(SEARCH(("Monitor"),(G854))))</formula>
    </cfRule>
  </conditionalFormatting>
  <conditionalFormatting sqref="A853:AC854">
    <cfRule type="notContainsBlanks" dxfId="8" priority="355">
      <formula>LEN(TRIM(A853))&gt;0</formula>
    </cfRule>
  </conditionalFormatting>
  <conditionalFormatting sqref="A854:K854">
    <cfRule type="expression" dxfId="7" priority="356">
      <formula>if($G854="Closed",1,0)</formula>
    </cfRule>
  </conditionalFormatting>
  <conditionalFormatting sqref="G852:H852 K852">
    <cfRule type="containsText" dxfId="1" priority="357" operator="containsText" text="Open">
      <formula>NOT(ISERROR(SEARCH(("Open"),(G852))))</formula>
    </cfRule>
  </conditionalFormatting>
  <conditionalFormatting sqref="G852:H852 K852">
    <cfRule type="containsText" dxfId="0" priority="358" operator="containsText" text="Closed">
      <formula>NOT(ISERROR(SEARCH(("Closed"),(G852))))</formula>
    </cfRule>
  </conditionalFormatting>
  <conditionalFormatting sqref="G852:H852 K852">
    <cfRule type="containsText" dxfId="3" priority="359" operator="containsText" text="Monitor">
      <formula>NOT(ISERROR(SEARCH(("Monitor"),(G852))))</formula>
    </cfRule>
  </conditionalFormatting>
  <conditionalFormatting sqref="A851:AC852">
    <cfRule type="notContainsBlanks" dxfId="8" priority="360">
      <formula>LEN(TRIM(A851))&gt;0</formula>
    </cfRule>
  </conditionalFormatting>
  <conditionalFormatting sqref="A852:K852">
    <cfRule type="expression" dxfId="7" priority="361">
      <formula>if($G852="Closed",1,0)</formula>
    </cfRule>
  </conditionalFormatting>
  <conditionalFormatting sqref="G850:H850 K850">
    <cfRule type="containsText" dxfId="1" priority="362" operator="containsText" text="Open">
      <formula>NOT(ISERROR(SEARCH(("Open"),(G850))))</formula>
    </cfRule>
  </conditionalFormatting>
  <conditionalFormatting sqref="G850:H850 K850">
    <cfRule type="containsText" dxfId="0" priority="363" operator="containsText" text="Closed">
      <formula>NOT(ISERROR(SEARCH(("Closed"),(G850))))</formula>
    </cfRule>
  </conditionalFormatting>
  <conditionalFormatting sqref="G850:H850 K850">
    <cfRule type="containsText" dxfId="3" priority="364" operator="containsText" text="Monitor">
      <formula>NOT(ISERROR(SEARCH(("Monitor"),(G850))))</formula>
    </cfRule>
  </conditionalFormatting>
  <conditionalFormatting sqref="A849:AC850">
    <cfRule type="notContainsBlanks" dxfId="8" priority="365">
      <formula>LEN(TRIM(A849))&gt;0</formula>
    </cfRule>
  </conditionalFormatting>
  <conditionalFormatting sqref="A850:K850">
    <cfRule type="expression" dxfId="7" priority="366">
      <formula>if($G850="Closed",1,0)</formula>
    </cfRule>
  </conditionalFormatting>
  <conditionalFormatting sqref="G848:H848 K848">
    <cfRule type="containsText" dxfId="1" priority="367" operator="containsText" text="Open">
      <formula>NOT(ISERROR(SEARCH(("Open"),(G848))))</formula>
    </cfRule>
  </conditionalFormatting>
  <conditionalFormatting sqref="G848:H848 K848">
    <cfRule type="containsText" dxfId="0" priority="368" operator="containsText" text="Closed">
      <formula>NOT(ISERROR(SEARCH(("Closed"),(G848))))</formula>
    </cfRule>
  </conditionalFormatting>
  <conditionalFormatting sqref="G848:H848 K848">
    <cfRule type="containsText" dxfId="3" priority="369" operator="containsText" text="Monitor">
      <formula>NOT(ISERROR(SEARCH(("Monitor"),(G848))))</formula>
    </cfRule>
  </conditionalFormatting>
  <conditionalFormatting sqref="A847:AC848">
    <cfRule type="notContainsBlanks" dxfId="8" priority="370">
      <formula>LEN(TRIM(A847))&gt;0</formula>
    </cfRule>
  </conditionalFormatting>
  <conditionalFormatting sqref="A848:K848">
    <cfRule type="expression" dxfId="7" priority="371">
      <formula>if($G848="Closed",1,0)</formula>
    </cfRule>
  </conditionalFormatting>
  <conditionalFormatting sqref="G846:H846 K846">
    <cfRule type="containsText" dxfId="1" priority="372" operator="containsText" text="Open">
      <formula>NOT(ISERROR(SEARCH(("Open"),(G846))))</formula>
    </cfRule>
  </conditionalFormatting>
  <conditionalFormatting sqref="G846:H846 K846">
    <cfRule type="containsText" dxfId="0" priority="373" operator="containsText" text="Closed">
      <formula>NOT(ISERROR(SEARCH(("Closed"),(G846))))</formula>
    </cfRule>
  </conditionalFormatting>
  <conditionalFormatting sqref="G846:H846 K846">
    <cfRule type="containsText" dxfId="3" priority="374" operator="containsText" text="Monitor">
      <formula>NOT(ISERROR(SEARCH(("Monitor"),(G846))))</formula>
    </cfRule>
  </conditionalFormatting>
  <conditionalFormatting sqref="A845:AC846">
    <cfRule type="notContainsBlanks" dxfId="8" priority="375">
      <formula>LEN(TRIM(A845))&gt;0</formula>
    </cfRule>
  </conditionalFormatting>
  <conditionalFormatting sqref="A846:K846">
    <cfRule type="expression" dxfId="7" priority="376">
      <formula>if($G846="Closed",1,0)</formula>
    </cfRule>
  </conditionalFormatting>
  <conditionalFormatting sqref="G844:H844 K844">
    <cfRule type="containsText" dxfId="1" priority="377" operator="containsText" text="Open">
      <formula>NOT(ISERROR(SEARCH(("Open"),(G844))))</formula>
    </cfRule>
  </conditionalFormatting>
  <conditionalFormatting sqref="G844:H844 K844">
    <cfRule type="containsText" dxfId="0" priority="378" operator="containsText" text="Closed">
      <formula>NOT(ISERROR(SEARCH(("Closed"),(G844))))</formula>
    </cfRule>
  </conditionalFormatting>
  <conditionalFormatting sqref="G844:H844 K844">
    <cfRule type="containsText" dxfId="3" priority="379" operator="containsText" text="Monitor">
      <formula>NOT(ISERROR(SEARCH(("Monitor"),(G844))))</formula>
    </cfRule>
  </conditionalFormatting>
  <conditionalFormatting sqref="A843:AC844">
    <cfRule type="notContainsBlanks" dxfId="8" priority="380">
      <formula>LEN(TRIM(A843))&gt;0</formula>
    </cfRule>
  </conditionalFormatting>
  <conditionalFormatting sqref="A844:K844">
    <cfRule type="expression" dxfId="7" priority="381">
      <formula>if($G844="Closed",1,0)</formula>
    </cfRule>
  </conditionalFormatting>
  <conditionalFormatting sqref="G842:H842 K842">
    <cfRule type="containsText" dxfId="1" priority="382" operator="containsText" text="Open">
      <formula>NOT(ISERROR(SEARCH(("Open"),(G842))))</formula>
    </cfRule>
  </conditionalFormatting>
  <conditionalFormatting sqref="G842:H842 K842">
    <cfRule type="containsText" dxfId="0" priority="383" operator="containsText" text="Closed">
      <formula>NOT(ISERROR(SEARCH(("Closed"),(G842))))</formula>
    </cfRule>
  </conditionalFormatting>
  <conditionalFormatting sqref="G842:H842 K842">
    <cfRule type="containsText" dxfId="3" priority="384" operator="containsText" text="Monitor">
      <formula>NOT(ISERROR(SEARCH(("Monitor"),(G842))))</formula>
    </cfRule>
  </conditionalFormatting>
  <conditionalFormatting sqref="A841:AC842">
    <cfRule type="notContainsBlanks" dxfId="8" priority="385">
      <formula>LEN(TRIM(A841))&gt;0</formula>
    </cfRule>
  </conditionalFormatting>
  <conditionalFormatting sqref="A842:K842">
    <cfRule type="expression" dxfId="7" priority="386">
      <formula>if($G842="Closed",1,0)</formula>
    </cfRule>
  </conditionalFormatting>
  <conditionalFormatting sqref="G840:H840 K840">
    <cfRule type="containsText" dxfId="1" priority="387" operator="containsText" text="Open">
      <formula>NOT(ISERROR(SEARCH(("Open"),(G840))))</formula>
    </cfRule>
  </conditionalFormatting>
  <conditionalFormatting sqref="G840:H840 K840">
    <cfRule type="containsText" dxfId="0" priority="388" operator="containsText" text="Closed">
      <formula>NOT(ISERROR(SEARCH(("Closed"),(G840))))</formula>
    </cfRule>
  </conditionalFormatting>
  <conditionalFormatting sqref="G840:H840 K840">
    <cfRule type="containsText" dxfId="3" priority="389" operator="containsText" text="Monitor">
      <formula>NOT(ISERROR(SEARCH(("Monitor"),(G840))))</formula>
    </cfRule>
  </conditionalFormatting>
  <conditionalFormatting sqref="A839:AC840">
    <cfRule type="notContainsBlanks" dxfId="8" priority="390">
      <formula>LEN(TRIM(A839))&gt;0</formula>
    </cfRule>
  </conditionalFormatting>
  <conditionalFormatting sqref="A840:K840">
    <cfRule type="expression" dxfId="7" priority="391">
      <formula>if($G840="Closed",1,0)</formula>
    </cfRule>
  </conditionalFormatting>
  <conditionalFormatting sqref="G838:H838 K838">
    <cfRule type="containsText" dxfId="1" priority="392" operator="containsText" text="Open">
      <formula>NOT(ISERROR(SEARCH(("Open"),(G838))))</formula>
    </cfRule>
  </conditionalFormatting>
  <conditionalFormatting sqref="G838:H838 K838">
    <cfRule type="containsText" dxfId="0" priority="393" operator="containsText" text="Closed">
      <formula>NOT(ISERROR(SEARCH(("Closed"),(G838))))</formula>
    </cfRule>
  </conditionalFormatting>
  <conditionalFormatting sqref="G838:H838 K838">
    <cfRule type="containsText" dxfId="3" priority="394" operator="containsText" text="Monitor">
      <formula>NOT(ISERROR(SEARCH(("Monitor"),(G838))))</formula>
    </cfRule>
  </conditionalFormatting>
  <conditionalFormatting sqref="A837:AC838">
    <cfRule type="notContainsBlanks" dxfId="8" priority="395">
      <formula>LEN(TRIM(A837))&gt;0</formula>
    </cfRule>
  </conditionalFormatting>
  <conditionalFormatting sqref="A838:K838">
    <cfRule type="expression" dxfId="7" priority="396">
      <formula>if($G838="Closed",1,0)</formula>
    </cfRule>
  </conditionalFormatting>
  <conditionalFormatting sqref="G836:H836 K836">
    <cfRule type="containsText" dxfId="1" priority="397" operator="containsText" text="Open">
      <formula>NOT(ISERROR(SEARCH(("Open"),(G836))))</formula>
    </cfRule>
  </conditionalFormatting>
  <conditionalFormatting sqref="G836:H836 K836">
    <cfRule type="containsText" dxfId="0" priority="398" operator="containsText" text="Closed">
      <formula>NOT(ISERROR(SEARCH(("Closed"),(G836))))</formula>
    </cfRule>
  </conditionalFormatting>
  <conditionalFormatting sqref="G836:H836 K836">
    <cfRule type="containsText" dxfId="3" priority="399" operator="containsText" text="Monitor">
      <formula>NOT(ISERROR(SEARCH(("Monitor"),(G836))))</formula>
    </cfRule>
  </conditionalFormatting>
  <conditionalFormatting sqref="A835:AC836">
    <cfRule type="notContainsBlanks" dxfId="8" priority="400">
      <formula>LEN(TRIM(A835))&gt;0</formula>
    </cfRule>
  </conditionalFormatting>
  <conditionalFormatting sqref="A836:K836">
    <cfRule type="expression" dxfId="7" priority="401">
      <formula>if($G836="Closed",1,0)</formula>
    </cfRule>
  </conditionalFormatting>
  <conditionalFormatting sqref="G834:H834 K834">
    <cfRule type="containsText" dxfId="1" priority="402" operator="containsText" text="Open">
      <formula>NOT(ISERROR(SEARCH(("Open"),(G834))))</formula>
    </cfRule>
  </conditionalFormatting>
  <conditionalFormatting sqref="G834:H834 K834">
    <cfRule type="containsText" dxfId="0" priority="403" operator="containsText" text="Closed">
      <formula>NOT(ISERROR(SEARCH(("Closed"),(G834))))</formula>
    </cfRule>
  </conditionalFormatting>
  <conditionalFormatting sqref="G834:H834 K834">
    <cfRule type="containsText" dxfId="3" priority="404" operator="containsText" text="Monitor">
      <formula>NOT(ISERROR(SEARCH(("Monitor"),(G834))))</formula>
    </cfRule>
  </conditionalFormatting>
  <conditionalFormatting sqref="A833:AC834">
    <cfRule type="notContainsBlanks" dxfId="8" priority="405">
      <formula>LEN(TRIM(A833))&gt;0</formula>
    </cfRule>
  </conditionalFormatting>
  <conditionalFormatting sqref="A834:K834">
    <cfRule type="expression" dxfId="7" priority="406">
      <formula>if($G834="Closed",1,0)</formula>
    </cfRule>
  </conditionalFormatting>
  <conditionalFormatting sqref="G832:H832 K832">
    <cfRule type="containsText" dxfId="1" priority="407" operator="containsText" text="Open">
      <formula>NOT(ISERROR(SEARCH(("Open"),(G832))))</formula>
    </cfRule>
  </conditionalFormatting>
  <conditionalFormatting sqref="G832:H832 K832">
    <cfRule type="containsText" dxfId="0" priority="408" operator="containsText" text="Closed">
      <formula>NOT(ISERROR(SEARCH(("Closed"),(G832))))</formula>
    </cfRule>
  </conditionalFormatting>
  <conditionalFormatting sqref="G832:H832 K832">
    <cfRule type="containsText" dxfId="3" priority="409" operator="containsText" text="Monitor">
      <formula>NOT(ISERROR(SEARCH(("Monitor"),(G832))))</formula>
    </cfRule>
  </conditionalFormatting>
  <conditionalFormatting sqref="A831:AC832">
    <cfRule type="notContainsBlanks" dxfId="8" priority="410">
      <formula>LEN(TRIM(A831))&gt;0</formula>
    </cfRule>
  </conditionalFormatting>
  <conditionalFormatting sqref="A832:K832">
    <cfRule type="expression" dxfId="7" priority="411">
      <formula>if($G832="Closed",1,0)</formula>
    </cfRule>
  </conditionalFormatting>
  <conditionalFormatting sqref="G830:H830 K830">
    <cfRule type="containsText" dxfId="1" priority="412" operator="containsText" text="Open">
      <formula>NOT(ISERROR(SEARCH(("Open"),(G830))))</formula>
    </cfRule>
  </conditionalFormatting>
  <conditionalFormatting sqref="G830:H830 K830">
    <cfRule type="containsText" dxfId="0" priority="413" operator="containsText" text="Closed">
      <formula>NOT(ISERROR(SEARCH(("Closed"),(G830))))</formula>
    </cfRule>
  </conditionalFormatting>
  <conditionalFormatting sqref="G830:H830 K830">
    <cfRule type="containsText" dxfId="3" priority="414" operator="containsText" text="Monitor">
      <formula>NOT(ISERROR(SEARCH(("Monitor"),(G830))))</formula>
    </cfRule>
  </conditionalFormatting>
  <conditionalFormatting sqref="A829:AC830">
    <cfRule type="notContainsBlanks" dxfId="8" priority="415">
      <formula>LEN(TRIM(A829))&gt;0</formula>
    </cfRule>
  </conditionalFormatting>
  <conditionalFormatting sqref="A830:K830">
    <cfRule type="expression" dxfId="7" priority="416">
      <formula>if($G830="Closed",1,0)</formula>
    </cfRule>
  </conditionalFormatting>
  <conditionalFormatting sqref="G828:H828 K828">
    <cfRule type="containsText" dxfId="1" priority="417" operator="containsText" text="Open">
      <formula>NOT(ISERROR(SEARCH(("Open"),(G828))))</formula>
    </cfRule>
  </conditionalFormatting>
  <conditionalFormatting sqref="G828:H828 K828">
    <cfRule type="containsText" dxfId="0" priority="418" operator="containsText" text="Closed">
      <formula>NOT(ISERROR(SEARCH(("Closed"),(G828))))</formula>
    </cfRule>
  </conditionalFormatting>
  <conditionalFormatting sqref="G828:H828 K828">
    <cfRule type="containsText" dxfId="3" priority="419" operator="containsText" text="Monitor">
      <formula>NOT(ISERROR(SEARCH(("Monitor"),(G828))))</formula>
    </cfRule>
  </conditionalFormatting>
  <conditionalFormatting sqref="A827:AC828">
    <cfRule type="notContainsBlanks" dxfId="8" priority="420">
      <formula>LEN(TRIM(A827))&gt;0</formula>
    </cfRule>
  </conditionalFormatting>
  <conditionalFormatting sqref="A828:K828">
    <cfRule type="expression" dxfId="7" priority="421">
      <formula>if($G828="Closed",1,0)</formula>
    </cfRule>
  </conditionalFormatting>
  <conditionalFormatting sqref="G826:H826 K826">
    <cfRule type="containsText" dxfId="1" priority="422" operator="containsText" text="Open">
      <formula>NOT(ISERROR(SEARCH(("Open"),(G826))))</formula>
    </cfRule>
  </conditionalFormatting>
  <conditionalFormatting sqref="G826:H826 K826">
    <cfRule type="containsText" dxfId="0" priority="423" operator="containsText" text="Closed">
      <formula>NOT(ISERROR(SEARCH(("Closed"),(G826))))</formula>
    </cfRule>
  </conditionalFormatting>
  <conditionalFormatting sqref="G826:H826 K826">
    <cfRule type="containsText" dxfId="3" priority="424" operator="containsText" text="Monitor">
      <formula>NOT(ISERROR(SEARCH(("Monitor"),(G826))))</formula>
    </cfRule>
  </conditionalFormatting>
  <conditionalFormatting sqref="A825:AC826">
    <cfRule type="notContainsBlanks" dxfId="8" priority="425">
      <formula>LEN(TRIM(A825))&gt;0</formula>
    </cfRule>
  </conditionalFormatting>
  <conditionalFormatting sqref="A826:K826">
    <cfRule type="expression" dxfId="7" priority="426">
      <formula>if($G826="Closed",1,0)</formula>
    </cfRule>
  </conditionalFormatting>
  <conditionalFormatting sqref="G824:H824 K824">
    <cfRule type="containsText" dxfId="1" priority="427" operator="containsText" text="Open">
      <formula>NOT(ISERROR(SEARCH(("Open"),(G824))))</formula>
    </cfRule>
  </conditionalFormatting>
  <conditionalFormatting sqref="G824:H824 K824">
    <cfRule type="containsText" dxfId="0" priority="428" operator="containsText" text="Closed">
      <formula>NOT(ISERROR(SEARCH(("Closed"),(G824))))</formula>
    </cfRule>
  </conditionalFormatting>
  <conditionalFormatting sqref="G824:H824 K824">
    <cfRule type="containsText" dxfId="3" priority="429" operator="containsText" text="Monitor">
      <formula>NOT(ISERROR(SEARCH(("Monitor"),(G824))))</formula>
    </cfRule>
  </conditionalFormatting>
  <conditionalFormatting sqref="A823:AC824">
    <cfRule type="notContainsBlanks" dxfId="8" priority="430">
      <formula>LEN(TRIM(A823))&gt;0</formula>
    </cfRule>
  </conditionalFormatting>
  <conditionalFormatting sqref="A824:K824">
    <cfRule type="expression" dxfId="7" priority="431">
      <formula>if($G824="Closed",1,0)</formula>
    </cfRule>
  </conditionalFormatting>
  <conditionalFormatting sqref="G822:H822 K822">
    <cfRule type="containsText" dxfId="1" priority="432" operator="containsText" text="Open">
      <formula>NOT(ISERROR(SEARCH(("Open"),(G822))))</formula>
    </cfRule>
  </conditionalFormatting>
  <conditionalFormatting sqref="G822:H822 K822">
    <cfRule type="containsText" dxfId="0" priority="433" operator="containsText" text="Closed">
      <formula>NOT(ISERROR(SEARCH(("Closed"),(G822))))</formula>
    </cfRule>
  </conditionalFormatting>
  <conditionalFormatting sqref="G822:H822 K822">
    <cfRule type="containsText" dxfId="3" priority="434" operator="containsText" text="Monitor">
      <formula>NOT(ISERROR(SEARCH(("Monitor"),(G822))))</formula>
    </cfRule>
  </conditionalFormatting>
  <conditionalFormatting sqref="A821:AC822">
    <cfRule type="notContainsBlanks" dxfId="8" priority="435">
      <formula>LEN(TRIM(A821))&gt;0</formula>
    </cfRule>
  </conditionalFormatting>
  <conditionalFormatting sqref="A822:K822">
    <cfRule type="expression" dxfId="7" priority="436">
      <formula>if($G822="Closed",1,0)</formula>
    </cfRule>
  </conditionalFormatting>
  <conditionalFormatting sqref="G820:H820 K820">
    <cfRule type="containsText" dxfId="1" priority="437" operator="containsText" text="Open">
      <formula>NOT(ISERROR(SEARCH(("Open"),(G820))))</formula>
    </cfRule>
  </conditionalFormatting>
  <conditionalFormatting sqref="G820:H820 K820">
    <cfRule type="containsText" dxfId="0" priority="438" operator="containsText" text="Closed">
      <formula>NOT(ISERROR(SEARCH(("Closed"),(G820))))</formula>
    </cfRule>
  </conditionalFormatting>
  <conditionalFormatting sqref="G820:H820 K820">
    <cfRule type="containsText" dxfId="3" priority="439" operator="containsText" text="Monitor">
      <formula>NOT(ISERROR(SEARCH(("Monitor"),(G820))))</formula>
    </cfRule>
  </conditionalFormatting>
  <conditionalFormatting sqref="A819:AC820">
    <cfRule type="notContainsBlanks" dxfId="8" priority="440">
      <formula>LEN(TRIM(A819))&gt;0</formula>
    </cfRule>
  </conditionalFormatting>
  <conditionalFormatting sqref="A820:K820">
    <cfRule type="expression" dxfId="7" priority="441">
      <formula>if($G820="Closed",1,0)</formula>
    </cfRule>
  </conditionalFormatting>
  <conditionalFormatting sqref="G818:H818 K818">
    <cfRule type="containsText" dxfId="1" priority="442" operator="containsText" text="Open">
      <formula>NOT(ISERROR(SEARCH(("Open"),(G818))))</formula>
    </cfRule>
  </conditionalFormatting>
  <conditionalFormatting sqref="G818:H818 K818">
    <cfRule type="containsText" dxfId="0" priority="443" operator="containsText" text="Closed">
      <formula>NOT(ISERROR(SEARCH(("Closed"),(G818))))</formula>
    </cfRule>
  </conditionalFormatting>
  <conditionalFormatting sqref="G818:H818 K818">
    <cfRule type="containsText" dxfId="3" priority="444" operator="containsText" text="Monitor">
      <formula>NOT(ISERROR(SEARCH(("Monitor"),(G818))))</formula>
    </cfRule>
  </conditionalFormatting>
  <conditionalFormatting sqref="A817:AC818">
    <cfRule type="notContainsBlanks" dxfId="8" priority="445">
      <formula>LEN(TRIM(A817))&gt;0</formula>
    </cfRule>
  </conditionalFormatting>
  <conditionalFormatting sqref="A818:K818">
    <cfRule type="expression" dxfId="7" priority="446">
      <formula>if($G818="Closed",1,0)</formula>
    </cfRule>
  </conditionalFormatting>
  <conditionalFormatting sqref="G816:H816 K816">
    <cfRule type="containsText" dxfId="1" priority="447" operator="containsText" text="Open">
      <formula>NOT(ISERROR(SEARCH(("Open"),(G816))))</formula>
    </cfRule>
  </conditionalFormatting>
  <conditionalFormatting sqref="G816:H816 K816">
    <cfRule type="containsText" dxfId="0" priority="448" operator="containsText" text="Closed">
      <formula>NOT(ISERROR(SEARCH(("Closed"),(G816))))</formula>
    </cfRule>
  </conditionalFormatting>
  <conditionalFormatting sqref="G816:H816 K816">
    <cfRule type="containsText" dxfId="3" priority="449" operator="containsText" text="Monitor">
      <formula>NOT(ISERROR(SEARCH(("Monitor"),(G816))))</formula>
    </cfRule>
  </conditionalFormatting>
  <conditionalFormatting sqref="A815:AC816">
    <cfRule type="notContainsBlanks" dxfId="8" priority="450">
      <formula>LEN(TRIM(A815))&gt;0</formula>
    </cfRule>
  </conditionalFormatting>
  <conditionalFormatting sqref="A816:K816">
    <cfRule type="expression" dxfId="7" priority="451">
      <formula>if($G816="Closed",1,0)</formula>
    </cfRule>
  </conditionalFormatting>
  <conditionalFormatting sqref="G814:H814 K814">
    <cfRule type="containsText" dxfId="1" priority="452" operator="containsText" text="Open">
      <formula>NOT(ISERROR(SEARCH(("Open"),(G814))))</formula>
    </cfRule>
  </conditionalFormatting>
  <conditionalFormatting sqref="G814:H814 K814">
    <cfRule type="containsText" dxfId="0" priority="453" operator="containsText" text="Closed">
      <formula>NOT(ISERROR(SEARCH(("Closed"),(G814))))</formula>
    </cfRule>
  </conditionalFormatting>
  <conditionalFormatting sqref="G814:H814 K814">
    <cfRule type="containsText" dxfId="3" priority="454" operator="containsText" text="Monitor">
      <formula>NOT(ISERROR(SEARCH(("Monitor"),(G814))))</formula>
    </cfRule>
  </conditionalFormatting>
  <conditionalFormatting sqref="A813:AC814">
    <cfRule type="notContainsBlanks" dxfId="8" priority="455">
      <formula>LEN(TRIM(A813))&gt;0</formula>
    </cfRule>
  </conditionalFormatting>
  <conditionalFormatting sqref="A814:K814">
    <cfRule type="expression" dxfId="7" priority="456">
      <formula>if($G814="Closed",1,0)</formula>
    </cfRule>
  </conditionalFormatting>
  <conditionalFormatting sqref="G812:H812 K812">
    <cfRule type="containsText" dxfId="1" priority="457" operator="containsText" text="Open">
      <formula>NOT(ISERROR(SEARCH(("Open"),(G812))))</formula>
    </cfRule>
  </conditionalFormatting>
  <conditionalFormatting sqref="G812:H812 K812">
    <cfRule type="containsText" dxfId="0" priority="458" operator="containsText" text="Closed">
      <formula>NOT(ISERROR(SEARCH(("Closed"),(G812))))</formula>
    </cfRule>
  </conditionalFormatting>
  <conditionalFormatting sqref="G812:H812 K812">
    <cfRule type="containsText" dxfId="3" priority="459" operator="containsText" text="Monitor">
      <formula>NOT(ISERROR(SEARCH(("Monitor"),(G812))))</formula>
    </cfRule>
  </conditionalFormatting>
  <conditionalFormatting sqref="A811:AC812">
    <cfRule type="notContainsBlanks" dxfId="8" priority="460">
      <formula>LEN(TRIM(A811))&gt;0</formula>
    </cfRule>
  </conditionalFormatting>
  <conditionalFormatting sqref="A812:K812">
    <cfRule type="expression" dxfId="7" priority="461">
      <formula>if($G812="Closed",1,0)</formula>
    </cfRule>
  </conditionalFormatting>
  <conditionalFormatting sqref="G810:H810 K810">
    <cfRule type="containsText" dxfId="1" priority="462" operator="containsText" text="Open">
      <formula>NOT(ISERROR(SEARCH(("Open"),(G810))))</formula>
    </cfRule>
  </conditionalFormatting>
  <conditionalFormatting sqref="G810:H810 K810">
    <cfRule type="containsText" dxfId="0" priority="463" operator="containsText" text="Closed">
      <formula>NOT(ISERROR(SEARCH(("Closed"),(G810))))</formula>
    </cfRule>
  </conditionalFormatting>
  <conditionalFormatting sqref="G810:H810 K810">
    <cfRule type="containsText" dxfId="3" priority="464" operator="containsText" text="Monitor">
      <formula>NOT(ISERROR(SEARCH(("Monitor"),(G810))))</formula>
    </cfRule>
  </conditionalFormatting>
  <conditionalFormatting sqref="A809:AC810">
    <cfRule type="notContainsBlanks" dxfId="8" priority="465">
      <formula>LEN(TRIM(A809))&gt;0</formula>
    </cfRule>
  </conditionalFormatting>
  <conditionalFormatting sqref="A810:K810">
    <cfRule type="expression" dxfId="7" priority="466">
      <formula>if($G810="Closed",1,0)</formula>
    </cfRule>
  </conditionalFormatting>
  <conditionalFormatting sqref="G808:H808 K808">
    <cfRule type="containsText" dxfId="1" priority="467" operator="containsText" text="Open">
      <formula>NOT(ISERROR(SEARCH(("Open"),(G808))))</formula>
    </cfRule>
  </conditionalFormatting>
  <conditionalFormatting sqref="G808:H808 K808">
    <cfRule type="containsText" dxfId="0" priority="468" operator="containsText" text="Closed">
      <formula>NOT(ISERROR(SEARCH(("Closed"),(G808))))</formula>
    </cfRule>
  </conditionalFormatting>
  <conditionalFormatting sqref="G808:H808 K808">
    <cfRule type="containsText" dxfId="3" priority="469" operator="containsText" text="Monitor">
      <formula>NOT(ISERROR(SEARCH(("Monitor"),(G808))))</formula>
    </cfRule>
  </conditionalFormatting>
  <conditionalFormatting sqref="A807:AC808">
    <cfRule type="notContainsBlanks" dxfId="8" priority="470">
      <formula>LEN(TRIM(A807))&gt;0</formula>
    </cfRule>
  </conditionalFormatting>
  <conditionalFormatting sqref="A808:K808">
    <cfRule type="expression" dxfId="7" priority="471">
      <formula>if($G808="Closed",1,0)</formula>
    </cfRule>
  </conditionalFormatting>
  <conditionalFormatting sqref="G806:H806 K806">
    <cfRule type="containsText" dxfId="1" priority="472" operator="containsText" text="Open">
      <formula>NOT(ISERROR(SEARCH(("Open"),(G806))))</formula>
    </cfRule>
  </conditionalFormatting>
  <conditionalFormatting sqref="G806:H806 K806">
    <cfRule type="containsText" dxfId="0" priority="473" operator="containsText" text="Closed">
      <formula>NOT(ISERROR(SEARCH(("Closed"),(G806))))</formula>
    </cfRule>
  </conditionalFormatting>
  <conditionalFormatting sqref="G806:H806 K806">
    <cfRule type="containsText" dxfId="3" priority="474" operator="containsText" text="Monitor">
      <formula>NOT(ISERROR(SEARCH(("Monitor"),(G806))))</formula>
    </cfRule>
  </conditionalFormatting>
  <conditionalFormatting sqref="A805:AC806">
    <cfRule type="notContainsBlanks" dxfId="8" priority="475">
      <formula>LEN(TRIM(A805))&gt;0</formula>
    </cfRule>
  </conditionalFormatting>
  <conditionalFormatting sqref="A806:K806">
    <cfRule type="expression" dxfId="7" priority="476">
      <formula>if($G806="Closed",1,0)</formula>
    </cfRule>
  </conditionalFormatting>
  <conditionalFormatting sqref="G804:H804 K804">
    <cfRule type="containsText" dxfId="1" priority="477" operator="containsText" text="Open">
      <formula>NOT(ISERROR(SEARCH(("Open"),(G804))))</formula>
    </cfRule>
  </conditionalFormatting>
  <conditionalFormatting sqref="G804:H804 K804">
    <cfRule type="containsText" dxfId="0" priority="478" operator="containsText" text="Closed">
      <formula>NOT(ISERROR(SEARCH(("Closed"),(G804))))</formula>
    </cfRule>
  </conditionalFormatting>
  <conditionalFormatting sqref="G804:H804 K804">
    <cfRule type="containsText" dxfId="3" priority="479" operator="containsText" text="Monitor">
      <formula>NOT(ISERROR(SEARCH(("Monitor"),(G804))))</formula>
    </cfRule>
  </conditionalFormatting>
  <conditionalFormatting sqref="A803:AC804">
    <cfRule type="notContainsBlanks" dxfId="8" priority="480">
      <formula>LEN(TRIM(A803))&gt;0</formula>
    </cfRule>
  </conditionalFormatting>
  <conditionalFormatting sqref="A804:K804">
    <cfRule type="expression" dxfId="7" priority="481">
      <formula>if($G804="Closed",1,0)</formula>
    </cfRule>
  </conditionalFormatting>
  <conditionalFormatting sqref="G802:H802 K802">
    <cfRule type="containsText" dxfId="1" priority="482" operator="containsText" text="Open">
      <formula>NOT(ISERROR(SEARCH(("Open"),(G802))))</formula>
    </cfRule>
  </conditionalFormatting>
  <conditionalFormatting sqref="G802:H802 K802">
    <cfRule type="containsText" dxfId="0" priority="483" operator="containsText" text="Closed">
      <formula>NOT(ISERROR(SEARCH(("Closed"),(G802))))</formula>
    </cfRule>
  </conditionalFormatting>
  <conditionalFormatting sqref="G802:H802 K802">
    <cfRule type="containsText" dxfId="3" priority="484" operator="containsText" text="Monitor">
      <formula>NOT(ISERROR(SEARCH(("Monitor"),(G802))))</formula>
    </cfRule>
  </conditionalFormatting>
  <conditionalFormatting sqref="A801:AC802">
    <cfRule type="notContainsBlanks" dxfId="8" priority="485">
      <formula>LEN(TRIM(A801))&gt;0</formula>
    </cfRule>
  </conditionalFormatting>
  <conditionalFormatting sqref="A802:K802">
    <cfRule type="expression" dxfId="7" priority="486">
      <formula>if($G802="Closed",1,0)</formula>
    </cfRule>
  </conditionalFormatting>
  <conditionalFormatting sqref="G800:H800 K800">
    <cfRule type="containsText" dxfId="1" priority="487" operator="containsText" text="Open">
      <formula>NOT(ISERROR(SEARCH(("Open"),(G800))))</formula>
    </cfRule>
  </conditionalFormatting>
  <conditionalFormatting sqref="G800:H800 K800">
    <cfRule type="containsText" dxfId="0" priority="488" operator="containsText" text="Closed">
      <formula>NOT(ISERROR(SEARCH(("Closed"),(G800))))</formula>
    </cfRule>
  </conditionalFormatting>
  <conditionalFormatting sqref="G800:H800 K800">
    <cfRule type="containsText" dxfId="3" priority="489" operator="containsText" text="Monitor">
      <formula>NOT(ISERROR(SEARCH(("Monitor"),(G800))))</formula>
    </cfRule>
  </conditionalFormatting>
  <conditionalFormatting sqref="A799:AC800">
    <cfRule type="notContainsBlanks" dxfId="8" priority="490">
      <formula>LEN(TRIM(A799))&gt;0</formula>
    </cfRule>
  </conditionalFormatting>
  <conditionalFormatting sqref="A800:K800">
    <cfRule type="expression" dxfId="7" priority="491">
      <formula>if($G800="Closed",1,0)</formula>
    </cfRule>
  </conditionalFormatting>
  <conditionalFormatting sqref="G798:H798 K798">
    <cfRule type="containsText" dxfId="1" priority="492" operator="containsText" text="Open">
      <formula>NOT(ISERROR(SEARCH(("Open"),(G798))))</formula>
    </cfRule>
  </conditionalFormatting>
  <conditionalFormatting sqref="G798:H798 K798">
    <cfRule type="containsText" dxfId="0" priority="493" operator="containsText" text="Closed">
      <formula>NOT(ISERROR(SEARCH(("Closed"),(G798))))</formula>
    </cfRule>
  </conditionalFormatting>
  <conditionalFormatting sqref="G798:H798 K798">
    <cfRule type="containsText" dxfId="3" priority="494" operator="containsText" text="Monitor">
      <formula>NOT(ISERROR(SEARCH(("Monitor"),(G798))))</formula>
    </cfRule>
  </conditionalFormatting>
  <conditionalFormatting sqref="A797:AC798">
    <cfRule type="notContainsBlanks" dxfId="8" priority="495">
      <formula>LEN(TRIM(A797))&gt;0</formula>
    </cfRule>
  </conditionalFormatting>
  <conditionalFormatting sqref="A798:K798">
    <cfRule type="expression" dxfId="7" priority="496">
      <formula>if($G798="Closed",1,0)</formula>
    </cfRule>
  </conditionalFormatting>
  <conditionalFormatting sqref="G796:H796 K796">
    <cfRule type="containsText" dxfId="1" priority="497" operator="containsText" text="Open">
      <formula>NOT(ISERROR(SEARCH(("Open"),(G796))))</formula>
    </cfRule>
  </conditionalFormatting>
  <conditionalFormatting sqref="G796:H796 K796">
    <cfRule type="containsText" dxfId="0" priority="498" operator="containsText" text="Closed">
      <formula>NOT(ISERROR(SEARCH(("Closed"),(G796))))</formula>
    </cfRule>
  </conditionalFormatting>
  <conditionalFormatting sqref="G796:H796 K796">
    <cfRule type="containsText" dxfId="3" priority="499" operator="containsText" text="Monitor">
      <formula>NOT(ISERROR(SEARCH(("Monitor"),(G796))))</formula>
    </cfRule>
  </conditionalFormatting>
  <conditionalFormatting sqref="A795:AC796">
    <cfRule type="notContainsBlanks" dxfId="8" priority="500">
      <formula>LEN(TRIM(A795))&gt;0</formula>
    </cfRule>
  </conditionalFormatting>
  <conditionalFormatting sqref="A796:K796">
    <cfRule type="expression" dxfId="7" priority="501">
      <formula>if($G796="Closed",1,0)</formula>
    </cfRule>
  </conditionalFormatting>
  <conditionalFormatting sqref="G794:H794 K794">
    <cfRule type="containsText" dxfId="1" priority="502" operator="containsText" text="Open">
      <formula>NOT(ISERROR(SEARCH(("Open"),(G794))))</formula>
    </cfRule>
  </conditionalFormatting>
  <conditionalFormatting sqref="G794:H794 K794">
    <cfRule type="containsText" dxfId="0" priority="503" operator="containsText" text="Closed">
      <formula>NOT(ISERROR(SEARCH(("Closed"),(G794))))</formula>
    </cfRule>
  </conditionalFormatting>
  <conditionalFormatting sqref="G794:H794 K794">
    <cfRule type="containsText" dxfId="3" priority="504" operator="containsText" text="Monitor">
      <formula>NOT(ISERROR(SEARCH(("Monitor"),(G794))))</formula>
    </cfRule>
  </conditionalFormatting>
  <conditionalFormatting sqref="A793:AC794">
    <cfRule type="notContainsBlanks" dxfId="8" priority="505">
      <formula>LEN(TRIM(A793))&gt;0</formula>
    </cfRule>
  </conditionalFormatting>
  <conditionalFormatting sqref="A794:K794">
    <cfRule type="expression" dxfId="7" priority="506">
      <formula>if($G794="Closed",1,0)</formula>
    </cfRule>
  </conditionalFormatting>
  <conditionalFormatting sqref="G792:H792 K792">
    <cfRule type="containsText" dxfId="1" priority="507" operator="containsText" text="Open">
      <formula>NOT(ISERROR(SEARCH(("Open"),(G792))))</formula>
    </cfRule>
  </conditionalFormatting>
  <conditionalFormatting sqref="G792:H792 K792">
    <cfRule type="containsText" dxfId="0" priority="508" operator="containsText" text="Closed">
      <formula>NOT(ISERROR(SEARCH(("Closed"),(G792))))</formula>
    </cfRule>
  </conditionalFormatting>
  <conditionalFormatting sqref="G792:H792 K792">
    <cfRule type="containsText" dxfId="3" priority="509" operator="containsText" text="Monitor">
      <formula>NOT(ISERROR(SEARCH(("Monitor"),(G792))))</formula>
    </cfRule>
  </conditionalFormatting>
  <conditionalFormatting sqref="A791:AC792">
    <cfRule type="notContainsBlanks" dxfId="8" priority="510">
      <formula>LEN(TRIM(A791))&gt;0</formula>
    </cfRule>
  </conditionalFormatting>
  <conditionalFormatting sqref="A792:K792">
    <cfRule type="expression" dxfId="7" priority="511">
      <formula>if($G792="Closed",1,0)</formula>
    </cfRule>
  </conditionalFormatting>
  <conditionalFormatting sqref="G790:H790 K790">
    <cfRule type="containsText" dxfId="1" priority="512" operator="containsText" text="Open">
      <formula>NOT(ISERROR(SEARCH(("Open"),(G790))))</formula>
    </cfRule>
  </conditionalFormatting>
  <conditionalFormatting sqref="G790:H790 K790">
    <cfRule type="containsText" dxfId="0" priority="513" operator="containsText" text="Closed">
      <formula>NOT(ISERROR(SEARCH(("Closed"),(G790))))</formula>
    </cfRule>
  </conditionalFormatting>
  <conditionalFormatting sqref="G790:H790 K790">
    <cfRule type="containsText" dxfId="3" priority="514" operator="containsText" text="Monitor">
      <formula>NOT(ISERROR(SEARCH(("Monitor"),(G790))))</formula>
    </cfRule>
  </conditionalFormatting>
  <conditionalFormatting sqref="A789:AC790">
    <cfRule type="notContainsBlanks" dxfId="8" priority="515">
      <formula>LEN(TRIM(A789))&gt;0</formula>
    </cfRule>
  </conditionalFormatting>
  <conditionalFormatting sqref="A790:K790">
    <cfRule type="expression" dxfId="7" priority="516">
      <formula>if($G790="Closed",1,0)</formula>
    </cfRule>
  </conditionalFormatting>
  <conditionalFormatting sqref="G788:H788 K788">
    <cfRule type="containsText" dxfId="1" priority="517" operator="containsText" text="Open">
      <formula>NOT(ISERROR(SEARCH(("Open"),(G788))))</formula>
    </cfRule>
  </conditionalFormatting>
  <conditionalFormatting sqref="G788:H788 K788">
    <cfRule type="containsText" dxfId="0" priority="518" operator="containsText" text="Closed">
      <formula>NOT(ISERROR(SEARCH(("Closed"),(G788))))</formula>
    </cfRule>
  </conditionalFormatting>
  <conditionalFormatting sqref="G788:H788 K788">
    <cfRule type="containsText" dxfId="3" priority="519" operator="containsText" text="Monitor">
      <formula>NOT(ISERROR(SEARCH(("Monitor"),(G788))))</formula>
    </cfRule>
  </conditionalFormatting>
  <conditionalFormatting sqref="A787:AC788">
    <cfRule type="notContainsBlanks" dxfId="8" priority="520">
      <formula>LEN(TRIM(A787))&gt;0</formula>
    </cfRule>
  </conditionalFormatting>
  <conditionalFormatting sqref="A788:K788">
    <cfRule type="expression" dxfId="7" priority="521">
      <formula>if($G788="Closed",1,0)</formula>
    </cfRule>
  </conditionalFormatting>
  <conditionalFormatting sqref="G786:H786 K786">
    <cfRule type="containsText" dxfId="1" priority="522" operator="containsText" text="Open">
      <formula>NOT(ISERROR(SEARCH(("Open"),(G786))))</formula>
    </cfRule>
  </conditionalFormatting>
  <conditionalFormatting sqref="G786:H786 K786">
    <cfRule type="containsText" dxfId="0" priority="523" operator="containsText" text="Closed">
      <formula>NOT(ISERROR(SEARCH(("Closed"),(G786))))</formula>
    </cfRule>
  </conditionalFormatting>
  <conditionalFormatting sqref="G786:H786 K786">
    <cfRule type="containsText" dxfId="3" priority="524" operator="containsText" text="Monitor">
      <formula>NOT(ISERROR(SEARCH(("Monitor"),(G786))))</formula>
    </cfRule>
  </conditionalFormatting>
  <conditionalFormatting sqref="A785:AC786">
    <cfRule type="notContainsBlanks" dxfId="8" priority="525">
      <formula>LEN(TRIM(A785))&gt;0</formula>
    </cfRule>
  </conditionalFormatting>
  <conditionalFormatting sqref="A786:K786">
    <cfRule type="expression" dxfId="7" priority="526">
      <formula>if($G786="Closed",1,0)</formula>
    </cfRule>
  </conditionalFormatting>
  <conditionalFormatting sqref="G784:H784 K784">
    <cfRule type="containsText" dxfId="1" priority="527" operator="containsText" text="Open">
      <formula>NOT(ISERROR(SEARCH(("Open"),(G784))))</formula>
    </cfRule>
  </conditionalFormatting>
  <conditionalFormatting sqref="G784:H784 K784">
    <cfRule type="containsText" dxfId="0" priority="528" operator="containsText" text="Closed">
      <formula>NOT(ISERROR(SEARCH(("Closed"),(G784))))</formula>
    </cfRule>
  </conditionalFormatting>
  <conditionalFormatting sqref="G784:H784 K784">
    <cfRule type="containsText" dxfId="3" priority="529" operator="containsText" text="Monitor">
      <formula>NOT(ISERROR(SEARCH(("Monitor"),(G784))))</formula>
    </cfRule>
  </conditionalFormatting>
  <conditionalFormatting sqref="A783:AC784">
    <cfRule type="notContainsBlanks" dxfId="8" priority="530">
      <formula>LEN(TRIM(A783))&gt;0</formula>
    </cfRule>
  </conditionalFormatting>
  <conditionalFormatting sqref="A784:K784">
    <cfRule type="expression" dxfId="7" priority="531">
      <formula>if($G784="Closed",1,0)</formula>
    </cfRule>
  </conditionalFormatting>
  <conditionalFormatting sqref="G782:H782 K782">
    <cfRule type="containsText" dxfId="1" priority="532" operator="containsText" text="Open">
      <formula>NOT(ISERROR(SEARCH(("Open"),(G782))))</formula>
    </cfRule>
  </conditionalFormatting>
  <conditionalFormatting sqref="G782:H782 K782">
    <cfRule type="containsText" dxfId="0" priority="533" operator="containsText" text="Closed">
      <formula>NOT(ISERROR(SEARCH(("Closed"),(G782))))</formula>
    </cfRule>
  </conditionalFormatting>
  <conditionalFormatting sqref="G782:H782 K782">
    <cfRule type="containsText" dxfId="3" priority="534" operator="containsText" text="Monitor">
      <formula>NOT(ISERROR(SEARCH(("Monitor"),(G782))))</formula>
    </cfRule>
  </conditionalFormatting>
  <conditionalFormatting sqref="A781:AC782">
    <cfRule type="notContainsBlanks" dxfId="8" priority="535">
      <formula>LEN(TRIM(A781))&gt;0</formula>
    </cfRule>
  </conditionalFormatting>
  <conditionalFormatting sqref="A782:K782">
    <cfRule type="expression" dxfId="7" priority="536">
      <formula>if($G782="Closed",1,0)</formula>
    </cfRule>
  </conditionalFormatting>
  <conditionalFormatting sqref="G780:H780 K780">
    <cfRule type="containsText" dxfId="1" priority="537" operator="containsText" text="Open">
      <formula>NOT(ISERROR(SEARCH(("Open"),(G780))))</formula>
    </cfRule>
  </conditionalFormatting>
  <conditionalFormatting sqref="G780:H780 K780">
    <cfRule type="containsText" dxfId="0" priority="538" operator="containsText" text="Closed">
      <formula>NOT(ISERROR(SEARCH(("Closed"),(G780))))</formula>
    </cfRule>
  </conditionalFormatting>
  <conditionalFormatting sqref="G780:H780 K780">
    <cfRule type="containsText" dxfId="3" priority="539" operator="containsText" text="Monitor">
      <formula>NOT(ISERROR(SEARCH(("Monitor"),(G780))))</formula>
    </cfRule>
  </conditionalFormatting>
  <conditionalFormatting sqref="A779:AC780">
    <cfRule type="notContainsBlanks" dxfId="8" priority="540">
      <formula>LEN(TRIM(A779))&gt;0</formula>
    </cfRule>
  </conditionalFormatting>
  <conditionalFormatting sqref="A780:K780">
    <cfRule type="expression" dxfId="7" priority="541">
      <formula>if($G780="Closed",1,0)</formula>
    </cfRule>
  </conditionalFormatting>
  <conditionalFormatting sqref="G778:H778 K778">
    <cfRule type="containsText" dxfId="1" priority="542" operator="containsText" text="Open">
      <formula>NOT(ISERROR(SEARCH(("Open"),(G778))))</formula>
    </cfRule>
  </conditionalFormatting>
  <conditionalFormatting sqref="G778:H778 K778">
    <cfRule type="containsText" dxfId="0" priority="543" operator="containsText" text="Closed">
      <formula>NOT(ISERROR(SEARCH(("Closed"),(G778))))</formula>
    </cfRule>
  </conditionalFormatting>
  <conditionalFormatting sqref="G778:H778 K778">
    <cfRule type="containsText" dxfId="3" priority="544" operator="containsText" text="Monitor">
      <formula>NOT(ISERROR(SEARCH(("Monitor"),(G778))))</formula>
    </cfRule>
  </conditionalFormatting>
  <conditionalFormatting sqref="A777:AC778">
    <cfRule type="notContainsBlanks" dxfId="8" priority="545">
      <formula>LEN(TRIM(A777))&gt;0</formula>
    </cfRule>
  </conditionalFormatting>
  <conditionalFormatting sqref="A778:K778">
    <cfRule type="expression" dxfId="7" priority="546">
      <formula>if($G778="Closed",1,0)</formula>
    </cfRule>
  </conditionalFormatting>
  <conditionalFormatting sqref="G776:H776 K776">
    <cfRule type="containsText" dxfId="1" priority="547" operator="containsText" text="Open">
      <formula>NOT(ISERROR(SEARCH(("Open"),(G776))))</formula>
    </cfRule>
  </conditionalFormatting>
  <conditionalFormatting sqref="G776:H776 K776">
    <cfRule type="containsText" dxfId="0" priority="548" operator="containsText" text="Closed">
      <formula>NOT(ISERROR(SEARCH(("Closed"),(G776))))</formula>
    </cfRule>
  </conditionalFormatting>
  <conditionalFormatting sqref="G776:H776 K776">
    <cfRule type="containsText" dxfId="3" priority="549" operator="containsText" text="Monitor">
      <formula>NOT(ISERROR(SEARCH(("Monitor"),(G776))))</formula>
    </cfRule>
  </conditionalFormatting>
  <conditionalFormatting sqref="A775:AC776">
    <cfRule type="notContainsBlanks" dxfId="8" priority="550">
      <formula>LEN(TRIM(A775))&gt;0</formula>
    </cfRule>
  </conditionalFormatting>
  <conditionalFormatting sqref="A776:K776">
    <cfRule type="expression" dxfId="7" priority="551">
      <formula>if($G776="Closed",1,0)</formula>
    </cfRule>
  </conditionalFormatting>
  <conditionalFormatting sqref="G774:H774 K774">
    <cfRule type="containsText" dxfId="1" priority="552" operator="containsText" text="Open">
      <formula>NOT(ISERROR(SEARCH(("Open"),(G774))))</formula>
    </cfRule>
  </conditionalFormatting>
  <conditionalFormatting sqref="G774:H774 K774">
    <cfRule type="containsText" dxfId="0" priority="553" operator="containsText" text="Closed">
      <formula>NOT(ISERROR(SEARCH(("Closed"),(G774))))</formula>
    </cfRule>
  </conditionalFormatting>
  <conditionalFormatting sqref="G774:H774 K774">
    <cfRule type="containsText" dxfId="3" priority="554" operator="containsText" text="Monitor">
      <formula>NOT(ISERROR(SEARCH(("Monitor"),(G774))))</formula>
    </cfRule>
  </conditionalFormatting>
  <conditionalFormatting sqref="A773:AC774">
    <cfRule type="notContainsBlanks" dxfId="8" priority="555">
      <formula>LEN(TRIM(A773))&gt;0</formula>
    </cfRule>
  </conditionalFormatting>
  <conditionalFormatting sqref="A774:K774">
    <cfRule type="expression" dxfId="7" priority="556">
      <formula>if($G774="Closed",1,0)</formula>
    </cfRule>
  </conditionalFormatting>
  <conditionalFormatting sqref="G772:H772 K772">
    <cfRule type="containsText" dxfId="1" priority="557" operator="containsText" text="Open">
      <formula>NOT(ISERROR(SEARCH(("Open"),(G772))))</formula>
    </cfRule>
  </conditionalFormatting>
  <conditionalFormatting sqref="G772:H772 K772">
    <cfRule type="containsText" dxfId="0" priority="558" operator="containsText" text="Closed">
      <formula>NOT(ISERROR(SEARCH(("Closed"),(G772))))</formula>
    </cfRule>
  </conditionalFormatting>
  <conditionalFormatting sqref="G772:H772 K772">
    <cfRule type="containsText" dxfId="3" priority="559" operator="containsText" text="Monitor">
      <formula>NOT(ISERROR(SEARCH(("Monitor"),(G772))))</formula>
    </cfRule>
  </conditionalFormatting>
  <conditionalFormatting sqref="A771:AC772">
    <cfRule type="notContainsBlanks" dxfId="8" priority="560">
      <formula>LEN(TRIM(A771))&gt;0</formula>
    </cfRule>
  </conditionalFormatting>
  <conditionalFormatting sqref="A772:K772">
    <cfRule type="expression" dxfId="7" priority="561">
      <formula>if($G772="Closed",1,0)</formula>
    </cfRule>
  </conditionalFormatting>
  <conditionalFormatting sqref="G770:H770 K770">
    <cfRule type="containsText" dxfId="1" priority="562" operator="containsText" text="Open">
      <formula>NOT(ISERROR(SEARCH(("Open"),(G770))))</formula>
    </cfRule>
  </conditionalFormatting>
  <conditionalFormatting sqref="G770:H770 K770">
    <cfRule type="containsText" dxfId="0" priority="563" operator="containsText" text="Closed">
      <formula>NOT(ISERROR(SEARCH(("Closed"),(G770))))</formula>
    </cfRule>
  </conditionalFormatting>
  <conditionalFormatting sqref="G770:H770 K770">
    <cfRule type="containsText" dxfId="3" priority="564" operator="containsText" text="Monitor">
      <formula>NOT(ISERROR(SEARCH(("Monitor"),(G770))))</formula>
    </cfRule>
  </conditionalFormatting>
  <conditionalFormatting sqref="A769:AC770">
    <cfRule type="notContainsBlanks" dxfId="8" priority="565">
      <formula>LEN(TRIM(A769))&gt;0</formula>
    </cfRule>
  </conditionalFormatting>
  <conditionalFormatting sqref="A770:K770">
    <cfRule type="expression" dxfId="7" priority="566">
      <formula>if($G770="Closed",1,0)</formula>
    </cfRule>
  </conditionalFormatting>
  <conditionalFormatting sqref="G768:H768 K768">
    <cfRule type="containsText" dxfId="1" priority="567" operator="containsText" text="Open">
      <formula>NOT(ISERROR(SEARCH(("Open"),(G768))))</formula>
    </cfRule>
  </conditionalFormatting>
  <conditionalFormatting sqref="G768:H768 K768">
    <cfRule type="containsText" dxfId="0" priority="568" operator="containsText" text="Closed">
      <formula>NOT(ISERROR(SEARCH(("Closed"),(G768))))</formula>
    </cfRule>
  </conditionalFormatting>
  <conditionalFormatting sqref="G768:H768 K768">
    <cfRule type="containsText" dxfId="3" priority="569" operator="containsText" text="Monitor">
      <formula>NOT(ISERROR(SEARCH(("Monitor"),(G768))))</formula>
    </cfRule>
  </conditionalFormatting>
  <conditionalFormatting sqref="A767:AC768">
    <cfRule type="notContainsBlanks" dxfId="8" priority="570">
      <formula>LEN(TRIM(A767))&gt;0</formula>
    </cfRule>
  </conditionalFormatting>
  <conditionalFormatting sqref="A768:K768">
    <cfRule type="expression" dxfId="7" priority="571">
      <formula>if($G768="Closed",1,0)</formula>
    </cfRule>
  </conditionalFormatting>
  <conditionalFormatting sqref="G766:H766 K766">
    <cfRule type="containsText" dxfId="1" priority="572" operator="containsText" text="Open">
      <formula>NOT(ISERROR(SEARCH(("Open"),(G766))))</formula>
    </cfRule>
  </conditionalFormatting>
  <conditionalFormatting sqref="G766:H766 K766">
    <cfRule type="containsText" dxfId="0" priority="573" operator="containsText" text="Closed">
      <formula>NOT(ISERROR(SEARCH(("Closed"),(G766))))</formula>
    </cfRule>
  </conditionalFormatting>
  <conditionalFormatting sqref="G766:H766 K766">
    <cfRule type="containsText" dxfId="3" priority="574" operator="containsText" text="Monitor">
      <formula>NOT(ISERROR(SEARCH(("Monitor"),(G766))))</formula>
    </cfRule>
  </conditionalFormatting>
  <conditionalFormatting sqref="A765:AC766">
    <cfRule type="notContainsBlanks" dxfId="8" priority="575">
      <formula>LEN(TRIM(A765))&gt;0</formula>
    </cfRule>
  </conditionalFormatting>
  <conditionalFormatting sqref="A766:K766">
    <cfRule type="expression" dxfId="7" priority="576">
      <formula>if($G766="Closed",1,0)</formula>
    </cfRule>
  </conditionalFormatting>
  <conditionalFormatting sqref="G764:H764 K764">
    <cfRule type="containsText" dxfId="1" priority="577" operator="containsText" text="Open">
      <formula>NOT(ISERROR(SEARCH(("Open"),(G764))))</formula>
    </cfRule>
  </conditionalFormatting>
  <conditionalFormatting sqref="G764:H764 K764">
    <cfRule type="containsText" dxfId="0" priority="578" operator="containsText" text="Closed">
      <formula>NOT(ISERROR(SEARCH(("Closed"),(G764))))</formula>
    </cfRule>
  </conditionalFormatting>
  <conditionalFormatting sqref="G764:H764 K764">
    <cfRule type="containsText" dxfId="3" priority="579" operator="containsText" text="Monitor">
      <formula>NOT(ISERROR(SEARCH(("Monitor"),(G764))))</formula>
    </cfRule>
  </conditionalFormatting>
  <conditionalFormatting sqref="A763:AC764">
    <cfRule type="notContainsBlanks" dxfId="8" priority="580">
      <formula>LEN(TRIM(A763))&gt;0</formula>
    </cfRule>
  </conditionalFormatting>
  <conditionalFormatting sqref="A764:K764">
    <cfRule type="expression" dxfId="7" priority="581">
      <formula>if($G764="Closed",1,0)</formula>
    </cfRule>
  </conditionalFormatting>
  <conditionalFormatting sqref="G762:H762 K762">
    <cfRule type="containsText" dxfId="1" priority="582" operator="containsText" text="Open">
      <formula>NOT(ISERROR(SEARCH(("Open"),(G762))))</formula>
    </cfRule>
  </conditionalFormatting>
  <conditionalFormatting sqref="G762:H762 K762">
    <cfRule type="containsText" dxfId="0" priority="583" operator="containsText" text="Closed">
      <formula>NOT(ISERROR(SEARCH(("Closed"),(G762))))</formula>
    </cfRule>
  </conditionalFormatting>
  <conditionalFormatting sqref="G762:H762 K762">
    <cfRule type="containsText" dxfId="3" priority="584" operator="containsText" text="Monitor">
      <formula>NOT(ISERROR(SEARCH(("Monitor"),(G762))))</formula>
    </cfRule>
  </conditionalFormatting>
  <conditionalFormatting sqref="A761:AC762">
    <cfRule type="notContainsBlanks" dxfId="8" priority="585">
      <formula>LEN(TRIM(A761))&gt;0</formula>
    </cfRule>
  </conditionalFormatting>
  <conditionalFormatting sqref="A762:K762">
    <cfRule type="expression" dxfId="7" priority="586">
      <formula>if($G762="Closed",1,0)</formula>
    </cfRule>
  </conditionalFormatting>
  <conditionalFormatting sqref="G760:H760 K760">
    <cfRule type="containsText" dxfId="1" priority="587" operator="containsText" text="Open">
      <formula>NOT(ISERROR(SEARCH(("Open"),(G760))))</formula>
    </cfRule>
  </conditionalFormatting>
  <conditionalFormatting sqref="G760:H760 K760">
    <cfRule type="containsText" dxfId="0" priority="588" operator="containsText" text="Closed">
      <formula>NOT(ISERROR(SEARCH(("Closed"),(G760))))</formula>
    </cfRule>
  </conditionalFormatting>
  <conditionalFormatting sqref="G760:H760 K760">
    <cfRule type="containsText" dxfId="3" priority="589" operator="containsText" text="Monitor">
      <formula>NOT(ISERROR(SEARCH(("Monitor"),(G760))))</formula>
    </cfRule>
  </conditionalFormatting>
  <conditionalFormatting sqref="A759:AC760">
    <cfRule type="notContainsBlanks" dxfId="8" priority="590">
      <formula>LEN(TRIM(A759))&gt;0</formula>
    </cfRule>
  </conditionalFormatting>
  <conditionalFormatting sqref="A760:K760">
    <cfRule type="expression" dxfId="7" priority="591">
      <formula>if($G760="Closed",1,0)</formula>
    </cfRule>
  </conditionalFormatting>
  <conditionalFormatting sqref="G758:H758 K758">
    <cfRule type="containsText" dxfId="1" priority="592" operator="containsText" text="Open">
      <formula>NOT(ISERROR(SEARCH(("Open"),(G758))))</formula>
    </cfRule>
  </conditionalFormatting>
  <conditionalFormatting sqref="G758:H758 K758">
    <cfRule type="containsText" dxfId="0" priority="593" operator="containsText" text="Closed">
      <formula>NOT(ISERROR(SEARCH(("Closed"),(G758))))</formula>
    </cfRule>
  </conditionalFormatting>
  <conditionalFormatting sqref="G758:H758 K758">
    <cfRule type="containsText" dxfId="3" priority="594" operator="containsText" text="Monitor">
      <formula>NOT(ISERROR(SEARCH(("Monitor"),(G758))))</formula>
    </cfRule>
  </conditionalFormatting>
  <conditionalFormatting sqref="A757:AC758">
    <cfRule type="notContainsBlanks" dxfId="8" priority="595">
      <formula>LEN(TRIM(A757))&gt;0</formula>
    </cfRule>
  </conditionalFormatting>
  <conditionalFormatting sqref="A758:K758">
    <cfRule type="expression" dxfId="7" priority="596">
      <formula>if($G758="Closed",1,0)</formula>
    </cfRule>
  </conditionalFormatting>
  <conditionalFormatting sqref="G756:H756 K756">
    <cfRule type="containsText" dxfId="1" priority="597" operator="containsText" text="Open">
      <formula>NOT(ISERROR(SEARCH(("Open"),(G756))))</formula>
    </cfRule>
  </conditionalFormatting>
  <conditionalFormatting sqref="G756:H756 K756">
    <cfRule type="containsText" dxfId="0" priority="598" operator="containsText" text="Closed">
      <formula>NOT(ISERROR(SEARCH(("Closed"),(G756))))</formula>
    </cfRule>
  </conditionalFormatting>
  <conditionalFormatting sqref="G756:H756 K756">
    <cfRule type="containsText" dxfId="3" priority="599" operator="containsText" text="Monitor">
      <formula>NOT(ISERROR(SEARCH(("Monitor"),(G756))))</formula>
    </cfRule>
  </conditionalFormatting>
  <conditionalFormatting sqref="A755:AC756">
    <cfRule type="notContainsBlanks" dxfId="8" priority="600">
      <formula>LEN(TRIM(A755))&gt;0</formula>
    </cfRule>
  </conditionalFormatting>
  <conditionalFormatting sqref="A756:K756">
    <cfRule type="expression" dxfId="7" priority="601">
      <formula>if($G756="Closed",1,0)</formula>
    </cfRule>
  </conditionalFormatting>
  <conditionalFormatting sqref="G754:H754 K754">
    <cfRule type="containsText" dxfId="1" priority="602" operator="containsText" text="Open">
      <formula>NOT(ISERROR(SEARCH(("Open"),(G754))))</formula>
    </cfRule>
  </conditionalFormatting>
  <conditionalFormatting sqref="G754:H754 K754">
    <cfRule type="containsText" dxfId="0" priority="603" operator="containsText" text="Closed">
      <formula>NOT(ISERROR(SEARCH(("Closed"),(G754))))</formula>
    </cfRule>
  </conditionalFormatting>
  <conditionalFormatting sqref="G754:H754 K754">
    <cfRule type="containsText" dxfId="3" priority="604" operator="containsText" text="Monitor">
      <formula>NOT(ISERROR(SEARCH(("Monitor"),(G754))))</formula>
    </cfRule>
  </conditionalFormatting>
  <conditionalFormatting sqref="A753:AC754">
    <cfRule type="notContainsBlanks" dxfId="8" priority="605">
      <formula>LEN(TRIM(A753))&gt;0</formula>
    </cfRule>
  </conditionalFormatting>
  <conditionalFormatting sqref="A754:K754">
    <cfRule type="expression" dxfId="7" priority="606">
      <formula>if($G754="Closed",1,0)</formula>
    </cfRule>
  </conditionalFormatting>
  <conditionalFormatting sqref="G752:H752 K752">
    <cfRule type="containsText" dxfId="1" priority="607" operator="containsText" text="Open">
      <formula>NOT(ISERROR(SEARCH(("Open"),(G752))))</formula>
    </cfRule>
  </conditionalFormatting>
  <conditionalFormatting sqref="G752:H752 K752">
    <cfRule type="containsText" dxfId="0" priority="608" operator="containsText" text="Closed">
      <formula>NOT(ISERROR(SEARCH(("Closed"),(G752))))</formula>
    </cfRule>
  </conditionalFormatting>
  <conditionalFormatting sqref="G752:H752 K752">
    <cfRule type="containsText" dxfId="3" priority="609" operator="containsText" text="Monitor">
      <formula>NOT(ISERROR(SEARCH(("Monitor"),(G752))))</formula>
    </cfRule>
  </conditionalFormatting>
  <conditionalFormatting sqref="A751:AC752">
    <cfRule type="notContainsBlanks" dxfId="8" priority="610">
      <formula>LEN(TRIM(A751))&gt;0</formula>
    </cfRule>
  </conditionalFormatting>
  <conditionalFormatting sqref="A752:K752">
    <cfRule type="expression" dxfId="7" priority="611">
      <formula>if($G752="Closed",1,0)</formula>
    </cfRule>
  </conditionalFormatting>
  <conditionalFormatting sqref="G750:H750 K750">
    <cfRule type="containsText" dxfId="1" priority="612" operator="containsText" text="Open">
      <formula>NOT(ISERROR(SEARCH(("Open"),(G750))))</formula>
    </cfRule>
  </conditionalFormatting>
  <conditionalFormatting sqref="G750:H750 K750">
    <cfRule type="containsText" dxfId="0" priority="613" operator="containsText" text="Closed">
      <formula>NOT(ISERROR(SEARCH(("Closed"),(G750))))</formula>
    </cfRule>
  </conditionalFormatting>
  <conditionalFormatting sqref="G750:H750 K750">
    <cfRule type="containsText" dxfId="3" priority="614" operator="containsText" text="Monitor">
      <formula>NOT(ISERROR(SEARCH(("Monitor"),(G750))))</formula>
    </cfRule>
  </conditionalFormatting>
  <conditionalFormatting sqref="A749:AC750">
    <cfRule type="notContainsBlanks" dxfId="8" priority="615">
      <formula>LEN(TRIM(A749))&gt;0</formula>
    </cfRule>
  </conditionalFormatting>
  <conditionalFormatting sqref="A750:K750">
    <cfRule type="expression" dxfId="7" priority="616">
      <formula>if($G750="Closed",1,0)</formula>
    </cfRule>
  </conditionalFormatting>
  <conditionalFormatting sqref="G748:H748 K748">
    <cfRule type="containsText" dxfId="1" priority="617" operator="containsText" text="Open">
      <formula>NOT(ISERROR(SEARCH(("Open"),(G748))))</formula>
    </cfRule>
  </conditionalFormatting>
  <conditionalFormatting sqref="G748:H748 K748">
    <cfRule type="containsText" dxfId="0" priority="618" operator="containsText" text="Closed">
      <formula>NOT(ISERROR(SEARCH(("Closed"),(G748))))</formula>
    </cfRule>
  </conditionalFormatting>
  <conditionalFormatting sqref="G748:H748 K748">
    <cfRule type="containsText" dxfId="3" priority="619" operator="containsText" text="Monitor">
      <formula>NOT(ISERROR(SEARCH(("Monitor"),(G748))))</formula>
    </cfRule>
  </conditionalFormatting>
  <conditionalFormatting sqref="A747:AC748">
    <cfRule type="notContainsBlanks" dxfId="8" priority="620">
      <formula>LEN(TRIM(A747))&gt;0</formula>
    </cfRule>
  </conditionalFormatting>
  <conditionalFormatting sqref="A748:K748">
    <cfRule type="expression" dxfId="7" priority="621">
      <formula>if($G748="Closed",1,0)</formula>
    </cfRule>
  </conditionalFormatting>
  <conditionalFormatting sqref="G746:H746 K746">
    <cfRule type="containsText" dxfId="1" priority="622" operator="containsText" text="Open">
      <formula>NOT(ISERROR(SEARCH(("Open"),(G746))))</formula>
    </cfRule>
  </conditionalFormatting>
  <conditionalFormatting sqref="G746:H746 K746">
    <cfRule type="containsText" dxfId="0" priority="623" operator="containsText" text="Closed">
      <formula>NOT(ISERROR(SEARCH(("Closed"),(G746))))</formula>
    </cfRule>
  </conditionalFormatting>
  <conditionalFormatting sqref="G746:H746 K746">
    <cfRule type="containsText" dxfId="3" priority="624" operator="containsText" text="Monitor">
      <formula>NOT(ISERROR(SEARCH(("Monitor"),(G746))))</formula>
    </cfRule>
  </conditionalFormatting>
  <conditionalFormatting sqref="A745:AC746">
    <cfRule type="notContainsBlanks" dxfId="8" priority="625">
      <formula>LEN(TRIM(A745))&gt;0</formula>
    </cfRule>
  </conditionalFormatting>
  <conditionalFormatting sqref="A746:K746">
    <cfRule type="expression" dxfId="7" priority="626">
      <formula>if($G746="Closed",1,0)</formula>
    </cfRule>
  </conditionalFormatting>
  <conditionalFormatting sqref="G744:H744 K744">
    <cfRule type="containsText" dxfId="1" priority="627" operator="containsText" text="Open">
      <formula>NOT(ISERROR(SEARCH(("Open"),(G744))))</formula>
    </cfRule>
  </conditionalFormatting>
  <conditionalFormatting sqref="G744:H744 K744">
    <cfRule type="containsText" dxfId="0" priority="628" operator="containsText" text="Closed">
      <formula>NOT(ISERROR(SEARCH(("Closed"),(G744))))</formula>
    </cfRule>
  </conditionalFormatting>
  <conditionalFormatting sqref="G744:H744 K744">
    <cfRule type="containsText" dxfId="3" priority="629" operator="containsText" text="Monitor">
      <formula>NOT(ISERROR(SEARCH(("Monitor"),(G744))))</formula>
    </cfRule>
  </conditionalFormatting>
  <conditionalFormatting sqref="A743:AC744">
    <cfRule type="notContainsBlanks" dxfId="8" priority="630">
      <formula>LEN(TRIM(A743))&gt;0</formula>
    </cfRule>
  </conditionalFormatting>
  <conditionalFormatting sqref="A744:K744">
    <cfRule type="expression" dxfId="7" priority="631">
      <formula>if($G744="Closed",1,0)</formula>
    </cfRule>
  </conditionalFormatting>
  <conditionalFormatting sqref="G742:H742 K742">
    <cfRule type="containsText" dxfId="1" priority="632" operator="containsText" text="Open">
      <formula>NOT(ISERROR(SEARCH(("Open"),(G742))))</formula>
    </cfRule>
  </conditionalFormatting>
  <conditionalFormatting sqref="G742:H742 K742">
    <cfRule type="containsText" dxfId="0" priority="633" operator="containsText" text="Closed">
      <formula>NOT(ISERROR(SEARCH(("Closed"),(G742))))</formula>
    </cfRule>
  </conditionalFormatting>
  <conditionalFormatting sqref="G742:H742 K742">
    <cfRule type="containsText" dxfId="3" priority="634" operator="containsText" text="Monitor">
      <formula>NOT(ISERROR(SEARCH(("Monitor"),(G742))))</formula>
    </cfRule>
  </conditionalFormatting>
  <conditionalFormatting sqref="A741:AC742">
    <cfRule type="notContainsBlanks" dxfId="8" priority="635">
      <formula>LEN(TRIM(A741))&gt;0</formula>
    </cfRule>
  </conditionalFormatting>
  <conditionalFormatting sqref="A742:K742">
    <cfRule type="expression" dxfId="7" priority="636">
      <formula>if($G742="Closed",1,0)</formula>
    </cfRule>
  </conditionalFormatting>
  <conditionalFormatting sqref="G740:H740 K740">
    <cfRule type="containsText" dxfId="1" priority="637" operator="containsText" text="Open">
      <formula>NOT(ISERROR(SEARCH(("Open"),(G740))))</formula>
    </cfRule>
  </conditionalFormatting>
  <conditionalFormatting sqref="G740:H740 K740">
    <cfRule type="containsText" dxfId="0" priority="638" operator="containsText" text="Closed">
      <formula>NOT(ISERROR(SEARCH(("Closed"),(G740))))</formula>
    </cfRule>
  </conditionalFormatting>
  <conditionalFormatting sqref="G740:H740 K740">
    <cfRule type="containsText" dxfId="3" priority="639" operator="containsText" text="Monitor">
      <formula>NOT(ISERROR(SEARCH(("Monitor"),(G740))))</formula>
    </cfRule>
  </conditionalFormatting>
  <conditionalFormatting sqref="A739:AC740">
    <cfRule type="notContainsBlanks" dxfId="8" priority="640">
      <formula>LEN(TRIM(A739))&gt;0</formula>
    </cfRule>
  </conditionalFormatting>
  <conditionalFormatting sqref="A740:K740">
    <cfRule type="expression" dxfId="7" priority="641">
      <formula>if($G740="Closed",1,0)</formula>
    </cfRule>
  </conditionalFormatting>
  <conditionalFormatting sqref="G738:H738 K738">
    <cfRule type="containsText" dxfId="1" priority="642" operator="containsText" text="Open">
      <formula>NOT(ISERROR(SEARCH(("Open"),(G738))))</formula>
    </cfRule>
  </conditionalFormatting>
  <conditionalFormatting sqref="G738:H738 K738">
    <cfRule type="containsText" dxfId="0" priority="643" operator="containsText" text="Closed">
      <formula>NOT(ISERROR(SEARCH(("Closed"),(G738))))</formula>
    </cfRule>
  </conditionalFormatting>
  <conditionalFormatting sqref="G738:H738 K738">
    <cfRule type="containsText" dxfId="3" priority="644" operator="containsText" text="Monitor">
      <formula>NOT(ISERROR(SEARCH(("Monitor"),(G738))))</formula>
    </cfRule>
  </conditionalFormatting>
  <conditionalFormatting sqref="A737:AC738">
    <cfRule type="notContainsBlanks" dxfId="8" priority="645">
      <formula>LEN(TRIM(A737))&gt;0</formula>
    </cfRule>
  </conditionalFormatting>
  <conditionalFormatting sqref="A738:K738">
    <cfRule type="expression" dxfId="7" priority="646">
      <formula>if($G738="Closed",1,0)</formula>
    </cfRule>
  </conditionalFormatting>
  <conditionalFormatting sqref="G736:H736 K736">
    <cfRule type="containsText" dxfId="1" priority="647" operator="containsText" text="Open">
      <formula>NOT(ISERROR(SEARCH(("Open"),(G736))))</formula>
    </cfRule>
  </conditionalFormatting>
  <conditionalFormatting sqref="G736:H736 K736">
    <cfRule type="containsText" dxfId="0" priority="648" operator="containsText" text="Closed">
      <formula>NOT(ISERROR(SEARCH(("Closed"),(G736))))</formula>
    </cfRule>
  </conditionalFormatting>
  <conditionalFormatting sqref="G736:H736 K736">
    <cfRule type="containsText" dxfId="3" priority="649" operator="containsText" text="Monitor">
      <formula>NOT(ISERROR(SEARCH(("Monitor"),(G736))))</formula>
    </cfRule>
  </conditionalFormatting>
  <conditionalFormatting sqref="A735:AC736">
    <cfRule type="notContainsBlanks" dxfId="8" priority="650">
      <formula>LEN(TRIM(A735))&gt;0</formula>
    </cfRule>
  </conditionalFormatting>
  <conditionalFormatting sqref="A736:K736">
    <cfRule type="expression" dxfId="7" priority="651">
      <formula>if($G736="Closed",1,0)</formula>
    </cfRule>
  </conditionalFormatting>
  <conditionalFormatting sqref="G734:H734 K734">
    <cfRule type="containsText" dxfId="1" priority="652" operator="containsText" text="Open">
      <formula>NOT(ISERROR(SEARCH(("Open"),(G734))))</formula>
    </cfRule>
  </conditionalFormatting>
  <conditionalFormatting sqref="G734:H734 K734">
    <cfRule type="containsText" dxfId="0" priority="653" operator="containsText" text="Closed">
      <formula>NOT(ISERROR(SEARCH(("Closed"),(G734))))</formula>
    </cfRule>
  </conditionalFormatting>
  <conditionalFormatting sqref="G734:H734 K734">
    <cfRule type="containsText" dxfId="3" priority="654" operator="containsText" text="Monitor">
      <formula>NOT(ISERROR(SEARCH(("Monitor"),(G734))))</formula>
    </cfRule>
  </conditionalFormatting>
  <conditionalFormatting sqref="A733:AC734">
    <cfRule type="notContainsBlanks" dxfId="8" priority="655">
      <formula>LEN(TRIM(A733))&gt;0</formula>
    </cfRule>
  </conditionalFormatting>
  <conditionalFormatting sqref="A734:K734">
    <cfRule type="expression" dxfId="7" priority="656">
      <formula>if($G734="Closed",1,0)</formula>
    </cfRule>
  </conditionalFormatting>
  <conditionalFormatting sqref="G732:H732 K732">
    <cfRule type="containsText" dxfId="1" priority="657" operator="containsText" text="Open">
      <formula>NOT(ISERROR(SEARCH(("Open"),(G732))))</formula>
    </cfRule>
  </conditionalFormatting>
  <conditionalFormatting sqref="G732:H732 K732">
    <cfRule type="containsText" dxfId="0" priority="658" operator="containsText" text="Closed">
      <formula>NOT(ISERROR(SEARCH(("Closed"),(G732))))</formula>
    </cfRule>
  </conditionalFormatting>
  <conditionalFormatting sqref="G732:H732 K732">
    <cfRule type="containsText" dxfId="3" priority="659" operator="containsText" text="Monitor">
      <formula>NOT(ISERROR(SEARCH(("Monitor"),(G732))))</formula>
    </cfRule>
  </conditionalFormatting>
  <conditionalFormatting sqref="A731:AC732">
    <cfRule type="notContainsBlanks" dxfId="8" priority="660">
      <formula>LEN(TRIM(A731))&gt;0</formula>
    </cfRule>
  </conditionalFormatting>
  <conditionalFormatting sqref="A732:K732">
    <cfRule type="expression" dxfId="7" priority="661">
      <formula>if($G732="Closed",1,0)</formula>
    </cfRule>
  </conditionalFormatting>
  <conditionalFormatting sqref="G730:H730 K730">
    <cfRule type="containsText" dxfId="1" priority="662" operator="containsText" text="Open">
      <formula>NOT(ISERROR(SEARCH(("Open"),(G730))))</formula>
    </cfRule>
  </conditionalFormatting>
  <conditionalFormatting sqref="G730:H730 K730">
    <cfRule type="containsText" dxfId="0" priority="663" operator="containsText" text="Closed">
      <formula>NOT(ISERROR(SEARCH(("Closed"),(G730))))</formula>
    </cfRule>
  </conditionalFormatting>
  <conditionalFormatting sqref="G730:H730 K730">
    <cfRule type="containsText" dxfId="3" priority="664" operator="containsText" text="Monitor">
      <formula>NOT(ISERROR(SEARCH(("Monitor"),(G730))))</formula>
    </cfRule>
  </conditionalFormatting>
  <conditionalFormatting sqref="A729:AC730">
    <cfRule type="notContainsBlanks" dxfId="8" priority="665">
      <formula>LEN(TRIM(A729))&gt;0</formula>
    </cfRule>
  </conditionalFormatting>
  <conditionalFormatting sqref="A730:K730">
    <cfRule type="expression" dxfId="7" priority="666">
      <formula>if($G730="Closed",1,0)</formula>
    </cfRule>
  </conditionalFormatting>
  <conditionalFormatting sqref="G728:H728 K728">
    <cfRule type="containsText" dxfId="1" priority="667" operator="containsText" text="Open">
      <formula>NOT(ISERROR(SEARCH(("Open"),(G728))))</formula>
    </cfRule>
  </conditionalFormatting>
  <conditionalFormatting sqref="G728:H728 K728">
    <cfRule type="containsText" dxfId="0" priority="668" operator="containsText" text="Closed">
      <formula>NOT(ISERROR(SEARCH(("Closed"),(G728))))</formula>
    </cfRule>
  </conditionalFormatting>
  <conditionalFormatting sqref="G728:H728 K728">
    <cfRule type="containsText" dxfId="3" priority="669" operator="containsText" text="Monitor">
      <formula>NOT(ISERROR(SEARCH(("Monitor"),(G728))))</formula>
    </cfRule>
  </conditionalFormatting>
  <conditionalFormatting sqref="A727:AC728">
    <cfRule type="notContainsBlanks" dxfId="8" priority="670">
      <formula>LEN(TRIM(A727))&gt;0</formula>
    </cfRule>
  </conditionalFormatting>
  <conditionalFormatting sqref="A728:K728">
    <cfRule type="expression" dxfId="7" priority="671">
      <formula>if($G728="Closed",1,0)</formula>
    </cfRule>
  </conditionalFormatting>
  <conditionalFormatting sqref="G726:H726 K726">
    <cfRule type="containsText" dxfId="1" priority="672" operator="containsText" text="Open">
      <formula>NOT(ISERROR(SEARCH(("Open"),(G726))))</formula>
    </cfRule>
  </conditionalFormatting>
  <conditionalFormatting sqref="G726:H726 K726">
    <cfRule type="containsText" dxfId="0" priority="673" operator="containsText" text="Closed">
      <formula>NOT(ISERROR(SEARCH(("Closed"),(G726))))</formula>
    </cfRule>
  </conditionalFormatting>
  <conditionalFormatting sqref="G726:H726 K726">
    <cfRule type="containsText" dxfId="3" priority="674" operator="containsText" text="Monitor">
      <formula>NOT(ISERROR(SEARCH(("Monitor"),(G726))))</formula>
    </cfRule>
  </conditionalFormatting>
  <conditionalFormatting sqref="A725:AC726">
    <cfRule type="notContainsBlanks" dxfId="8" priority="675">
      <formula>LEN(TRIM(A725))&gt;0</formula>
    </cfRule>
  </conditionalFormatting>
  <conditionalFormatting sqref="A726:K726">
    <cfRule type="expression" dxfId="7" priority="676">
      <formula>if($G726="Closed",1,0)</formula>
    </cfRule>
  </conditionalFormatting>
  <conditionalFormatting sqref="G724:H724 K724">
    <cfRule type="containsText" dxfId="1" priority="677" operator="containsText" text="Open">
      <formula>NOT(ISERROR(SEARCH(("Open"),(G724))))</formula>
    </cfRule>
  </conditionalFormatting>
  <conditionalFormatting sqref="G724:H724 K724">
    <cfRule type="containsText" dxfId="0" priority="678" operator="containsText" text="Closed">
      <formula>NOT(ISERROR(SEARCH(("Closed"),(G724))))</formula>
    </cfRule>
  </conditionalFormatting>
  <conditionalFormatting sqref="G724:H724 K724">
    <cfRule type="containsText" dxfId="3" priority="679" operator="containsText" text="Monitor">
      <formula>NOT(ISERROR(SEARCH(("Monitor"),(G724))))</formula>
    </cfRule>
  </conditionalFormatting>
  <conditionalFormatting sqref="A723:AC724">
    <cfRule type="notContainsBlanks" dxfId="8" priority="680">
      <formula>LEN(TRIM(A723))&gt;0</formula>
    </cfRule>
  </conditionalFormatting>
  <conditionalFormatting sqref="A724:K724">
    <cfRule type="expression" dxfId="7" priority="681">
      <formula>if($G724="Closed",1,0)</formula>
    </cfRule>
  </conditionalFormatting>
  <conditionalFormatting sqref="G722:H722 K722">
    <cfRule type="containsText" dxfId="1" priority="682" operator="containsText" text="Open">
      <formula>NOT(ISERROR(SEARCH(("Open"),(G722))))</formula>
    </cfRule>
  </conditionalFormatting>
  <conditionalFormatting sqref="G722:H722 K722">
    <cfRule type="containsText" dxfId="0" priority="683" operator="containsText" text="Closed">
      <formula>NOT(ISERROR(SEARCH(("Closed"),(G722))))</formula>
    </cfRule>
  </conditionalFormatting>
  <conditionalFormatting sqref="G722:H722 K722">
    <cfRule type="containsText" dxfId="3" priority="684" operator="containsText" text="Monitor">
      <formula>NOT(ISERROR(SEARCH(("Monitor"),(G722))))</formula>
    </cfRule>
  </conditionalFormatting>
  <conditionalFormatting sqref="A721:AC722">
    <cfRule type="notContainsBlanks" dxfId="8" priority="685">
      <formula>LEN(TRIM(A721))&gt;0</formula>
    </cfRule>
  </conditionalFormatting>
  <conditionalFormatting sqref="A722:K722">
    <cfRule type="expression" dxfId="7" priority="686">
      <formula>if($G722="Closed",1,0)</formula>
    </cfRule>
  </conditionalFormatting>
  <conditionalFormatting sqref="G720:H720 K720">
    <cfRule type="containsText" dxfId="1" priority="687" operator="containsText" text="Open">
      <formula>NOT(ISERROR(SEARCH(("Open"),(G720))))</formula>
    </cfRule>
  </conditionalFormatting>
  <conditionalFormatting sqref="G720:H720 K720">
    <cfRule type="containsText" dxfId="0" priority="688" operator="containsText" text="Closed">
      <formula>NOT(ISERROR(SEARCH(("Closed"),(G720))))</formula>
    </cfRule>
  </conditionalFormatting>
  <conditionalFormatting sqref="G720:H720 K720">
    <cfRule type="containsText" dxfId="3" priority="689" operator="containsText" text="Monitor">
      <formula>NOT(ISERROR(SEARCH(("Monitor"),(G720))))</formula>
    </cfRule>
  </conditionalFormatting>
  <conditionalFormatting sqref="A719:AC720">
    <cfRule type="notContainsBlanks" dxfId="8" priority="690">
      <formula>LEN(TRIM(A719))&gt;0</formula>
    </cfRule>
  </conditionalFormatting>
  <conditionalFormatting sqref="A720:K720">
    <cfRule type="expression" dxfId="7" priority="691">
      <formula>if($G720="Closed",1,0)</formula>
    </cfRule>
  </conditionalFormatting>
  <conditionalFormatting sqref="G718:H718 K718">
    <cfRule type="containsText" dxfId="1" priority="692" operator="containsText" text="Open">
      <formula>NOT(ISERROR(SEARCH(("Open"),(G718))))</formula>
    </cfRule>
  </conditionalFormatting>
  <conditionalFormatting sqref="G718:H718 K718">
    <cfRule type="containsText" dxfId="0" priority="693" operator="containsText" text="Closed">
      <formula>NOT(ISERROR(SEARCH(("Closed"),(G718))))</formula>
    </cfRule>
  </conditionalFormatting>
  <conditionalFormatting sqref="G718:H718 K718">
    <cfRule type="containsText" dxfId="3" priority="694" operator="containsText" text="Monitor">
      <formula>NOT(ISERROR(SEARCH(("Monitor"),(G718))))</formula>
    </cfRule>
  </conditionalFormatting>
  <conditionalFormatting sqref="A717:AC718">
    <cfRule type="notContainsBlanks" dxfId="8" priority="695">
      <formula>LEN(TRIM(A717))&gt;0</formula>
    </cfRule>
  </conditionalFormatting>
  <conditionalFormatting sqref="A718:K718">
    <cfRule type="expression" dxfId="7" priority="696">
      <formula>if($G718="Closed",1,0)</formula>
    </cfRule>
  </conditionalFormatting>
  <conditionalFormatting sqref="G716:H716 K716">
    <cfRule type="containsText" dxfId="1" priority="697" operator="containsText" text="Open">
      <formula>NOT(ISERROR(SEARCH(("Open"),(G716))))</formula>
    </cfRule>
  </conditionalFormatting>
  <conditionalFormatting sqref="G716:H716 K716">
    <cfRule type="containsText" dxfId="0" priority="698" operator="containsText" text="Closed">
      <formula>NOT(ISERROR(SEARCH(("Closed"),(G716))))</formula>
    </cfRule>
  </conditionalFormatting>
  <conditionalFormatting sqref="G716:H716 K716">
    <cfRule type="containsText" dxfId="3" priority="699" operator="containsText" text="Monitor">
      <formula>NOT(ISERROR(SEARCH(("Monitor"),(G716))))</formula>
    </cfRule>
  </conditionalFormatting>
  <conditionalFormatting sqref="A715:AC716">
    <cfRule type="notContainsBlanks" dxfId="8" priority="700">
      <formula>LEN(TRIM(A715))&gt;0</formula>
    </cfRule>
  </conditionalFormatting>
  <conditionalFormatting sqref="A716:K716">
    <cfRule type="expression" dxfId="7" priority="701">
      <formula>if($G716="Closed",1,0)</formula>
    </cfRule>
  </conditionalFormatting>
  <conditionalFormatting sqref="G714:H714 K714">
    <cfRule type="containsText" dxfId="1" priority="702" operator="containsText" text="Open">
      <formula>NOT(ISERROR(SEARCH(("Open"),(G714))))</formula>
    </cfRule>
  </conditionalFormatting>
  <conditionalFormatting sqref="G714:H714 K714">
    <cfRule type="containsText" dxfId="0" priority="703" operator="containsText" text="Closed">
      <formula>NOT(ISERROR(SEARCH(("Closed"),(G714))))</formula>
    </cfRule>
  </conditionalFormatting>
  <conditionalFormatting sqref="G714:H714 K714">
    <cfRule type="containsText" dxfId="3" priority="704" operator="containsText" text="Monitor">
      <formula>NOT(ISERROR(SEARCH(("Monitor"),(G714))))</formula>
    </cfRule>
  </conditionalFormatting>
  <conditionalFormatting sqref="A713:AC714">
    <cfRule type="notContainsBlanks" dxfId="8" priority="705">
      <formula>LEN(TRIM(A713))&gt;0</formula>
    </cfRule>
  </conditionalFormatting>
  <conditionalFormatting sqref="A714:K714">
    <cfRule type="expression" dxfId="7" priority="706">
      <formula>if($G714="Closed",1,0)</formula>
    </cfRule>
  </conditionalFormatting>
  <conditionalFormatting sqref="G712:H712 K712">
    <cfRule type="containsText" dxfId="1" priority="707" operator="containsText" text="Open">
      <formula>NOT(ISERROR(SEARCH(("Open"),(G712))))</formula>
    </cfRule>
  </conditionalFormatting>
  <conditionalFormatting sqref="G712:H712 K712">
    <cfRule type="containsText" dxfId="0" priority="708" operator="containsText" text="Closed">
      <formula>NOT(ISERROR(SEARCH(("Closed"),(G712))))</formula>
    </cfRule>
  </conditionalFormatting>
  <conditionalFormatting sqref="G712:H712 K712">
    <cfRule type="containsText" dxfId="3" priority="709" operator="containsText" text="Monitor">
      <formula>NOT(ISERROR(SEARCH(("Monitor"),(G712))))</formula>
    </cfRule>
  </conditionalFormatting>
  <conditionalFormatting sqref="A711:AC712">
    <cfRule type="notContainsBlanks" dxfId="8" priority="710">
      <formula>LEN(TRIM(A711))&gt;0</formula>
    </cfRule>
  </conditionalFormatting>
  <conditionalFormatting sqref="A712:K712">
    <cfRule type="expression" dxfId="7" priority="711">
      <formula>if($G712="Closed",1,0)</formula>
    </cfRule>
  </conditionalFormatting>
  <conditionalFormatting sqref="G710:H710 K710">
    <cfRule type="containsText" dxfId="1" priority="712" operator="containsText" text="Open">
      <formula>NOT(ISERROR(SEARCH(("Open"),(G710))))</formula>
    </cfRule>
  </conditionalFormatting>
  <conditionalFormatting sqref="G710:H710 K710">
    <cfRule type="containsText" dxfId="0" priority="713" operator="containsText" text="Closed">
      <formula>NOT(ISERROR(SEARCH(("Closed"),(G710))))</formula>
    </cfRule>
  </conditionalFormatting>
  <conditionalFormatting sqref="G710:H710 K710">
    <cfRule type="containsText" dxfId="3" priority="714" operator="containsText" text="Monitor">
      <formula>NOT(ISERROR(SEARCH(("Monitor"),(G710))))</formula>
    </cfRule>
  </conditionalFormatting>
  <conditionalFormatting sqref="A709:AC710">
    <cfRule type="notContainsBlanks" dxfId="8" priority="715">
      <formula>LEN(TRIM(A709))&gt;0</formula>
    </cfRule>
  </conditionalFormatting>
  <conditionalFormatting sqref="A710:K710">
    <cfRule type="expression" dxfId="7" priority="716">
      <formula>if($G710="Closed",1,0)</formula>
    </cfRule>
  </conditionalFormatting>
  <conditionalFormatting sqref="G708:H708 K708">
    <cfRule type="containsText" dxfId="1" priority="717" operator="containsText" text="Open">
      <formula>NOT(ISERROR(SEARCH(("Open"),(G708))))</formula>
    </cfRule>
  </conditionalFormatting>
  <conditionalFormatting sqref="G708:H708 K708">
    <cfRule type="containsText" dxfId="0" priority="718" operator="containsText" text="Closed">
      <formula>NOT(ISERROR(SEARCH(("Closed"),(G708))))</formula>
    </cfRule>
  </conditionalFormatting>
  <conditionalFormatting sqref="G708:H708 K708">
    <cfRule type="containsText" dxfId="3" priority="719" operator="containsText" text="Monitor">
      <formula>NOT(ISERROR(SEARCH(("Monitor"),(G708))))</formula>
    </cfRule>
  </conditionalFormatting>
  <conditionalFormatting sqref="A707:AC708">
    <cfRule type="notContainsBlanks" dxfId="8" priority="720">
      <formula>LEN(TRIM(A707))&gt;0</formula>
    </cfRule>
  </conditionalFormatting>
  <conditionalFormatting sqref="A708:K708">
    <cfRule type="expression" dxfId="7" priority="721">
      <formula>if($G708="Closed",1,0)</formula>
    </cfRule>
  </conditionalFormatting>
  <conditionalFormatting sqref="G706:H706 K706">
    <cfRule type="containsText" dxfId="1" priority="722" operator="containsText" text="Open">
      <formula>NOT(ISERROR(SEARCH(("Open"),(G706))))</formula>
    </cfRule>
  </conditionalFormatting>
  <conditionalFormatting sqref="G706:H706 K706">
    <cfRule type="containsText" dxfId="0" priority="723" operator="containsText" text="Closed">
      <formula>NOT(ISERROR(SEARCH(("Closed"),(G706))))</formula>
    </cfRule>
  </conditionalFormatting>
  <conditionalFormatting sqref="G706:H706 K706">
    <cfRule type="containsText" dxfId="3" priority="724" operator="containsText" text="Monitor">
      <formula>NOT(ISERROR(SEARCH(("Monitor"),(G706))))</formula>
    </cfRule>
  </conditionalFormatting>
  <conditionalFormatting sqref="A705:AC706">
    <cfRule type="notContainsBlanks" dxfId="8" priority="725">
      <formula>LEN(TRIM(A705))&gt;0</formula>
    </cfRule>
  </conditionalFormatting>
  <conditionalFormatting sqref="A706:K706">
    <cfRule type="expression" dxfId="7" priority="726">
      <formula>if($G706="Closed",1,0)</formula>
    </cfRule>
  </conditionalFormatting>
  <conditionalFormatting sqref="G704:H704 K704">
    <cfRule type="containsText" dxfId="1" priority="727" operator="containsText" text="Open">
      <formula>NOT(ISERROR(SEARCH(("Open"),(G704))))</formula>
    </cfRule>
  </conditionalFormatting>
  <conditionalFormatting sqref="G704:H704 K704">
    <cfRule type="containsText" dxfId="0" priority="728" operator="containsText" text="Closed">
      <formula>NOT(ISERROR(SEARCH(("Closed"),(G704))))</formula>
    </cfRule>
  </conditionalFormatting>
  <conditionalFormatting sqref="G704:H704 K704">
    <cfRule type="containsText" dxfId="3" priority="729" operator="containsText" text="Monitor">
      <formula>NOT(ISERROR(SEARCH(("Monitor"),(G704))))</formula>
    </cfRule>
  </conditionalFormatting>
  <conditionalFormatting sqref="A703:AC704">
    <cfRule type="notContainsBlanks" dxfId="8" priority="730">
      <formula>LEN(TRIM(A703))&gt;0</formula>
    </cfRule>
  </conditionalFormatting>
  <conditionalFormatting sqref="A704:K704">
    <cfRule type="expression" dxfId="7" priority="731">
      <formula>if($G704="Closed",1,0)</formula>
    </cfRule>
  </conditionalFormatting>
  <conditionalFormatting sqref="G702:H702 K702">
    <cfRule type="containsText" dxfId="1" priority="732" operator="containsText" text="Open">
      <formula>NOT(ISERROR(SEARCH(("Open"),(G702))))</formula>
    </cfRule>
  </conditionalFormatting>
  <conditionalFormatting sqref="G702:H702 K702">
    <cfRule type="containsText" dxfId="0" priority="733" operator="containsText" text="Closed">
      <formula>NOT(ISERROR(SEARCH(("Closed"),(G702))))</formula>
    </cfRule>
  </conditionalFormatting>
  <conditionalFormatting sqref="G702:H702 K702">
    <cfRule type="containsText" dxfId="3" priority="734" operator="containsText" text="Monitor">
      <formula>NOT(ISERROR(SEARCH(("Monitor"),(G702))))</formula>
    </cfRule>
  </conditionalFormatting>
  <conditionalFormatting sqref="A701:AC702">
    <cfRule type="notContainsBlanks" dxfId="8" priority="735">
      <formula>LEN(TRIM(A701))&gt;0</formula>
    </cfRule>
  </conditionalFormatting>
  <conditionalFormatting sqref="A702:K702">
    <cfRule type="expression" dxfId="7" priority="736">
      <formula>if($G702="Closed",1,0)</formula>
    </cfRule>
  </conditionalFormatting>
  <conditionalFormatting sqref="G700:H700 K700">
    <cfRule type="containsText" dxfId="1" priority="737" operator="containsText" text="Open">
      <formula>NOT(ISERROR(SEARCH(("Open"),(G700))))</formula>
    </cfRule>
  </conditionalFormatting>
  <conditionalFormatting sqref="G700:H700 K700">
    <cfRule type="containsText" dxfId="0" priority="738" operator="containsText" text="Closed">
      <formula>NOT(ISERROR(SEARCH(("Closed"),(G700))))</formula>
    </cfRule>
  </conditionalFormatting>
  <conditionalFormatting sqref="G700:H700 K700">
    <cfRule type="containsText" dxfId="3" priority="739" operator="containsText" text="Monitor">
      <formula>NOT(ISERROR(SEARCH(("Monitor"),(G700))))</formula>
    </cfRule>
  </conditionalFormatting>
  <conditionalFormatting sqref="A699:AC700">
    <cfRule type="notContainsBlanks" dxfId="8" priority="740">
      <formula>LEN(TRIM(A699))&gt;0</formula>
    </cfRule>
  </conditionalFormatting>
  <conditionalFormatting sqref="A700:K700">
    <cfRule type="expression" dxfId="7" priority="741">
      <formula>if($G700="Closed",1,0)</formula>
    </cfRule>
  </conditionalFormatting>
  <conditionalFormatting sqref="G698:H698 K698">
    <cfRule type="containsText" dxfId="1" priority="742" operator="containsText" text="Open">
      <formula>NOT(ISERROR(SEARCH(("Open"),(G698))))</formula>
    </cfRule>
  </conditionalFormatting>
  <conditionalFormatting sqref="G698:H698 K698">
    <cfRule type="containsText" dxfId="0" priority="743" operator="containsText" text="Closed">
      <formula>NOT(ISERROR(SEARCH(("Closed"),(G698))))</formula>
    </cfRule>
  </conditionalFormatting>
  <conditionalFormatting sqref="G698:H698 K698">
    <cfRule type="containsText" dxfId="3" priority="744" operator="containsText" text="Monitor">
      <formula>NOT(ISERROR(SEARCH(("Monitor"),(G698))))</formula>
    </cfRule>
  </conditionalFormatting>
  <conditionalFormatting sqref="A697:AC698">
    <cfRule type="notContainsBlanks" dxfId="8" priority="745">
      <formula>LEN(TRIM(A697))&gt;0</formula>
    </cfRule>
  </conditionalFormatting>
  <conditionalFormatting sqref="A698:K698">
    <cfRule type="expression" dxfId="7" priority="746">
      <formula>if($G698="Closed",1,0)</formula>
    </cfRule>
  </conditionalFormatting>
  <conditionalFormatting sqref="G696:H696 K696">
    <cfRule type="containsText" dxfId="1" priority="747" operator="containsText" text="Open">
      <formula>NOT(ISERROR(SEARCH(("Open"),(G696))))</formula>
    </cfRule>
  </conditionalFormatting>
  <conditionalFormatting sqref="G696:H696 K696">
    <cfRule type="containsText" dxfId="0" priority="748" operator="containsText" text="Closed">
      <formula>NOT(ISERROR(SEARCH(("Closed"),(G696))))</formula>
    </cfRule>
  </conditionalFormatting>
  <conditionalFormatting sqref="G696:H696 K696">
    <cfRule type="containsText" dxfId="3" priority="749" operator="containsText" text="Monitor">
      <formula>NOT(ISERROR(SEARCH(("Monitor"),(G696))))</formula>
    </cfRule>
  </conditionalFormatting>
  <conditionalFormatting sqref="A695:AC696">
    <cfRule type="notContainsBlanks" dxfId="8" priority="750">
      <formula>LEN(TRIM(A695))&gt;0</formula>
    </cfRule>
  </conditionalFormatting>
  <conditionalFormatting sqref="A696:K696">
    <cfRule type="expression" dxfId="7" priority="751">
      <formula>if($G696="Closed",1,0)</formula>
    </cfRule>
  </conditionalFormatting>
  <conditionalFormatting sqref="G694:H694 K694">
    <cfRule type="containsText" dxfId="1" priority="752" operator="containsText" text="Open">
      <formula>NOT(ISERROR(SEARCH(("Open"),(G694))))</formula>
    </cfRule>
  </conditionalFormatting>
  <conditionalFormatting sqref="G694:H694 K694">
    <cfRule type="containsText" dxfId="0" priority="753" operator="containsText" text="Closed">
      <formula>NOT(ISERROR(SEARCH(("Closed"),(G694))))</formula>
    </cfRule>
  </conditionalFormatting>
  <conditionalFormatting sqref="G694:H694 K694">
    <cfRule type="containsText" dxfId="3" priority="754" operator="containsText" text="Monitor">
      <formula>NOT(ISERROR(SEARCH(("Monitor"),(G694))))</formula>
    </cfRule>
  </conditionalFormatting>
  <conditionalFormatting sqref="A693:AC694">
    <cfRule type="notContainsBlanks" dxfId="8" priority="755">
      <formula>LEN(TRIM(A693))&gt;0</formula>
    </cfRule>
  </conditionalFormatting>
  <conditionalFormatting sqref="A694:K694">
    <cfRule type="expression" dxfId="7" priority="756">
      <formula>if($G694="Closed",1,0)</formula>
    </cfRule>
  </conditionalFormatting>
  <conditionalFormatting sqref="G692:H692 K692">
    <cfRule type="containsText" dxfId="1" priority="757" operator="containsText" text="Open">
      <formula>NOT(ISERROR(SEARCH(("Open"),(G692))))</formula>
    </cfRule>
  </conditionalFormatting>
  <conditionalFormatting sqref="G692:H692 K692">
    <cfRule type="containsText" dxfId="0" priority="758" operator="containsText" text="Closed">
      <formula>NOT(ISERROR(SEARCH(("Closed"),(G692))))</formula>
    </cfRule>
  </conditionalFormatting>
  <conditionalFormatting sqref="G692:H692 K692">
    <cfRule type="containsText" dxfId="3" priority="759" operator="containsText" text="Monitor">
      <formula>NOT(ISERROR(SEARCH(("Monitor"),(G692))))</formula>
    </cfRule>
  </conditionalFormatting>
  <conditionalFormatting sqref="A691:AC692">
    <cfRule type="notContainsBlanks" dxfId="8" priority="760">
      <formula>LEN(TRIM(A691))&gt;0</formula>
    </cfRule>
  </conditionalFormatting>
  <conditionalFormatting sqref="A692:K692">
    <cfRule type="expression" dxfId="7" priority="761">
      <formula>if($G692="Closed",1,0)</formula>
    </cfRule>
  </conditionalFormatting>
  <conditionalFormatting sqref="G690:H690 K690">
    <cfRule type="containsText" dxfId="1" priority="762" operator="containsText" text="Open">
      <formula>NOT(ISERROR(SEARCH(("Open"),(G690))))</formula>
    </cfRule>
  </conditionalFormatting>
  <conditionalFormatting sqref="G690:H690 K690">
    <cfRule type="containsText" dxfId="0" priority="763" operator="containsText" text="Closed">
      <formula>NOT(ISERROR(SEARCH(("Closed"),(G690))))</formula>
    </cfRule>
  </conditionalFormatting>
  <conditionalFormatting sqref="G690:H690 K690">
    <cfRule type="containsText" dxfId="3" priority="764" operator="containsText" text="Monitor">
      <formula>NOT(ISERROR(SEARCH(("Monitor"),(G690))))</formula>
    </cfRule>
  </conditionalFormatting>
  <conditionalFormatting sqref="A689:AC690">
    <cfRule type="notContainsBlanks" dxfId="8" priority="765">
      <formula>LEN(TRIM(A689))&gt;0</formula>
    </cfRule>
  </conditionalFormatting>
  <conditionalFormatting sqref="A690:K690">
    <cfRule type="expression" dxfId="7" priority="766">
      <formula>if($G690="Closed",1,0)</formula>
    </cfRule>
  </conditionalFormatting>
  <conditionalFormatting sqref="G688:H688 K688">
    <cfRule type="containsText" dxfId="1" priority="767" operator="containsText" text="Open">
      <formula>NOT(ISERROR(SEARCH(("Open"),(G688))))</formula>
    </cfRule>
  </conditionalFormatting>
  <conditionalFormatting sqref="G688:H688 K688">
    <cfRule type="containsText" dxfId="0" priority="768" operator="containsText" text="Closed">
      <formula>NOT(ISERROR(SEARCH(("Closed"),(G688))))</formula>
    </cfRule>
  </conditionalFormatting>
  <conditionalFormatting sqref="G688:H688 K688">
    <cfRule type="containsText" dxfId="3" priority="769" operator="containsText" text="Monitor">
      <formula>NOT(ISERROR(SEARCH(("Monitor"),(G688))))</formula>
    </cfRule>
  </conditionalFormatting>
  <conditionalFormatting sqref="A687:AC688">
    <cfRule type="notContainsBlanks" dxfId="8" priority="770">
      <formula>LEN(TRIM(A687))&gt;0</formula>
    </cfRule>
  </conditionalFormatting>
  <conditionalFormatting sqref="A688:K688">
    <cfRule type="expression" dxfId="7" priority="771">
      <formula>if($G688="Closed",1,0)</formula>
    </cfRule>
  </conditionalFormatting>
  <conditionalFormatting sqref="G686:H686 K686">
    <cfRule type="containsText" dxfId="1" priority="772" operator="containsText" text="Open">
      <formula>NOT(ISERROR(SEARCH(("Open"),(G686))))</formula>
    </cfRule>
  </conditionalFormatting>
  <conditionalFormatting sqref="G686:H686 K686">
    <cfRule type="containsText" dxfId="0" priority="773" operator="containsText" text="Closed">
      <formula>NOT(ISERROR(SEARCH(("Closed"),(G686))))</formula>
    </cfRule>
  </conditionalFormatting>
  <conditionalFormatting sqref="G686:H686 K686">
    <cfRule type="containsText" dxfId="3" priority="774" operator="containsText" text="Monitor">
      <formula>NOT(ISERROR(SEARCH(("Monitor"),(G686))))</formula>
    </cfRule>
  </conditionalFormatting>
  <conditionalFormatting sqref="A685:AC686">
    <cfRule type="notContainsBlanks" dxfId="8" priority="775">
      <formula>LEN(TRIM(A685))&gt;0</formula>
    </cfRule>
  </conditionalFormatting>
  <conditionalFormatting sqref="A686:K686">
    <cfRule type="expression" dxfId="7" priority="776">
      <formula>if($G686="Closed",1,0)</formula>
    </cfRule>
  </conditionalFormatting>
  <conditionalFormatting sqref="G684:H684 K684">
    <cfRule type="containsText" dxfId="1" priority="777" operator="containsText" text="Open">
      <formula>NOT(ISERROR(SEARCH(("Open"),(G684))))</formula>
    </cfRule>
  </conditionalFormatting>
  <conditionalFormatting sqref="G684:H684 K684">
    <cfRule type="containsText" dxfId="0" priority="778" operator="containsText" text="Closed">
      <formula>NOT(ISERROR(SEARCH(("Closed"),(G684))))</formula>
    </cfRule>
  </conditionalFormatting>
  <conditionalFormatting sqref="G684:H684 K684">
    <cfRule type="containsText" dxfId="3" priority="779" operator="containsText" text="Monitor">
      <formula>NOT(ISERROR(SEARCH(("Monitor"),(G684))))</formula>
    </cfRule>
  </conditionalFormatting>
  <conditionalFormatting sqref="A683:AC684">
    <cfRule type="notContainsBlanks" dxfId="8" priority="780">
      <formula>LEN(TRIM(A683))&gt;0</formula>
    </cfRule>
  </conditionalFormatting>
  <conditionalFormatting sqref="A684:K684">
    <cfRule type="expression" dxfId="7" priority="781">
      <formula>if($G684="Closed",1,0)</formula>
    </cfRule>
  </conditionalFormatting>
  <conditionalFormatting sqref="G682:H682 K682">
    <cfRule type="containsText" dxfId="1" priority="782" operator="containsText" text="Open">
      <formula>NOT(ISERROR(SEARCH(("Open"),(G682))))</formula>
    </cfRule>
  </conditionalFormatting>
  <conditionalFormatting sqref="G682:H682 K682">
    <cfRule type="containsText" dxfId="0" priority="783" operator="containsText" text="Closed">
      <formula>NOT(ISERROR(SEARCH(("Closed"),(G682))))</formula>
    </cfRule>
  </conditionalFormatting>
  <conditionalFormatting sqref="G682:H682 K682">
    <cfRule type="containsText" dxfId="3" priority="784" operator="containsText" text="Monitor">
      <formula>NOT(ISERROR(SEARCH(("Monitor"),(G682))))</formula>
    </cfRule>
  </conditionalFormatting>
  <conditionalFormatting sqref="A681:AC682">
    <cfRule type="notContainsBlanks" dxfId="8" priority="785">
      <formula>LEN(TRIM(A681))&gt;0</formula>
    </cfRule>
  </conditionalFormatting>
  <conditionalFormatting sqref="A682:K682">
    <cfRule type="expression" dxfId="7" priority="786">
      <formula>if($G682="Closed",1,0)</formula>
    </cfRule>
  </conditionalFormatting>
  <conditionalFormatting sqref="G680:H680 K680">
    <cfRule type="containsText" dxfId="1" priority="787" operator="containsText" text="Open">
      <formula>NOT(ISERROR(SEARCH(("Open"),(G680))))</formula>
    </cfRule>
  </conditionalFormatting>
  <conditionalFormatting sqref="G680:H680 K680">
    <cfRule type="containsText" dxfId="0" priority="788" operator="containsText" text="Closed">
      <formula>NOT(ISERROR(SEARCH(("Closed"),(G680))))</formula>
    </cfRule>
  </conditionalFormatting>
  <conditionalFormatting sqref="G680:H680 K680">
    <cfRule type="containsText" dxfId="3" priority="789" operator="containsText" text="Monitor">
      <formula>NOT(ISERROR(SEARCH(("Monitor"),(G680))))</formula>
    </cfRule>
  </conditionalFormatting>
  <conditionalFormatting sqref="A679:AC680">
    <cfRule type="notContainsBlanks" dxfId="8" priority="790">
      <formula>LEN(TRIM(A679))&gt;0</formula>
    </cfRule>
  </conditionalFormatting>
  <conditionalFormatting sqref="A680:K680">
    <cfRule type="expression" dxfId="7" priority="791">
      <formula>if($G680="Closed",1,0)</formula>
    </cfRule>
  </conditionalFormatting>
  <conditionalFormatting sqref="G678:H678 K678">
    <cfRule type="containsText" dxfId="1" priority="792" operator="containsText" text="Open">
      <formula>NOT(ISERROR(SEARCH(("Open"),(G678))))</formula>
    </cfRule>
  </conditionalFormatting>
  <conditionalFormatting sqref="G678:H678 K678">
    <cfRule type="containsText" dxfId="0" priority="793" operator="containsText" text="Closed">
      <formula>NOT(ISERROR(SEARCH(("Closed"),(G678))))</formula>
    </cfRule>
  </conditionalFormatting>
  <conditionalFormatting sqref="G678:H678 K678">
    <cfRule type="containsText" dxfId="3" priority="794" operator="containsText" text="Monitor">
      <formula>NOT(ISERROR(SEARCH(("Monitor"),(G678))))</formula>
    </cfRule>
  </conditionalFormatting>
  <conditionalFormatting sqref="A677:AC678">
    <cfRule type="notContainsBlanks" dxfId="8" priority="795">
      <formula>LEN(TRIM(A677))&gt;0</formula>
    </cfRule>
  </conditionalFormatting>
  <conditionalFormatting sqref="A678:K678">
    <cfRule type="expression" dxfId="7" priority="796">
      <formula>if($G678="Closed",1,0)</formula>
    </cfRule>
  </conditionalFormatting>
  <conditionalFormatting sqref="G676:H676 K676">
    <cfRule type="containsText" dxfId="1" priority="797" operator="containsText" text="Open">
      <formula>NOT(ISERROR(SEARCH(("Open"),(G676))))</formula>
    </cfRule>
  </conditionalFormatting>
  <conditionalFormatting sqref="G676:H676 K676">
    <cfRule type="containsText" dxfId="0" priority="798" operator="containsText" text="Closed">
      <formula>NOT(ISERROR(SEARCH(("Closed"),(G676))))</formula>
    </cfRule>
  </conditionalFormatting>
  <conditionalFormatting sqref="G676:H676 K676">
    <cfRule type="containsText" dxfId="3" priority="799" operator="containsText" text="Monitor">
      <formula>NOT(ISERROR(SEARCH(("Monitor"),(G676))))</formula>
    </cfRule>
  </conditionalFormatting>
  <conditionalFormatting sqref="A675:AC676">
    <cfRule type="notContainsBlanks" dxfId="8" priority="800">
      <formula>LEN(TRIM(A675))&gt;0</formula>
    </cfRule>
  </conditionalFormatting>
  <conditionalFormatting sqref="A676:K676">
    <cfRule type="expression" dxfId="7" priority="801">
      <formula>if($G676="Closed",1,0)</formula>
    </cfRule>
  </conditionalFormatting>
  <conditionalFormatting sqref="G674:H674 K674">
    <cfRule type="containsText" dxfId="1" priority="802" operator="containsText" text="Open">
      <formula>NOT(ISERROR(SEARCH(("Open"),(G674))))</formula>
    </cfRule>
  </conditionalFormatting>
  <conditionalFormatting sqref="G674:H674 K674">
    <cfRule type="containsText" dxfId="0" priority="803" operator="containsText" text="Closed">
      <formula>NOT(ISERROR(SEARCH(("Closed"),(G674))))</formula>
    </cfRule>
  </conditionalFormatting>
  <conditionalFormatting sqref="G674:H674 K674">
    <cfRule type="containsText" dxfId="3" priority="804" operator="containsText" text="Monitor">
      <formula>NOT(ISERROR(SEARCH(("Monitor"),(G674))))</formula>
    </cfRule>
  </conditionalFormatting>
  <conditionalFormatting sqref="A673:AC674">
    <cfRule type="notContainsBlanks" dxfId="8" priority="805">
      <formula>LEN(TRIM(A673))&gt;0</formula>
    </cfRule>
  </conditionalFormatting>
  <conditionalFormatting sqref="A674:K674">
    <cfRule type="expression" dxfId="7" priority="806">
      <formula>if($G674="Closed",1,0)</formula>
    </cfRule>
  </conditionalFormatting>
  <conditionalFormatting sqref="G672:H672 K672">
    <cfRule type="containsText" dxfId="1" priority="807" operator="containsText" text="Open">
      <formula>NOT(ISERROR(SEARCH(("Open"),(G672))))</formula>
    </cfRule>
  </conditionalFormatting>
  <conditionalFormatting sqref="G672:H672 K672">
    <cfRule type="containsText" dxfId="0" priority="808" operator="containsText" text="Closed">
      <formula>NOT(ISERROR(SEARCH(("Closed"),(G672))))</formula>
    </cfRule>
  </conditionalFormatting>
  <conditionalFormatting sqref="G672:H672 K672">
    <cfRule type="containsText" dxfId="3" priority="809" operator="containsText" text="Monitor">
      <formula>NOT(ISERROR(SEARCH(("Monitor"),(G672))))</formula>
    </cfRule>
  </conditionalFormatting>
  <conditionalFormatting sqref="A671:AC672">
    <cfRule type="notContainsBlanks" dxfId="8" priority="810">
      <formula>LEN(TRIM(A671))&gt;0</formula>
    </cfRule>
  </conditionalFormatting>
  <conditionalFormatting sqref="A672:K672">
    <cfRule type="expression" dxfId="7" priority="811">
      <formula>if($G672="Closed",1,0)</formula>
    </cfRule>
  </conditionalFormatting>
  <conditionalFormatting sqref="G670:H670 K670">
    <cfRule type="containsText" dxfId="1" priority="812" operator="containsText" text="Open">
      <formula>NOT(ISERROR(SEARCH(("Open"),(G670))))</formula>
    </cfRule>
  </conditionalFormatting>
  <conditionalFormatting sqref="G670:H670 K670">
    <cfRule type="containsText" dxfId="0" priority="813" operator="containsText" text="Closed">
      <formula>NOT(ISERROR(SEARCH(("Closed"),(G670))))</formula>
    </cfRule>
  </conditionalFormatting>
  <conditionalFormatting sqref="G670:H670 K670">
    <cfRule type="containsText" dxfId="3" priority="814" operator="containsText" text="Monitor">
      <formula>NOT(ISERROR(SEARCH(("Monitor"),(G670))))</formula>
    </cfRule>
  </conditionalFormatting>
  <conditionalFormatting sqref="A669:AC670">
    <cfRule type="notContainsBlanks" dxfId="8" priority="815">
      <formula>LEN(TRIM(A669))&gt;0</formula>
    </cfRule>
  </conditionalFormatting>
  <conditionalFormatting sqref="A670:K670">
    <cfRule type="expression" dxfId="7" priority="816">
      <formula>if($G670="Closed",1,0)</formula>
    </cfRule>
  </conditionalFormatting>
  <conditionalFormatting sqref="G668:H668 K668">
    <cfRule type="containsText" dxfId="1" priority="817" operator="containsText" text="Open">
      <formula>NOT(ISERROR(SEARCH(("Open"),(G668))))</formula>
    </cfRule>
  </conditionalFormatting>
  <conditionalFormatting sqref="G668:H668 K668">
    <cfRule type="containsText" dxfId="0" priority="818" operator="containsText" text="Closed">
      <formula>NOT(ISERROR(SEARCH(("Closed"),(G668))))</formula>
    </cfRule>
  </conditionalFormatting>
  <conditionalFormatting sqref="G668:H668 K668">
    <cfRule type="containsText" dxfId="3" priority="819" operator="containsText" text="Monitor">
      <formula>NOT(ISERROR(SEARCH(("Monitor"),(G668))))</formula>
    </cfRule>
  </conditionalFormatting>
  <conditionalFormatting sqref="A667:AC668">
    <cfRule type="notContainsBlanks" dxfId="8" priority="820">
      <formula>LEN(TRIM(A667))&gt;0</formula>
    </cfRule>
  </conditionalFormatting>
  <conditionalFormatting sqref="A668:K668">
    <cfRule type="expression" dxfId="7" priority="821">
      <formula>if($G668="Closed",1,0)</formula>
    </cfRule>
  </conditionalFormatting>
  <conditionalFormatting sqref="G666:H666 K666">
    <cfRule type="containsText" dxfId="1" priority="822" operator="containsText" text="Open">
      <formula>NOT(ISERROR(SEARCH(("Open"),(G666))))</formula>
    </cfRule>
  </conditionalFormatting>
  <conditionalFormatting sqref="G666:H666 K666">
    <cfRule type="containsText" dxfId="0" priority="823" operator="containsText" text="Closed">
      <formula>NOT(ISERROR(SEARCH(("Closed"),(G666))))</formula>
    </cfRule>
  </conditionalFormatting>
  <conditionalFormatting sqref="G666:H666 K666">
    <cfRule type="containsText" dxfId="3" priority="824" operator="containsText" text="Monitor">
      <formula>NOT(ISERROR(SEARCH(("Monitor"),(G666))))</formula>
    </cfRule>
  </conditionalFormatting>
  <conditionalFormatting sqref="A665:AC666">
    <cfRule type="notContainsBlanks" dxfId="8" priority="825">
      <formula>LEN(TRIM(A665))&gt;0</formula>
    </cfRule>
  </conditionalFormatting>
  <conditionalFormatting sqref="A666:K666">
    <cfRule type="expression" dxfId="7" priority="826">
      <formula>if($G666="Closed",1,0)</formula>
    </cfRule>
  </conditionalFormatting>
  <conditionalFormatting sqref="G664:H664 K664">
    <cfRule type="containsText" dxfId="1" priority="827" operator="containsText" text="Open">
      <formula>NOT(ISERROR(SEARCH(("Open"),(G664))))</formula>
    </cfRule>
  </conditionalFormatting>
  <conditionalFormatting sqref="G664:H664 K664">
    <cfRule type="containsText" dxfId="0" priority="828" operator="containsText" text="Closed">
      <formula>NOT(ISERROR(SEARCH(("Closed"),(G664))))</formula>
    </cfRule>
  </conditionalFormatting>
  <conditionalFormatting sqref="G664:H664 K664">
    <cfRule type="containsText" dxfId="3" priority="829" operator="containsText" text="Monitor">
      <formula>NOT(ISERROR(SEARCH(("Monitor"),(G664))))</formula>
    </cfRule>
  </conditionalFormatting>
  <conditionalFormatting sqref="A663:AC664">
    <cfRule type="notContainsBlanks" dxfId="8" priority="830">
      <formula>LEN(TRIM(A663))&gt;0</formula>
    </cfRule>
  </conditionalFormatting>
  <conditionalFormatting sqref="A664:K664">
    <cfRule type="expression" dxfId="7" priority="831">
      <formula>if($G664="Closed",1,0)</formula>
    </cfRule>
  </conditionalFormatting>
  <conditionalFormatting sqref="G662:H662 K662">
    <cfRule type="containsText" dxfId="1" priority="832" operator="containsText" text="Open">
      <formula>NOT(ISERROR(SEARCH(("Open"),(G662))))</formula>
    </cfRule>
  </conditionalFormatting>
  <conditionalFormatting sqref="G662:H662 K662">
    <cfRule type="containsText" dxfId="0" priority="833" operator="containsText" text="Closed">
      <formula>NOT(ISERROR(SEARCH(("Closed"),(G662))))</formula>
    </cfRule>
  </conditionalFormatting>
  <conditionalFormatting sqref="G662:H662 K662">
    <cfRule type="containsText" dxfId="3" priority="834" operator="containsText" text="Monitor">
      <formula>NOT(ISERROR(SEARCH(("Monitor"),(G662))))</formula>
    </cfRule>
  </conditionalFormatting>
  <conditionalFormatting sqref="A661:AC662">
    <cfRule type="notContainsBlanks" dxfId="8" priority="835">
      <formula>LEN(TRIM(A661))&gt;0</formula>
    </cfRule>
  </conditionalFormatting>
  <conditionalFormatting sqref="A662:K662">
    <cfRule type="expression" dxfId="7" priority="836">
      <formula>if($G662="Closed",1,0)</formula>
    </cfRule>
  </conditionalFormatting>
  <conditionalFormatting sqref="G660:H660 K660">
    <cfRule type="containsText" dxfId="1" priority="837" operator="containsText" text="Open">
      <formula>NOT(ISERROR(SEARCH(("Open"),(G660))))</formula>
    </cfRule>
  </conditionalFormatting>
  <conditionalFormatting sqref="G660:H660 K660">
    <cfRule type="containsText" dxfId="0" priority="838" operator="containsText" text="Closed">
      <formula>NOT(ISERROR(SEARCH(("Closed"),(G660))))</formula>
    </cfRule>
  </conditionalFormatting>
  <conditionalFormatting sqref="G660:H660 K660">
    <cfRule type="containsText" dxfId="3" priority="839" operator="containsText" text="Monitor">
      <formula>NOT(ISERROR(SEARCH(("Monitor"),(G660))))</formula>
    </cfRule>
  </conditionalFormatting>
  <conditionalFormatting sqref="A659:AC660">
    <cfRule type="notContainsBlanks" dxfId="8" priority="840">
      <formula>LEN(TRIM(A659))&gt;0</formula>
    </cfRule>
  </conditionalFormatting>
  <conditionalFormatting sqref="A660:K660">
    <cfRule type="expression" dxfId="7" priority="841">
      <formula>if($G660="Closed",1,0)</formula>
    </cfRule>
  </conditionalFormatting>
  <conditionalFormatting sqref="G658:H658 K658">
    <cfRule type="containsText" dxfId="1" priority="842" operator="containsText" text="Open">
      <formula>NOT(ISERROR(SEARCH(("Open"),(G658))))</formula>
    </cfRule>
  </conditionalFormatting>
  <conditionalFormatting sqref="G658:H658 K658">
    <cfRule type="containsText" dxfId="0" priority="843" operator="containsText" text="Closed">
      <formula>NOT(ISERROR(SEARCH(("Closed"),(G658))))</formula>
    </cfRule>
  </conditionalFormatting>
  <conditionalFormatting sqref="G658:H658 K658">
    <cfRule type="containsText" dxfId="3" priority="844" operator="containsText" text="Monitor">
      <formula>NOT(ISERROR(SEARCH(("Monitor"),(G658))))</formula>
    </cfRule>
  </conditionalFormatting>
  <conditionalFormatting sqref="A657:AC658">
    <cfRule type="notContainsBlanks" dxfId="8" priority="845">
      <formula>LEN(TRIM(A657))&gt;0</formula>
    </cfRule>
  </conditionalFormatting>
  <conditionalFormatting sqref="A658:K658">
    <cfRule type="expression" dxfId="7" priority="846">
      <formula>if($G658="Closed",1,0)</formula>
    </cfRule>
  </conditionalFormatting>
  <conditionalFormatting sqref="G656:H656 K656">
    <cfRule type="containsText" dxfId="1" priority="847" operator="containsText" text="Open">
      <formula>NOT(ISERROR(SEARCH(("Open"),(G656))))</formula>
    </cfRule>
  </conditionalFormatting>
  <conditionalFormatting sqref="G656:H656 K656">
    <cfRule type="containsText" dxfId="0" priority="848" operator="containsText" text="Closed">
      <formula>NOT(ISERROR(SEARCH(("Closed"),(G656))))</formula>
    </cfRule>
  </conditionalFormatting>
  <conditionalFormatting sqref="G656:H656 K656">
    <cfRule type="containsText" dxfId="3" priority="849" operator="containsText" text="Monitor">
      <formula>NOT(ISERROR(SEARCH(("Monitor"),(G656))))</formula>
    </cfRule>
  </conditionalFormatting>
  <conditionalFormatting sqref="A655:AC656">
    <cfRule type="notContainsBlanks" dxfId="8" priority="850">
      <formula>LEN(TRIM(A655))&gt;0</formula>
    </cfRule>
  </conditionalFormatting>
  <conditionalFormatting sqref="A656:K656">
    <cfRule type="expression" dxfId="7" priority="851">
      <formula>if($G656="Closed",1,0)</formula>
    </cfRule>
  </conditionalFormatting>
  <conditionalFormatting sqref="G654:H654 K654">
    <cfRule type="containsText" dxfId="1" priority="852" operator="containsText" text="Open">
      <formula>NOT(ISERROR(SEARCH(("Open"),(G654))))</formula>
    </cfRule>
  </conditionalFormatting>
  <conditionalFormatting sqref="G654:H654 K654">
    <cfRule type="containsText" dxfId="0" priority="853" operator="containsText" text="Closed">
      <formula>NOT(ISERROR(SEARCH(("Closed"),(G654))))</formula>
    </cfRule>
  </conditionalFormatting>
  <conditionalFormatting sqref="G654:H654 K654">
    <cfRule type="containsText" dxfId="3" priority="854" operator="containsText" text="Monitor">
      <formula>NOT(ISERROR(SEARCH(("Monitor"),(G654))))</formula>
    </cfRule>
  </conditionalFormatting>
  <conditionalFormatting sqref="A653:AC654">
    <cfRule type="notContainsBlanks" dxfId="8" priority="855">
      <formula>LEN(TRIM(A653))&gt;0</formula>
    </cfRule>
  </conditionalFormatting>
  <conditionalFormatting sqref="A654:K654">
    <cfRule type="expression" dxfId="7" priority="856">
      <formula>if($G654="Closed",1,0)</formula>
    </cfRule>
  </conditionalFormatting>
  <conditionalFormatting sqref="G652:H652 K652">
    <cfRule type="containsText" dxfId="1" priority="857" operator="containsText" text="Open">
      <formula>NOT(ISERROR(SEARCH(("Open"),(G652))))</formula>
    </cfRule>
  </conditionalFormatting>
  <conditionalFormatting sqref="G652:H652 K652">
    <cfRule type="containsText" dxfId="0" priority="858" operator="containsText" text="Closed">
      <formula>NOT(ISERROR(SEARCH(("Closed"),(G652))))</formula>
    </cfRule>
  </conditionalFormatting>
  <conditionalFormatting sqref="G652:H652 K652">
    <cfRule type="containsText" dxfId="3" priority="859" operator="containsText" text="Monitor">
      <formula>NOT(ISERROR(SEARCH(("Monitor"),(G652))))</formula>
    </cfRule>
  </conditionalFormatting>
  <conditionalFormatting sqref="A651:AC652">
    <cfRule type="notContainsBlanks" dxfId="8" priority="860">
      <formula>LEN(TRIM(A651))&gt;0</formula>
    </cfRule>
  </conditionalFormatting>
  <conditionalFormatting sqref="A652:K652">
    <cfRule type="expression" dxfId="7" priority="861">
      <formula>if($G652="Closed",1,0)</formula>
    </cfRule>
  </conditionalFormatting>
  <conditionalFormatting sqref="G650:H650 K650">
    <cfRule type="containsText" dxfId="1" priority="862" operator="containsText" text="Open">
      <formula>NOT(ISERROR(SEARCH(("Open"),(G650))))</formula>
    </cfRule>
  </conditionalFormatting>
  <conditionalFormatting sqref="G650:H650 K650">
    <cfRule type="containsText" dxfId="0" priority="863" operator="containsText" text="Closed">
      <formula>NOT(ISERROR(SEARCH(("Closed"),(G650))))</formula>
    </cfRule>
  </conditionalFormatting>
  <conditionalFormatting sqref="G650:H650 K650">
    <cfRule type="containsText" dxfId="3" priority="864" operator="containsText" text="Monitor">
      <formula>NOT(ISERROR(SEARCH(("Monitor"),(G650))))</formula>
    </cfRule>
  </conditionalFormatting>
  <conditionalFormatting sqref="A649:AC650">
    <cfRule type="notContainsBlanks" dxfId="8" priority="865">
      <formula>LEN(TRIM(A649))&gt;0</formula>
    </cfRule>
  </conditionalFormatting>
  <conditionalFormatting sqref="A650:K650">
    <cfRule type="expression" dxfId="7" priority="866">
      <formula>if($G650="Closed",1,0)</formula>
    </cfRule>
  </conditionalFormatting>
  <conditionalFormatting sqref="G648:H648 K648">
    <cfRule type="containsText" dxfId="1" priority="867" operator="containsText" text="Open">
      <formula>NOT(ISERROR(SEARCH(("Open"),(G648))))</formula>
    </cfRule>
  </conditionalFormatting>
  <conditionalFormatting sqref="G648:H648 K648">
    <cfRule type="containsText" dxfId="0" priority="868" operator="containsText" text="Closed">
      <formula>NOT(ISERROR(SEARCH(("Closed"),(G648))))</formula>
    </cfRule>
  </conditionalFormatting>
  <conditionalFormatting sqref="G648:H648 K648">
    <cfRule type="containsText" dxfId="3" priority="869" operator="containsText" text="Monitor">
      <formula>NOT(ISERROR(SEARCH(("Monitor"),(G648))))</formula>
    </cfRule>
  </conditionalFormatting>
  <conditionalFormatting sqref="A647:AC648">
    <cfRule type="notContainsBlanks" dxfId="8" priority="870">
      <formula>LEN(TRIM(A647))&gt;0</formula>
    </cfRule>
  </conditionalFormatting>
  <conditionalFormatting sqref="A648:K648">
    <cfRule type="expression" dxfId="7" priority="871">
      <formula>if($G648="Closed",1,0)</formula>
    </cfRule>
  </conditionalFormatting>
  <conditionalFormatting sqref="G646:H646 K646">
    <cfRule type="containsText" dxfId="1" priority="872" operator="containsText" text="Open">
      <formula>NOT(ISERROR(SEARCH(("Open"),(G646))))</formula>
    </cfRule>
  </conditionalFormatting>
  <conditionalFormatting sqref="G646:H646 K646">
    <cfRule type="containsText" dxfId="0" priority="873" operator="containsText" text="Closed">
      <formula>NOT(ISERROR(SEARCH(("Closed"),(G646))))</formula>
    </cfRule>
  </conditionalFormatting>
  <conditionalFormatting sqref="G646:H646 K646">
    <cfRule type="containsText" dxfId="3" priority="874" operator="containsText" text="Monitor">
      <formula>NOT(ISERROR(SEARCH(("Monitor"),(G646))))</formula>
    </cfRule>
  </conditionalFormatting>
  <conditionalFormatting sqref="A645:AC646">
    <cfRule type="notContainsBlanks" dxfId="8" priority="875">
      <formula>LEN(TRIM(A645))&gt;0</formula>
    </cfRule>
  </conditionalFormatting>
  <conditionalFormatting sqref="A646:K646">
    <cfRule type="expression" dxfId="7" priority="876">
      <formula>if($G646="Closed",1,0)</formula>
    </cfRule>
  </conditionalFormatting>
  <conditionalFormatting sqref="G644:H644 K644">
    <cfRule type="containsText" dxfId="1" priority="877" operator="containsText" text="Open">
      <formula>NOT(ISERROR(SEARCH(("Open"),(G644))))</formula>
    </cfRule>
  </conditionalFormatting>
  <conditionalFormatting sqref="G644:H644 K644">
    <cfRule type="containsText" dxfId="0" priority="878" operator="containsText" text="Closed">
      <formula>NOT(ISERROR(SEARCH(("Closed"),(G644))))</formula>
    </cfRule>
  </conditionalFormatting>
  <conditionalFormatting sqref="G644:H644 K644">
    <cfRule type="containsText" dxfId="3" priority="879" operator="containsText" text="Monitor">
      <formula>NOT(ISERROR(SEARCH(("Monitor"),(G644))))</formula>
    </cfRule>
  </conditionalFormatting>
  <conditionalFormatting sqref="A643:AC644">
    <cfRule type="notContainsBlanks" dxfId="8" priority="880">
      <formula>LEN(TRIM(A643))&gt;0</formula>
    </cfRule>
  </conditionalFormatting>
  <conditionalFormatting sqref="A644:K644">
    <cfRule type="expression" dxfId="7" priority="881">
      <formula>if($G644="Closed",1,0)</formula>
    </cfRule>
  </conditionalFormatting>
  <conditionalFormatting sqref="G642:H642 K642">
    <cfRule type="containsText" dxfId="1" priority="882" operator="containsText" text="Open">
      <formula>NOT(ISERROR(SEARCH(("Open"),(G642))))</formula>
    </cfRule>
  </conditionalFormatting>
  <conditionalFormatting sqref="G642:H642 K642">
    <cfRule type="containsText" dxfId="0" priority="883" operator="containsText" text="Closed">
      <formula>NOT(ISERROR(SEARCH(("Closed"),(G642))))</formula>
    </cfRule>
  </conditionalFormatting>
  <conditionalFormatting sqref="G642:H642 K642">
    <cfRule type="containsText" dxfId="3" priority="884" operator="containsText" text="Monitor">
      <formula>NOT(ISERROR(SEARCH(("Monitor"),(G642))))</formula>
    </cfRule>
  </conditionalFormatting>
  <conditionalFormatting sqref="A641:AC642">
    <cfRule type="notContainsBlanks" dxfId="8" priority="885">
      <formula>LEN(TRIM(A641))&gt;0</formula>
    </cfRule>
  </conditionalFormatting>
  <conditionalFormatting sqref="A642:K642">
    <cfRule type="expression" dxfId="7" priority="886">
      <formula>if($G642="Closed",1,0)</formula>
    </cfRule>
  </conditionalFormatting>
  <conditionalFormatting sqref="G640:H640 K640">
    <cfRule type="containsText" dxfId="1" priority="887" operator="containsText" text="Open">
      <formula>NOT(ISERROR(SEARCH(("Open"),(G640))))</formula>
    </cfRule>
  </conditionalFormatting>
  <conditionalFormatting sqref="G640:H640 K640">
    <cfRule type="containsText" dxfId="0" priority="888" operator="containsText" text="Closed">
      <formula>NOT(ISERROR(SEARCH(("Closed"),(G640))))</formula>
    </cfRule>
  </conditionalFormatting>
  <conditionalFormatting sqref="G640:H640 K640">
    <cfRule type="containsText" dxfId="3" priority="889" operator="containsText" text="Monitor">
      <formula>NOT(ISERROR(SEARCH(("Monitor"),(G640))))</formula>
    </cfRule>
  </conditionalFormatting>
  <conditionalFormatting sqref="A639:AC640">
    <cfRule type="notContainsBlanks" dxfId="8" priority="890">
      <formula>LEN(TRIM(A639))&gt;0</formula>
    </cfRule>
  </conditionalFormatting>
  <conditionalFormatting sqref="A640:K640">
    <cfRule type="expression" dxfId="7" priority="891">
      <formula>if($G640="Closed",1,0)</formula>
    </cfRule>
  </conditionalFormatting>
  <conditionalFormatting sqref="G638:H638 K638">
    <cfRule type="containsText" dxfId="1" priority="892" operator="containsText" text="Open">
      <formula>NOT(ISERROR(SEARCH(("Open"),(G638))))</formula>
    </cfRule>
  </conditionalFormatting>
  <conditionalFormatting sqref="G638:H638 K638">
    <cfRule type="containsText" dxfId="0" priority="893" operator="containsText" text="Closed">
      <formula>NOT(ISERROR(SEARCH(("Closed"),(G638))))</formula>
    </cfRule>
  </conditionalFormatting>
  <conditionalFormatting sqref="G638:H638 K638">
    <cfRule type="containsText" dxfId="3" priority="894" operator="containsText" text="Monitor">
      <formula>NOT(ISERROR(SEARCH(("Monitor"),(G638))))</formula>
    </cfRule>
  </conditionalFormatting>
  <conditionalFormatting sqref="A637:AC638">
    <cfRule type="notContainsBlanks" dxfId="8" priority="895">
      <formula>LEN(TRIM(A637))&gt;0</formula>
    </cfRule>
  </conditionalFormatting>
  <conditionalFormatting sqref="A638:K638">
    <cfRule type="expression" dxfId="7" priority="896">
      <formula>if($G638="Closed",1,0)</formula>
    </cfRule>
  </conditionalFormatting>
  <conditionalFormatting sqref="G636:H636 K636">
    <cfRule type="containsText" dxfId="1" priority="897" operator="containsText" text="Open">
      <formula>NOT(ISERROR(SEARCH(("Open"),(G636))))</formula>
    </cfRule>
  </conditionalFormatting>
  <conditionalFormatting sqref="G636:H636 K636">
    <cfRule type="containsText" dxfId="0" priority="898" operator="containsText" text="Closed">
      <formula>NOT(ISERROR(SEARCH(("Closed"),(G636))))</formula>
    </cfRule>
  </conditionalFormatting>
  <conditionalFormatting sqref="G636:H636 K636">
    <cfRule type="containsText" dxfId="3" priority="899" operator="containsText" text="Monitor">
      <formula>NOT(ISERROR(SEARCH(("Monitor"),(G636))))</formula>
    </cfRule>
  </conditionalFormatting>
  <conditionalFormatting sqref="A635:AC636">
    <cfRule type="notContainsBlanks" dxfId="8" priority="900">
      <formula>LEN(TRIM(A635))&gt;0</formula>
    </cfRule>
  </conditionalFormatting>
  <conditionalFormatting sqref="A636:K636">
    <cfRule type="expression" dxfId="7" priority="901">
      <formula>if($G636="Closed",1,0)</formula>
    </cfRule>
  </conditionalFormatting>
  <conditionalFormatting sqref="G634:H634 K634">
    <cfRule type="containsText" dxfId="1" priority="902" operator="containsText" text="Open">
      <formula>NOT(ISERROR(SEARCH(("Open"),(G634))))</formula>
    </cfRule>
  </conditionalFormatting>
  <conditionalFormatting sqref="G634:H634 K634">
    <cfRule type="containsText" dxfId="0" priority="903" operator="containsText" text="Closed">
      <formula>NOT(ISERROR(SEARCH(("Closed"),(G634))))</formula>
    </cfRule>
  </conditionalFormatting>
  <conditionalFormatting sqref="G634:H634 K634">
    <cfRule type="containsText" dxfId="3" priority="904" operator="containsText" text="Monitor">
      <formula>NOT(ISERROR(SEARCH(("Monitor"),(G634))))</formula>
    </cfRule>
  </conditionalFormatting>
  <conditionalFormatting sqref="A633:AC634">
    <cfRule type="notContainsBlanks" dxfId="8" priority="905">
      <formula>LEN(TRIM(A633))&gt;0</formula>
    </cfRule>
  </conditionalFormatting>
  <conditionalFormatting sqref="A634:K634">
    <cfRule type="expression" dxfId="7" priority="906">
      <formula>if($G634="Closed",1,0)</formula>
    </cfRule>
  </conditionalFormatting>
  <conditionalFormatting sqref="G632:H632 K632">
    <cfRule type="containsText" dxfId="1" priority="907" operator="containsText" text="Open">
      <formula>NOT(ISERROR(SEARCH(("Open"),(G632))))</formula>
    </cfRule>
  </conditionalFormatting>
  <conditionalFormatting sqref="G632:H632 K632">
    <cfRule type="containsText" dxfId="0" priority="908" operator="containsText" text="Closed">
      <formula>NOT(ISERROR(SEARCH(("Closed"),(G632))))</formula>
    </cfRule>
  </conditionalFormatting>
  <conditionalFormatting sqref="G632:H632 K632">
    <cfRule type="containsText" dxfId="3" priority="909" operator="containsText" text="Monitor">
      <formula>NOT(ISERROR(SEARCH(("Monitor"),(G632))))</formula>
    </cfRule>
  </conditionalFormatting>
  <conditionalFormatting sqref="A631:AC632">
    <cfRule type="notContainsBlanks" dxfId="8" priority="910">
      <formula>LEN(TRIM(A631))&gt;0</formula>
    </cfRule>
  </conditionalFormatting>
  <conditionalFormatting sqref="A632:K632">
    <cfRule type="expression" dxfId="7" priority="911">
      <formula>if($G632="Closed",1,0)</formula>
    </cfRule>
  </conditionalFormatting>
  <conditionalFormatting sqref="G630:H630 K630">
    <cfRule type="containsText" dxfId="1" priority="912" operator="containsText" text="Open">
      <formula>NOT(ISERROR(SEARCH(("Open"),(G630))))</formula>
    </cfRule>
  </conditionalFormatting>
  <conditionalFormatting sqref="G630:H630 K630">
    <cfRule type="containsText" dxfId="0" priority="913" operator="containsText" text="Closed">
      <formula>NOT(ISERROR(SEARCH(("Closed"),(G630))))</formula>
    </cfRule>
  </conditionalFormatting>
  <conditionalFormatting sqref="G630:H630 K630">
    <cfRule type="containsText" dxfId="3" priority="914" operator="containsText" text="Monitor">
      <formula>NOT(ISERROR(SEARCH(("Monitor"),(G630))))</formula>
    </cfRule>
  </conditionalFormatting>
  <conditionalFormatting sqref="A629:AC630">
    <cfRule type="notContainsBlanks" dxfId="8" priority="915">
      <formula>LEN(TRIM(A629))&gt;0</formula>
    </cfRule>
  </conditionalFormatting>
  <conditionalFormatting sqref="A630:K630">
    <cfRule type="expression" dxfId="7" priority="916">
      <formula>if($G630="Closed",1,0)</formula>
    </cfRule>
  </conditionalFormatting>
  <conditionalFormatting sqref="G628:H628 K628">
    <cfRule type="containsText" dxfId="1" priority="917" operator="containsText" text="Open">
      <formula>NOT(ISERROR(SEARCH(("Open"),(G628))))</formula>
    </cfRule>
  </conditionalFormatting>
  <conditionalFormatting sqref="G628:H628 K628">
    <cfRule type="containsText" dxfId="0" priority="918" operator="containsText" text="Closed">
      <formula>NOT(ISERROR(SEARCH(("Closed"),(G628))))</formula>
    </cfRule>
  </conditionalFormatting>
  <conditionalFormatting sqref="G628:H628 K628">
    <cfRule type="containsText" dxfId="3" priority="919" operator="containsText" text="Monitor">
      <formula>NOT(ISERROR(SEARCH(("Monitor"),(G628))))</formula>
    </cfRule>
  </conditionalFormatting>
  <conditionalFormatting sqref="A627:AC628">
    <cfRule type="notContainsBlanks" dxfId="8" priority="920">
      <formula>LEN(TRIM(A627))&gt;0</formula>
    </cfRule>
  </conditionalFormatting>
  <conditionalFormatting sqref="A628:K628">
    <cfRule type="expression" dxfId="7" priority="921">
      <formula>if($G628="Closed",1,0)</formula>
    </cfRule>
  </conditionalFormatting>
  <conditionalFormatting sqref="G626:H626 K626">
    <cfRule type="containsText" dxfId="1" priority="922" operator="containsText" text="Open">
      <formula>NOT(ISERROR(SEARCH(("Open"),(G626))))</formula>
    </cfRule>
  </conditionalFormatting>
  <conditionalFormatting sqref="G626:H626 K626">
    <cfRule type="containsText" dxfId="0" priority="923" operator="containsText" text="Closed">
      <formula>NOT(ISERROR(SEARCH(("Closed"),(G626))))</formula>
    </cfRule>
  </conditionalFormatting>
  <conditionalFormatting sqref="G626:H626 K626">
    <cfRule type="containsText" dxfId="3" priority="924" operator="containsText" text="Monitor">
      <formula>NOT(ISERROR(SEARCH(("Monitor"),(G626))))</formula>
    </cfRule>
  </conditionalFormatting>
  <conditionalFormatting sqref="A625:AC626">
    <cfRule type="notContainsBlanks" dxfId="8" priority="925">
      <formula>LEN(TRIM(A625))&gt;0</formula>
    </cfRule>
  </conditionalFormatting>
  <conditionalFormatting sqref="A626:K626">
    <cfRule type="expression" dxfId="7" priority="926">
      <formula>if($G626="Closed",1,0)</formula>
    </cfRule>
  </conditionalFormatting>
  <conditionalFormatting sqref="G624:H624 K624">
    <cfRule type="containsText" dxfId="1" priority="927" operator="containsText" text="Open">
      <formula>NOT(ISERROR(SEARCH(("Open"),(G624))))</formula>
    </cfRule>
  </conditionalFormatting>
  <conditionalFormatting sqref="G624:H624 K624">
    <cfRule type="containsText" dxfId="0" priority="928" operator="containsText" text="Closed">
      <formula>NOT(ISERROR(SEARCH(("Closed"),(G624))))</formula>
    </cfRule>
  </conditionalFormatting>
  <conditionalFormatting sqref="G624:H624 K624">
    <cfRule type="containsText" dxfId="3" priority="929" operator="containsText" text="Monitor">
      <formula>NOT(ISERROR(SEARCH(("Monitor"),(G624))))</formula>
    </cfRule>
  </conditionalFormatting>
  <conditionalFormatting sqref="A623:AC624">
    <cfRule type="notContainsBlanks" dxfId="8" priority="930">
      <formula>LEN(TRIM(A623))&gt;0</formula>
    </cfRule>
  </conditionalFormatting>
  <conditionalFormatting sqref="A624:K624">
    <cfRule type="expression" dxfId="7" priority="931">
      <formula>if($G624="Closed",1,0)</formula>
    </cfRule>
  </conditionalFormatting>
  <conditionalFormatting sqref="G622:H622 K622">
    <cfRule type="containsText" dxfId="1" priority="932" operator="containsText" text="Open">
      <formula>NOT(ISERROR(SEARCH(("Open"),(G622))))</formula>
    </cfRule>
  </conditionalFormatting>
  <conditionalFormatting sqref="G622:H622 K622">
    <cfRule type="containsText" dxfId="0" priority="933" operator="containsText" text="Closed">
      <formula>NOT(ISERROR(SEARCH(("Closed"),(G622))))</formula>
    </cfRule>
  </conditionalFormatting>
  <conditionalFormatting sqref="G622:H622 K622">
    <cfRule type="containsText" dxfId="3" priority="934" operator="containsText" text="Monitor">
      <formula>NOT(ISERROR(SEARCH(("Monitor"),(G622))))</formula>
    </cfRule>
  </conditionalFormatting>
  <conditionalFormatting sqref="A621:AC622">
    <cfRule type="notContainsBlanks" dxfId="8" priority="935">
      <formula>LEN(TRIM(A621))&gt;0</formula>
    </cfRule>
  </conditionalFormatting>
  <conditionalFormatting sqref="A622:K622">
    <cfRule type="expression" dxfId="7" priority="936">
      <formula>if($G622="Closed",1,0)</formula>
    </cfRule>
  </conditionalFormatting>
  <conditionalFormatting sqref="G620:H620 K620">
    <cfRule type="containsText" dxfId="1" priority="937" operator="containsText" text="Open">
      <formula>NOT(ISERROR(SEARCH(("Open"),(G620))))</formula>
    </cfRule>
  </conditionalFormatting>
  <conditionalFormatting sqref="G620:H620 K620">
    <cfRule type="containsText" dxfId="0" priority="938" operator="containsText" text="Closed">
      <formula>NOT(ISERROR(SEARCH(("Closed"),(G620))))</formula>
    </cfRule>
  </conditionalFormatting>
  <conditionalFormatting sqref="G620:H620 K620">
    <cfRule type="containsText" dxfId="3" priority="939" operator="containsText" text="Monitor">
      <formula>NOT(ISERROR(SEARCH(("Monitor"),(G620))))</formula>
    </cfRule>
  </conditionalFormatting>
  <conditionalFormatting sqref="A619:AC620">
    <cfRule type="notContainsBlanks" dxfId="8" priority="940">
      <formula>LEN(TRIM(A619))&gt;0</formula>
    </cfRule>
  </conditionalFormatting>
  <conditionalFormatting sqref="A620:K620">
    <cfRule type="expression" dxfId="7" priority="941">
      <formula>if($G620="Closed",1,0)</formula>
    </cfRule>
  </conditionalFormatting>
  <conditionalFormatting sqref="G618:H618 K618">
    <cfRule type="containsText" dxfId="1" priority="942" operator="containsText" text="Open">
      <formula>NOT(ISERROR(SEARCH(("Open"),(G618))))</formula>
    </cfRule>
  </conditionalFormatting>
  <conditionalFormatting sqref="G618:H618 K618">
    <cfRule type="containsText" dxfId="0" priority="943" operator="containsText" text="Closed">
      <formula>NOT(ISERROR(SEARCH(("Closed"),(G618))))</formula>
    </cfRule>
  </conditionalFormatting>
  <conditionalFormatting sqref="G618:H618 K618">
    <cfRule type="containsText" dxfId="3" priority="944" operator="containsText" text="Monitor">
      <formula>NOT(ISERROR(SEARCH(("Monitor"),(G618))))</formula>
    </cfRule>
  </conditionalFormatting>
  <conditionalFormatting sqref="A617:AC618">
    <cfRule type="notContainsBlanks" dxfId="8" priority="945">
      <formula>LEN(TRIM(A617))&gt;0</formula>
    </cfRule>
  </conditionalFormatting>
  <conditionalFormatting sqref="A618:K618">
    <cfRule type="expression" dxfId="7" priority="946">
      <formula>if($G618="Closed",1,0)</formula>
    </cfRule>
  </conditionalFormatting>
  <conditionalFormatting sqref="G616:H616 K616">
    <cfRule type="containsText" dxfId="1" priority="947" operator="containsText" text="Open">
      <formula>NOT(ISERROR(SEARCH(("Open"),(G616))))</formula>
    </cfRule>
  </conditionalFormatting>
  <conditionalFormatting sqref="G616:H616 K616">
    <cfRule type="containsText" dxfId="0" priority="948" operator="containsText" text="Closed">
      <formula>NOT(ISERROR(SEARCH(("Closed"),(G616))))</formula>
    </cfRule>
  </conditionalFormatting>
  <conditionalFormatting sqref="G616:H616 K616">
    <cfRule type="containsText" dxfId="3" priority="949" operator="containsText" text="Monitor">
      <formula>NOT(ISERROR(SEARCH(("Monitor"),(G616))))</formula>
    </cfRule>
  </conditionalFormatting>
  <conditionalFormatting sqref="A615:AC616">
    <cfRule type="notContainsBlanks" dxfId="8" priority="950">
      <formula>LEN(TRIM(A615))&gt;0</formula>
    </cfRule>
  </conditionalFormatting>
  <conditionalFormatting sqref="A616:K616">
    <cfRule type="expression" dxfId="7" priority="951">
      <formula>if($G616="Closed",1,0)</formula>
    </cfRule>
  </conditionalFormatting>
  <conditionalFormatting sqref="G614:H614 K614">
    <cfRule type="containsText" dxfId="1" priority="952" operator="containsText" text="Open">
      <formula>NOT(ISERROR(SEARCH(("Open"),(G614))))</formula>
    </cfRule>
  </conditionalFormatting>
  <conditionalFormatting sqref="G614:H614 K614">
    <cfRule type="containsText" dxfId="0" priority="953" operator="containsText" text="Closed">
      <formula>NOT(ISERROR(SEARCH(("Closed"),(G614))))</formula>
    </cfRule>
  </conditionalFormatting>
  <conditionalFormatting sqref="G614:H614 K614">
    <cfRule type="containsText" dxfId="3" priority="954" operator="containsText" text="Monitor">
      <formula>NOT(ISERROR(SEARCH(("Monitor"),(G614))))</formula>
    </cfRule>
  </conditionalFormatting>
  <conditionalFormatting sqref="A613:AC614">
    <cfRule type="notContainsBlanks" dxfId="8" priority="955">
      <formula>LEN(TRIM(A613))&gt;0</formula>
    </cfRule>
  </conditionalFormatting>
  <conditionalFormatting sqref="A614:K614">
    <cfRule type="expression" dxfId="7" priority="956">
      <formula>if($G614="Closed",1,0)</formula>
    </cfRule>
  </conditionalFormatting>
  <conditionalFormatting sqref="G612:H612 K612">
    <cfRule type="containsText" dxfId="1" priority="957" operator="containsText" text="Open">
      <formula>NOT(ISERROR(SEARCH(("Open"),(G612))))</formula>
    </cfRule>
  </conditionalFormatting>
  <conditionalFormatting sqref="G612:H612 K612">
    <cfRule type="containsText" dxfId="0" priority="958" operator="containsText" text="Closed">
      <formula>NOT(ISERROR(SEARCH(("Closed"),(G612))))</formula>
    </cfRule>
  </conditionalFormatting>
  <conditionalFormatting sqref="G612:H612 K612">
    <cfRule type="containsText" dxfId="3" priority="959" operator="containsText" text="Monitor">
      <formula>NOT(ISERROR(SEARCH(("Monitor"),(G612))))</formula>
    </cfRule>
  </conditionalFormatting>
  <conditionalFormatting sqref="A611:AC612">
    <cfRule type="notContainsBlanks" dxfId="8" priority="960">
      <formula>LEN(TRIM(A611))&gt;0</formula>
    </cfRule>
  </conditionalFormatting>
  <conditionalFormatting sqref="A612:K612">
    <cfRule type="expression" dxfId="7" priority="961">
      <formula>if($G612="Closed",1,0)</formula>
    </cfRule>
  </conditionalFormatting>
  <conditionalFormatting sqref="G610:H610 K610">
    <cfRule type="containsText" dxfId="1" priority="962" operator="containsText" text="Open">
      <formula>NOT(ISERROR(SEARCH(("Open"),(G610))))</formula>
    </cfRule>
  </conditionalFormatting>
  <conditionalFormatting sqref="G610:H610 K610">
    <cfRule type="containsText" dxfId="0" priority="963" operator="containsText" text="Closed">
      <formula>NOT(ISERROR(SEARCH(("Closed"),(G610))))</formula>
    </cfRule>
  </conditionalFormatting>
  <conditionalFormatting sqref="G610:H610 K610">
    <cfRule type="containsText" dxfId="3" priority="964" operator="containsText" text="Monitor">
      <formula>NOT(ISERROR(SEARCH(("Monitor"),(G610))))</formula>
    </cfRule>
  </conditionalFormatting>
  <conditionalFormatting sqref="A609:AC610">
    <cfRule type="notContainsBlanks" dxfId="8" priority="965">
      <formula>LEN(TRIM(A609))&gt;0</formula>
    </cfRule>
  </conditionalFormatting>
  <conditionalFormatting sqref="A610:K610">
    <cfRule type="expression" dxfId="7" priority="966">
      <formula>if($G610="Closed",1,0)</formula>
    </cfRule>
  </conditionalFormatting>
  <conditionalFormatting sqref="G608:H608 K608">
    <cfRule type="containsText" dxfId="1" priority="967" operator="containsText" text="Open">
      <formula>NOT(ISERROR(SEARCH(("Open"),(G608))))</formula>
    </cfRule>
  </conditionalFormatting>
  <conditionalFormatting sqref="G608:H608 K608">
    <cfRule type="containsText" dxfId="0" priority="968" operator="containsText" text="Closed">
      <formula>NOT(ISERROR(SEARCH(("Closed"),(G608))))</formula>
    </cfRule>
  </conditionalFormatting>
  <conditionalFormatting sqref="G608:H608 K608">
    <cfRule type="containsText" dxfId="3" priority="969" operator="containsText" text="Monitor">
      <formula>NOT(ISERROR(SEARCH(("Monitor"),(G608))))</formula>
    </cfRule>
  </conditionalFormatting>
  <conditionalFormatting sqref="A607:AC608">
    <cfRule type="notContainsBlanks" dxfId="8" priority="970">
      <formula>LEN(TRIM(A607))&gt;0</formula>
    </cfRule>
  </conditionalFormatting>
  <conditionalFormatting sqref="A608:K608">
    <cfRule type="expression" dxfId="7" priority="971">
      <formula>if($G608="Closed",1,0)</formula>
    </cfRule>
  </conditionalFormatting>
  <conditionalFormatting sqref="G606:H606 K606">
    <cfRule type="containsText" dxfId="1" priority="972" operator="containsText" text="Open">
      <formula>NOT(ISERROR(SEARCH(("Open"),(G606))))</formula>
    </cfRule>
  </conditionalFormatting>
  <conditionalFormatting sqref="G606:H606 K606">
    <cfRule type="containsText" dxfId="0" priority="973" operator="containsText" text="Closed">
      <formula>NOT(ISERROR(SEARCH(("Closed"),(G606))))</formula>
    </cfRule>
  </conditionalFormatting>
  <conditionalFormatting sqref="G606:H606 K606">
    <cfRule type="containsText" dxfId="3" priority="974" operator="containsText" text="Monitor">
      <formula>NOT(ISERROR(SEARCH(("Monitor"),(G606))))</formula>
    </cfRule>
  </conditionalFormatting>
  <conditionalFormatting sqref="A605:AC606">
    <cfRule type="notContainsBlanks" dxfId="8" priority="975">
      <formula>LEN(TRIM(A605))&gt;0</formula>
    </cfRule>
  </conditionalFormatting>
  <conditionalFormatting sqref="A606:K606">
    <cfRule type="expression" dxfId="7" priority="976">
      <formula>if($G606="Closed",1,0)</formula>
    </cfRule>
  </conditionalFormatting>
  <conditionalFormatting sqref="G604:H604 K604">
    <cfRule type="containsText" dxfId="1" priority="977" operator="containsText" text="Open">
      <formula>NOT(ISERROR(SEARCH(("Open"),(G604))))</formula>
    </cfRule>
  </conditionalFormatting>
  <conditionalFormatting sqref="G604:H604 K604">
    <cfRule type="containsText" dxfId="0" priority="978" operator="containsText" text="Closed">
      <formula>NOT(ISERROR(SEARCH(("Closed"),(G604))))</formula>
    </cfRule>
  </conditionalFormatting>
  <conditionalFormatting sqref="G604:H604 K604">
    <cfRule type="containsText" dxfId="3" priority="979" operator="containsText" text="Monitor">
      <formula>NOT(ISERROR(SEARCH(("Monitor"),(G604))))</formula>
    </cfRule>
  </conditionalFormatting>
  <conditionalFormatting sqref="A603:AC604">
    <cfRule type="notContainsBlanks" dxfId="8" priority="980">
      <formula>LEN(TRIM(A603))&gt;0</formula>
    </cfRule>
  </conditionalFormatting>
  <conditionalFormatting sqref="A604:K604">
    <cfRule type="expression" dxfId="7" priority="981">
      <formula>if($G604="Closed",1,0)</formula>
    </cfRule>
  </conditionalFormatting>
  <conditionalFormatting sqref="G602:H602 K602">
    <cfRule type="containsText" dxfId="1" priority="982" operator="containsText" text="Open">
      <formula>NOT(ISERROR(SEARCH(("Open"),(G602))))</formula>
    </cfRule>
  </conditionalFormatting>
  <conditionalFormatting sqref="G602:H602 K602">
    <cfRule type="containsText" dxfId="0" priority="983" operator="containsText" text="Closed">
      <formula>NOT(ISERROR(SEARCH(("Closed"),(G602))))</formula>
    </cfRule>
  </conditionalFormatting>
  <conditionalFormatting sqref="G602:H602 K602">
    <cfRule type="containsText" dxfId="3" priority="984" operator="containsText" text="Monitor">
      <formula>NOT(ISERROR(SEARCH(("Monitor"),(G602))))</formula>
    </cfRule>
  </conditionalFormatting>
  <conditionalFormatting sqref="A601:AC602">
    <cfRule type="notContainsBlanks" dxfId="8" priority="985">
      <formula>LEN(TRIM(A601))&gt;0</formula>
    </cfRule>
  </conditionalFormatting>
  <conditionalFormatting sqref="A602:K602">
    <cfRule type="expression" dxfId="7" priority="986">
      <formula>if($G602="Closed",1,0)</formula>
    </cfRule>
  </conditionalFormatting>
  <conditionalFormatting sqref="G600:H600 K600">
    <cfRule type="containsText" dxfId="1" priority="987" operator="containsText" text="Open">
      <formula>NOT(ISERROR(SEARCH(("Open"),(G600))))</formula>
    </cfRule>
  </conditionalFormatting>
  <conditionalFormatting sqref="G600:H600 K600">
    <cfRule type="containsText" dxfId="0" priority="988" operator="containsText" text="Closed">
      <formula>NOT(ISERROR(SEARCH(("Closed"),(G600))))</formula>
    </cfRule>
  </conditionalFormatting>
  <conditionalFormatting sqref="G600:H600 K600">
    <cfRule type="containsText" dxfId="3" priority="989" operator="containsText" text="Monitor">
      <formula>NOT(ISERROR(SEARCH(("Monitor"),(G600))))</formula>
    </cfRule>
  </conditionalFormatting>
  <conditionalFormatting sqref="A599:AC600">
    <cfRule type="notContainsBlanks" dxfId="8" priority="990">
      <formula>LEN(TRIM(A599))&gt;0</formula>
    </cfRule>
  </conditionalFormatting>
  <conditionalFormatting sqref="A600:K600">
    <cfRule type="expression" dxfId="7" priority="991">
      <formula>if($G600="Closed",1,0)</formula>
    </cfRule>
  </conditionalFormatting>
  <conditionalFormatting sqref="G598:H598 K598">
    <cfRule type="containsText" dxfId="1" priority="992" operator="containsText" text="Open">
      <formula>NOT(ISERROR(SEARCH(("Open"),(G598))))</formula>
    </cfRule>
  </conditionalFormatting>
  <conditionalFormatting sqref="G598:H598 K598">
    <cfRule type="containsText" dxfId="0" priority="993" operator="containsText" text="Closed">
      <formula>NOT(ISERROR(SEARCH(("Closed"),(G598))))</formula>
    </cfRule>
  </conditionalFormatting>
  <conditionalFormatting sqref="G598:H598 K598">
    <cfRule type="containsText" dxfId="3" priority="994" operator="containsText" text="Monitor">
      <formula>NOT(ISERROR(SEARCH(("Monitor"),(G598))))</formula>
    </cfRule>
  </conditionalFormatting>
  <conditionalFormatting sqref="A597:AC598">
    <cfRule type="notContainsBlanks" dxfId="8" priority="995">
      <formula>LEN(TRIM(A597))&gt;0</formula>
    </cfRule>
  </conditionalFormatting>
  <conditionalFormatting sqref="A598:K598">
    <cfRule type="expression" dxfId="7" priority="996">
      <formula>if($G598="Closed",1,0)</formula>
    </cfRule>
  </conditionalFormatting>
  <conditionalFormatting sqref="G596:H596 K596">
    <cfRule type="containsText" dxfId="1" priority="997" operator="containsText" text="Open">
      <formula>NOT(ISERROR(SEARCH(("Open"),(G596))))</formula>
    </cfRule>
  </conditionalFormatting>
  <conditionalFormatting sqref="G596:H596 K596">
    <cfRule type="containsText" dxfId="0" priority="998" operator="containsText" text="Closed">
      <formula>NOT(ISERROR(SEARCH(("Closed"),(G596))))</formula>
    </cfRule>
  </conditionalFormatting>
  <conditionalFormatting sqref="G596:H596 K596">
    <cfRule type="containsText" dxfId="3" priority="999" operator="containsText" text="Monitor">
      <formula>NOT(ISERROR(SEARCH(("Monitor"),(G596))))</formula>
    </cfRule>
  </conditionalFormatting>
  <conditionalFormatting sqref="A595:AC596">
    <cfRule type="notContainsBlanks" dxfId="8" priority="1000">
      <formula>LEN(TRIM(A595))&gt;0</formula>
    </cfRule>
  </conditionalFormatting>
  <conditionalFormatting sqref="A596:K596">
    <cfRule type="expression" dxfId="7" priority="1001">
      <formula>if($G596="Closed",1,0)</formula>
    </cfRule>
  </conditionalFormatting>
  <conditionalFormatting sqref="G594:H594 K594">
    <cfRule type="containsText" dxfId="1" priority="1002" operator="containsText" text="Open">
      <formula>NOT(ISERROR(SEARCH(("Open"),(G594))))</formula>
    </cfRule>
  </conditionalFormatting>
  <conditionalFormatting sqref="G594:H594 K594">
    <cfRule type="containsText" dxfId="0" priority="1003" operator="containsText" text="Closed">
      <formula>NOT(ISERROR(SEARCH(("Closed"),(G594))))</formula>
    </cfRule>
  </conditionalFormatting>
  <conditionalFormatting sqref="G594:H594 K594">
    <cfRule type="containsText" dxfId="3" priority="1004" operator="containsText" text="Monitor">
      <formula>NOT(ISERROR(SEARCH(("Monitor"),(G594))))</formula>
    </cfRule>
  </conditionalFormatting>
  <conditionalFormatting sqref="A593:AC594">
    <cfRule type="notContainsBlanks" dxfId="8" priority="1005">
      <formula>LEN(TRIM(A593))&gt;0</formula>
    </cfRule>
  </conditionalFormatting>
  <conditionalFormatting sqref="A594:K594">
    <cfRule type="expression" dxfId="7" priority="1006">
      <formula>if($G594="Closed",1,0)</formula>
    </cfRule>
  </conditionalFormatting>
  <conditionalFormatting sqref="G592:H592 K592">
    <cfRule type="containsText" dxfId="1" priority="1007" operator="containsText" text="Open">
      <formula>NOT(ISERROR(SEARCH(("Open"),(G592))))</formula>
    </cfRule>
  </conditionalFormatting>
  <conditionalFormatting sqref="G592:H592 K592">
    <cfRule type="containsText" dxfId="0" priority="1008" operator="containsText" text="Closed">
      <formula>NOT(ISERROR(SEARCH(("Closed"),(G592))))</formula>
    </cfRule>
  </conditionalFormatting>
  <conditionalFormatting sqref="G592:H592 K592">
    <cfRule type="containsText" dxfId="3" priority="1009" operator="containsText" text="Monitor">
      <formula>NOT(ISERROR(SEARCH(("Monitor"),(G592))))</formula>
    </cfRule>
  </conditionalFormatting>
  <conditionalFormatting sqref="A591:AC592">
    <cfRule type="notContainsBlanks" dxfId="8" priority="1010">
      <formula>LEN(TRIM(A591))&gt;0</formula>
    </cfRule>
  </conditionalFormatting>
  <conditionalFormatting sqref="A592:K592">
    <cfRule type="expression" dxfId="7" priority="1011">
      <formula>if($G592="Closed",1,0)</formula>
    </cfRule>
  </conditionalFormatting>
  <conditionalFormatting sqref="G590:H590 K590">
    <cfRule type="containsText" dxfId="1" priority="1012" operator="containsText" text="Open">
      <formula>NOT(ISERROR(SEARCH(("Open"),(G590))))</formula>
    </cfRule>
  </conditionalFormatting>
  <conditionalFormatting sqref="G590:H590 K590">
    <cfRule type="containsText" dxfId="0" priority="1013" operator="containsText" text="Closed">
      <formula>NOT(ISERROR(SEARCH(("Closed"),(G590))))</formula>
    </cfRule>
  </conditionalFormatting>
  <conditionalFormatting sqref="G590:H590 K590">
    <cfRule type="containsText" dxfId="3" priority="1014" operator="containsText" text="Monitor">
      <formula>NOT(ISERROR(SEARCH(("Monitor"),(G590))))</formula>
    </cfRule>
  </conditionalFormatting>
  <conditionalFormatting sqref="A589:AC590">
    <cfRule type="notContainsBlanks" dxfId="8" priority="1015">
      <formula>LEN(TRIM(A589))&gt;0</formula>
    </cfRule>
  </conditionalFormatting>
  <conditionalFormatting sqref="A590:K590">
    <cfRule type="expression" dxfId="7" priority="1016">
      <formula>if($G590="Closed",1,0)</formula>
    </cfRule>
  </conditionalFormatting>
  <conditionalFormatting sqref="G588:H588 K588">
    <cfRule type="containsText" dxfId="1" priority="1017" operator="containsText" text="Open">
      <formula>NOT(ISERROR(SEARCH(("Open"),(G588))))</formula>
    </cfRule>
  </conditionalFormatting>
  <conditionalFormatting sqref="G588:H588 K588">
    <cfRule type="containsText" dxfId="0" priority="1018" operator="containsText" text="Closed">
      <formula>NOT(ISERROR(SEARCH(("Closed"),(G588))))</formula>
    </cfRule>
  </conditionalFormatting>
  <conditionalFormatting sqref="G588:H588 K588">
    <cfRule type="containsText" dxfId="3" priority="1019" operator="containsText" text="Monitor">
      <formula>NOT(ISERROR(SEARCH(("Monitor"),(G588))))</formula>
    </cfRule>
  </conditionalFormatting>
  <conditionalFormatting sqref="A587:AC588">
    <cfRule type="notContainsBlanks" dxfId="8" priority="1020">
      <formula>LEN(TRIM(A587))&gt;0</formula>
    </cfRule>
  </conditionalFormatting>
  <conditionalFormatting sqref="A588:K588">
    <cfRule type="expression" dxfId="7" priority="1021">
      <formula>if($G588="Closed",1,0)</formula>
    </cfRule>
  </conditionalFormatting>
  <conditionalFormatting sqref="G586:H586 K586">
    <cfRule type="containsText" dxfId="1" priority="1022" operator="containsText" text="Open">
      <formula>NOT(ISERROR(SEARCH(("Open"),(G586))))</formula>
    </cfRule>
  </conditionalFormatting>
  <conditionalFormatting sqref="G586:H586 K586">
    <cfRule type="containsText" dxfId="0" priority="1023" operator="containsText" text="Closed">
      <formula>NOT(ISERROR(SEARCH(("Closed"),(G586))))</formula>
    </cfRule>
  </conditionalFormatting>
  <conditionalFormatting sqref="G586:H586 K586">
    <cfRule type="containsText" dxfId="3" priority="1024" operator="containsText" text="Monitor">
      <formula>NOT(ISERROR(SEARCH(("Monitor"),(G586))))</formula>
    </cfRule>
  </conditionalFormatting>
  <conditionalFormatting sqref="A585:AC586">
    <cfRule type="notContainsBlanks" dxfId="8" priority="1025">
      <formula>LEN(TRIM(A585))&gt;0</formula>
    </cfRule>
  </conditionalFormatting>
  <conditionalFormatting sqref="A586:K586">
    <cfRule type="expression" dxfId="7" priority="1026">
      <formula>if($G586="Closed",1,0)</formula>
    </cfRule>
  </conditionalFormatting>
  <conditionalFormatting sqref="G584:H584 K584">
    <cfRule type="containsText" dxfId="1" priority="1027" operator="containsText" text="Open">
      <formula>NOT(ISERROR(SEARCH(("Open"),(G584))))</formula>
    </cfRule>
  </conditionalFormatting>
  <conditionalFormatting sqref="G584:H584 K584">
    <cfRule type="containsText" dxfId="0" priority="1028" operator="containsText" text="Closed">
      <formula>NOT(ISERROR(SEARCH(("Closed"),(G584))))</formula>
    </cfRule>
  </conditionalFormatting>
  <conditionalFormatting sqref="G584:H584 K584">
    <cfRule type="containsText" dxfId="3" priority="1029" operator="containsText" text="Monitor">
      <formula>NOT(ISERROR(SEARCH(("Monitor"),(G584))))</formula>
    </cfRule>
  </conditionalFormatting>
  <conditionalFormatting sqref="A583:AC584">
    <cfRule type="notContainsBlanks" dxfId="8" priority="1030">
      <formula>LEN(TRIM(A583))&gt;0</formula>
    </cfRule>
  </conditionalFormatting>
  <conditionalFormatting sqref="A584:K584">
    <cfRule type="expression" dxfId="7" priority="1031">
      <formula>if($G584="Closed",1,0)</formula>
    </cfRule>
  </conditionalFormatting>
  <conditionalFormatting sqref="G582:H582 K582">
    <cfRule type="containsText" dxfId="1" priority="1032" operator="containsText" text="Open">
      <formula>NOT(ISERROR(SEARCH(("Open"),(G582))))</formula>
    </cfRule>
  </conditionalFormatting>
  <conditionalFormatting sqref="G582:H582 K582">
    <cfRule type="containsText" dxfId="0" priority="1033" operator="containsText" text="Closed">
      <formula>NOT(ISERROR(SEARCH(("Closed"),(G582))))</formula>
    </cfRule>
  </conditionalFormatting>
  <conditionalFormatting sqref="G582:H582 K582">
    <cfRule type="containsText" dxfId="3" priority="1034" operator="containsText" text="Monitor">
      <formula>NOT(ISERROR(SEARCH(("Monitor"),(G582))))</formula>
    </cfRule>
  </conditionalFormatting>
  <conditionalFormatting sqref="A581:AC582">
    <cfRule type="notContainsBlanks" dxfId="8" priority="1035">
      <formula>LEN(TRIM(A581))&gt;0</formula>
    </cfRule>
  </conditionalFormatting>
  <conditionalFormatting sqref="A582:K582">
    <cfRule type="expression" dxfId="7" priority="1036">
      <formula>if($G582="Closed",1,0)</formula>
    </cfRule>
  </conditionalFormatting>
  <conditionalFormatting sqref="G580:H580 K580">
    <cfRule type="containsText" dxfId="1" priority="1037" operator="containsText" text="Open">
      <formula>NOT(ISERROR(SEARCH(("Open"),(G580))))</formula>
    </cfRule>
  </conditionalFormatting>
  <conditionalFormatting sqref="G580:H580 K580">
    <cfRule type="containsText" dxfId="0" priority="1038" operator="containsText" text="Closed">
      <formula>NOT(ISERROR(SEARCH(("Closed"),(G580))))</formula>
    </cfRule>
  </conditionalFormatting>
  <conditionalFormatting sqref="G580:H580 K580">
    <cfRule type="containsText" dxfId="3" priority="1039" operator="containsText" text="Monitor">
      <formula>NOT(ISERROR(SEARCH(("Monitor"),(G580))))</formula>
    </cfRule>
  </conditionalFormatting>
  <conditionalFormatting sqref="A579:AC580">
    <cfRule type="notContainsBlanks" dxfId="8" priority="1040">
      <formula>LEN(TRIM(A579))&gt;0</formula>
    </cfRule>
  </conditionalFormatting>
  <conditionalFormatting sqref="A580:K580">
    <cfRule type="expression" dxfId="7" priority="1041">
      <formula>if($G580="Closed",1,0)</formula>
    </cfRule>
  </conditionalFormatting>
  <conditionalFormatting sqref="G578:H578 K578">
    <cfRule type="containsText" dxfId="1" priority="1042" operator="containsText" text="Open">
      <formula>NOT(ISERROR(SEARCH(("Open"),(G578))))</formula>
    </cfRule>
  </conditionalFormatting>
  <conditionalFormatting sqref="G578:H578 K578">
    <cfRule type="containsText" dxfId="0" priority="1043" operator="containsText" text="Closed">
      <formula>NOT(ISERROR(SEARCH(("Closed"),(G578))))</formula>
    </cfRule>
  </conditionalFormatting>
  <conditionalFormatting sqref="G578:H578 K578">
    <cfRule type="containsText" dxfId="3" priority="1044" operator="containsText" text="Monitor">
      <formula>NOT(ISERROR(SEARCH(("Monitor"),(G578))))</formula>
    </cfRule>
  </conditionalFormatting>
  <conditionalFormatting sqref="A577:AC578">
    <cfRule type="notContainsBlanks" dxfId="8" priority="1045">
      <formula>LEN(TRIM(A577))&gt;0</formula>
    </cfRule>
  </conditionalFormatting>
  <conditionalFormatting sqref="A578:K578">
    <cfRule type="expression" dxfId="7" priority="1046">
      <formula>if($G578="Closed",1,0)</formula>
    </cfRule>
  </conditionalFormatting>
  <conditionalFormatting sqref="G576:H576 K576">
    <cfRule type="containsText" dxfId="1" priority="1047" operator="containsText" text="Open">
      <formula>NOT(ISERROR(SEARCH(("Open"),(G576))))</formula>
    </cfRule>
  </conditionalFormatting>
  <conditionalFormatting sqref="G576:H576 K576">
    <cfRule type="containsText" dxfId="0" priority="1048" operator="containsText" text="Closed">
      <formula>NOT(ISERROR(SEARCH(("Closed"),(G576))))</formula>
    </cfRule>
  </conditionalFormatting>
  <conditionalFormatting sqref="G576:H576 K576">
    <cfRule type="containsText" dxfId="3" priority="1049" operator="containsText" text="Monitor">
      <formula>NOT(ISERROR(SEARCH(("Monitor"),(G576))))</formula>
    </cfRule>
  </conditionalFormatting>
  <conditionalFormatting sqref="A575:AC576">
    <cfRule type="notContainsBlanks" dxfId="8" priority="1050">
      <formula>LEN(TRIM(A575))&gt;0</formula>
    </cfRule>
  </conditionalFormatting>
  <conditionalFormatting sqref="A576:K576">
    <cfRule type="expression" dxfId="7" priority="1051">
      <formula>if($G576="Closed",1,0)</formula>
    </cfRule>
  </conditionalFormatting>
  <conditionalFormatting sqref="G574:H574 K574">
    <cfRule type="containsText" dxfId="1" priority="1052" operator="containsText" text="Open">
      <formula>NOT(ISERROR(SEARCH(("Open"),(G574))))</formula>
    </cfRule>
  </conditionalFormatting>
  <conditionalFormatting sqref="G574:H574 K574">
    <cfRule type="containsText" dxfId="0" priority="1053" operator="containsText" text="Closed">
      <formula>NOT(ISERROR(SEARCH(("Closed"),(G574))))</formula>
    </cfRule>
  </conditionalFormatting>
  <conditionalFormatting sqref="G574:H574 K574">
    <cfRule type="containsText" dxfId="3" priority="1054" operator="containsText" text="Monitor">
      <formula>NOT(ISERROR(SEARCH(("Monitor"),(G574))))</formula>
    </cfRule>
  </conditionalFormatting>
  <conditionalFormatting sqref="A573:AC574">
    <cfRule type="notContainsBlanks" dxfId="8" priority="1055">
      <formula>LEN(TRIM(A573))&gt;0</formula>
    </cfRule>
  </conditionalFormatting>
  <conditionalFormatting sqref="A574:K574">
    <cfRule type="expression" dxfId="7" priority="1056">
      <formula>if($G574="Closed",1,0)</formula>
    </cfRule>
  </conditionalFormatting>
  <conditionalFormatting sqref="G572:H572 K572">
    <cfRule type="containsText" dxfId="1" priority="1057" operator="containsText" text="Open">
      <formula>NOT(ISERROR(SEARCH(("Open"),(G572))))</formula>
    </cfRule>
  </conditionalFormatting>
  <conditionalFormatting sqref="G572:H572 K572">
    <cfRule type="containsText" dxfId="0" priority="1058" operator="containsText" text="Closed">
      <formula>NOT(ISERROR(SEARCH(("Closed"),(G572))))</formula>
    </cfRule>
  </conditionalFormatting>
  <conditionalFormatting sqref="G572:H572 K572">
    <cfRule type="containsText" dxfId="3" priority="1059" operator="containsText" text="Monitor">
      <formula>NOT(ISERROR(SEARCH(("Monitor"),(G572))))</formula>
    </cfRule>
  </conditionalFormatting>
  <conditionalFormatting sqref="A571:AC572">
    <cfRule type="notContainsBlanks" dxfId="8" priority="1060">
      <formula>LEN(TRIM(A571))&gt;0</formula>
    </cfRule>
  </conditionalFormatting>
  <conditionalFormatting sqref="A572:K572">
    <cfRule type="expression" dxfId="7" priority="1061">
      <formula>if($G572="Closed",1,0)</formula>
    </cfRule>
  </conditionalFormatting>
  <conditionalFormatting sqref="G570:H570 K570">
    <cfRule type="containsText" dxfId="1" priority="1062" operator="containsText" text="Open">
      <formula>NOT(ISERROR(SEARCH(("Open"),(G570))))</formula>
    </cfRule>
  </conditionalFormatting>
  <conditionalFormatting sqref="G570:H570 K570">
    <cfRule type="containsText" dxfId="0" priority="1063" operator="containsText" text="Closed">
      <formula>NOT(ISERROR(SEARCH(("Closed"),(G570))))</formula>
    </cfRule>
  </conditionalFormatting>
  <conditionalFormatting sqref="G570:H570 K570">
    <cfRule type="containsText" dxfId="3" priority="1064" operator="containsText" text="Monitor">
      <formula>NOT(ISERROR(SEARCH(("Monitor"),(G570))))</formula>
    </cfRule>
  </conditionalFormatting>
  <conditionalFormatting sqref="A569:AC570">
    <cfRule type="notContainsBlanks" dxfId="8" priority="1065">
      <formula>LEN(TRIM(A569))&gt;0</formula>
    </cfRule>
  </conditionalFormatting>
  <conditionalFormatting sqref="A570:K570">
    <cfRule type="expression" dxfId="7" priority="1066">
      <formula>if($G570="Closed",1,0)</formula>
    </cfRule>
  </conditionalFormatting>
  <conditionalFormatting sqref="G568:H568 K568">
    <cfRule type="containsText" dxfId="1" priority="1067" operator="containsText" text="Open">
      <formula>NOT(ISERROR(SEARCH(("Open"),(G568))))</formula>
    </cfRule>
  </conditionalFormatting>
  <conditionalFormatting sqref="G568:H568 K568">
    <cfRule type="containsText" dxfId="0" priority="1068" operator="containsText" text="Closed">
      <formula>NOT(ISERROR(SEARCH(("Closed"),(G568))))</formula>
    </cfRule>
  </conditionalFormatting>
  <conditionalFormatting sqref="G568:H568 K568">
    <cfRule type="containsText" dxfId="3" priority="1069" operator="containsText" text="Monitor">
      <formula>NOT(ISERROR(SEARCH(("Monitor"),(G568))))</formula>
    </cfRule>
  </conditionalFormatting>
  <conditionalFormatting sqref="A567:AC568">
    <cfRule type="notContainsBlanks" dxfId="8" priority="1070">
      <formula>LEN(TRIM(A567))&gt;0</formula>
    </cfRule>
  </conditionalFormatting>
  <conditionalFormatting sqref="A568:K568">
    <cfRule type="expression" dxfId="7" priority="1071">
      <formula>if($G568="Closed",1,0)</formula>
    </cfRule>
  </conditionalFormatting>
  <conditionalFormatting sqref="G566:H566 K566">
    <cfRule type="containsText" dxfId="1" priority="1072" operator="containsText" text="Open">
      <formula>NOT(ISERROR(SEARCH(("Open"),(G566))))</formula>
    </cfRule>
  </conditionalFormatting>
  <conditionalFormatting sqref="G566:H566 K566">
    <cfRule type="containsText" dxfId="0" priority="1073" operator="containsText" text="Closed">
      <formula>NOT(ISERROR(SEARCH(("Closed"),(G566))))</formula>
    </cfRule>
  </conditionalFormatting>
  <conditionalFormatting sqref="G566:H566 K566">
    <cfRule type="containsText" dxfId="3" priority="1074" operator="containsText" text="Monitor">
      <formula>NOT(ISERROR(SEARCH(("Monitor"),(G566))))</formula>
    </cfRule>
  </conditionalFormatting>
  <conditionalFormatting sqref="A565:AC566">
    <cfRule type="notContainsBlanks" dxfId="8" priority="1075">
      <formula>LEN(TRIM(A565))&gt;0</formula>
    </cfRule>
  </conditionalFormatting>
  <conditionalFormatting sqref="A566:K566">
    <cfRule type="expression" dxfId="7" priority="1076">
      <formula>if($G566="Closed",1,0)</formula>
    </cfRule>
  </conditionalFormatting>
  <conditionalFormatting sqref="G564:H564 K564">
    <cfRule type="containsText" dxfId="1" priority="1077" operator="containsText" text="Open">
      <formula>NOT(ISERROR(SEARCH(("Open"),(G564))))</formula>
    </cfRule>
  </conditionalFormatting>
  <conditionalFormatting sqref="G564:H564 K564">
    <cfRule type="containsText" dxfId="0" priority="1078" operator="containsText" text="Closed">
      <formula>NOT(ISERROR(SEARCH(("Closed"),(G564))))</formula>
    </cfRule>
  </conditionalFormatting>
  <conditionalFormatting sqref="G564:H564 K564">
    <cfRule type="containsText" dxfId="3" priority="1079" operator="containsText" text="Monitor">
      <formula>NOT(ISERROR(SEARCH(("Monitor"),(G564))))</formula>
    </cfRule>
  </conditionalFormatting>
  <conditionalFormatting sqref="A563:AC564">
    <cfRule type="notContainsBlanks" dxfId="8" priority="1080">
      <formula>LEN(TRIM(A563))&gt;0</formula>
    </cfRule>
  </conditionalFormatting>
  <conditionalFormatting sqref="A564:K564">
    <cfRule type="expression" dxfId="7" priority="1081">
      <formula>if($G564="Closed",1,0)</formula>
    </cfRule>
  </conditionalFormatting>
  <conditionalFormatting sqref="G562:H562 K562">
    <cfRule type="containsText" dxfId="1" priority="1082" operator="containsText" text="Open">
      <formula>NOT(ISERROR(SEARCH(("Open"),(G562))))</formula>
    </cfRule>
  </conditionalFormatting>
  <conditionalFormatting sqref="G562:H562 K562">
    <cfRule type="containsText" dxfId="0" priority="1083" operator="containsText" text="Closed">
      <formula>NOT(ISERROR(SEARCH(("Closed"),(G562))))</formula>
    </cfRule>
  </conditionalFormatting>
  <conditionalFormatting sqref="G562:H562 K562">
    <cfRule type="containsText" dxfId="3" priority="1084" operator="containsText" text="Monitor">
      <formula>NOT(ISERROR(SEARCH(("Monitor"),(G562))))</formula>
    </cfRule>
  </conditionalFormatting>
  <conditionalFormatting sqref="A561:AC562">
    <cfRule type="notContainsBlanks" dxfId="8" priority="1085">
      <formula>LEN(TRIM(A561))&gt;0</formula>
    </cfRule>
  </conditionalFormatting>
  <conditionalFormatting sqref="A562:K562">
    <cfRule type="expression" dxfId="7" priority="1086">
      <formula>if($G562="Closed",1,0)</formula>
    </cfRule>
  </conditionalFormatting>
  <conditionalFormatting sqref="G560:H560 K560">
    <cfRule type="containsText" dxfId="1" priority="1087" operator="containsText" text="Open">
      <formula>NOT(ISERROR(SEARCH(("Open"),(G560))))</formula>
    </cfRule>
  </conditionalFormatting>
  <conditionalFormatting sqref="G560:H560 K560">
    <cfRule type="containsText" dxfId="0" priority="1088" operator="containsText" text="Closed">
      <formula>NOT(ISERROR(SEARCH(("Closed"),(G560))))</formula>
    </cfRule>
  </conditionalFormatting>
  <conditionalFormatting sqref="G560:H560 K560">
    <cfRule type="containsText" dxfId="3" priority="1089" operator="containsText" text="Monitor">
      <formula>NOT(ISERROR(SEARCH(("Monitor"),(G560))))</formula>
    </cfRule>
  </conditionalFormatting>
  <conditionalFormatting sqref="A559:AC560">
    <cfRule type="notContainsBlanks" dxfId="8" priority="1090">
      <formula>LEN(TRIM(A559))&gt;0</formula>
    </cfRule>
  </conditionalFormatting>
  <conditionalFormatting sqref="A560:K560">
    <cfRule type="expression" dxfId="7" priority="1091">
      <formula>if($G560="Closed",1,0)</formula>
    </cfRule>
  </conditionalFormatting>
  <conditionalFormatting sqref="G558:H558 K558">
    <cfRule type="containsText" dxfId="1" priority="1092" operator="containsText" text="Open">
      <formula>NOT(ISERROR(SEARCH(("Open"),(G558))))</formula>
    </cfRule>
  </conditionalFormatting>
  <conditionalFormatting sqref="G558:H558 K558">
    <cfRule type="containsText" dxfId="0" priority="1093" operator="containsText" text="Closed">
      <formula>NOT(ISERROR(SEARCH(("Closed"),(G558))))</formula>
    </cfRule>
  </conditionalFormatting>
  <conditionalFormatting sqref="G558:H558 K558">
    <cfRule type="containsText" dxfId="3" priority="1094" operator="containsText" text="Monitor">
      <formula>NOT(ISERROR(SEARCH(("Monitor"),(G558))))</formula>
    </cfRule>
  </conditionalFormatting>
  <conditionalFormatting sqref="A557:AC558">
    <cfRule type="notContainsBlanks" dxfId="8" priority="1095">
      <formula>LEN(TRIM(A557))&gt;0</formula>
    </cfRule>
  </conditionalFormatting>
  <conditionalFormatting sqref="A558:K558">
    <cfRule type="expression" dxfId="7" priority="1096">
      <formula>if($G558="Closed",1,0)</formula>
    </cfRule>
  </conditionalFormatting>
  <conditionalFormatting sqref="G556:H556 K556">
    <cfRule type="containsText" dxfId="1" priority="1097" operator="containsText" text="Open">
      <formula>NOT(ISERROR(SEARCH(("Open"),(G556))))</formula>
    </cfRule>
  </conditionalFormatting>
  <conditionalFormatting sqref="G556:H556 K556">
    <cfRule type="containsText" dxfId="0" priority="1098" operator="containsText" text="Closed">
      <formula>NOT(ISERROR(SEARCH(("Closed"),(G556))))</formula>
    </cfRule>
  </conditionalFormatting>
  <conditionalFormatting sqref="G556:H556 K556">
    <cfRule type="containsText" dxfId="3" priority="1099" operator="containsText" text="Monitor">
      <formula>NOT(ISERROR(SEARCH(("Monitor"),(G556))))</formula>
    </cfRule>
  </conditionalFormatting>
  <conditionalFormatting sqref="A555:AC556">
    <cfRule type="notContainsBlanks" dxfId="8" priority="1100">
      <formula>LEN(TRIM(A555))&gt;0</formula>
    </cfRule>
  </conditionalFormatting>
  <conditionalFormatting sqref="A556:K556">
    <cfRule type="expression" dxfId="7" priority="1101">
      <formula>if($G556="Closed",1,0)</formula>
    </cfRule>
  </conditionalFormatting>
  <conditionalFormatting sqref="G554:H554 K554">
    <cfRule type="containsText" dxfId="1" priority="1102" operator="containsText" text="Open">
      <formula>NOT(ISERROR(SEARCH(("Open"),(G554))))</formula>
    </cfRule>
  </conditionalFormatting>
  <conditionalFormatting sqref="G554:H554 K554">
    <cfRule type="containsText" dxfId="0" priority="1103" operator="containsText" text="Closed">
      <formula>NOT(ISERROR(SEARCH(("Closed"),(G554))))</formula>
    </cfRule>
  </conditionalFormatting>
  <conditionalFormatting sqref="G554:H554 K554">
    <cfRule type="containsText" dxfId="3" priority="1104" operator="containsText" text="Monitor">
      <formula>NOT(ISERROR(SEARCH(("Monitor"),(G554))))</formula>
    </cfRule>
  </conditionalFormatting>
  <conditionalFormatting sqref="A553:AC554">
    <cfRule type="notContainsBlanks" dxfId="8" priority="1105">
      <formula>LEN(TRIM(A553))&gt;0</formula>
    </cfRule>
  </conditionalFormatting>
  <conditionalFormatting sqref="A554:K554">
    <cfRule type="expression" dxfId="7" priority="1106">
      <formula>if($G554="Closed",1,0)</formula>
    </cfRule>
  </conditionalFormatting>
  <conditionalFormatting sqref="G552:H552 K552">
    <cfRule type="containsText" dxfId="1" priority="1107" operator="containsText" text="Open">
      <formula>NOT(ISERROR(SEARCH(("Open"),(G552))))</formula>
    </cfRule>
  </conditionalFormatting>
  <conditionalFormatting sqref="G552:H552 K552">
    <cfRule type="containsText" dxfId="0" priority="1108" operator="containsText" text="Closed">
      <formula>NOT(ISERROR(SEARCH(("Closed"),(G552))))</formula>
    </cfRule>
  </conditionalFormatting>
  <conditionalFormatting sqref="G552:H552 K552">
    <cfRule type="containsText" dxfId="3" priority="1109" operator="containsText" text="Monitor">
      <formula>NOT(ISERROR(SEARCH(("Monitor"),(G552))))</formula>
    </cfRule>
  </conditionalFormatting>
  <conditionalFormatting sqref="A551:AC552">
    <cfRule type="notContainsBlanks" dxfId="8" priority="1110">
      <formula>LEN(TRIM(A551))&gt;0</formula>
    </cfRule>
  </conditionalFormatting>
  <conditionalFormatting sqref="A552:K552">
    <cfRule type="expression" dxfId="7" priority="1111">
      <formula>if($G552="Closed",1,0)</formula>
    </cfRule>
  </conditionalFormatting>
  <conditionalFormatting sqref="G550:H550 K550">
    <cfRule type="containsText" dxfId="1" priority="1112" operator="containsText" text="Open">
      <formula>NOT(ISERROR(SEARCH(("Open"),(G550))))</formula>
    </cfRule>
  </conditionalFormatting>
  <conditionalFormatting sqref="G550:H550 K550">
    <cfRule type="containsText" dxfId="0" priority="1113" operator="containsText" text="Closed">
      <formula>NOT(ISERROR(SEARCH(("Closed"),(G550))))</formula>
    </cfRule>
  </conditionalFormatting>
  <conditionalFormatting sqref="G550:H550 K550">
    <cfRule type="containsText" dxfId="3" priority="1114" operator="containsText" text="Monitor">
      <formula>NOT(ISERROR(SEARCH(("Monitor"),(G550))))</formula>
    </cfRule>
  </conditionalFormatting>
  <conditionalFormatting sqref="A549:AC550">
    <cfRule type="notContainsBlanks" dxfId="8" priority="1115">
      <formula>LEN(TRIM(A549))&gt;0</formula>
    </cfRule>
  </conditionalFormatting>
  <conditionalFormatting sqref="A550:K550">
    <cfRule type="expression" dxfId="7" priority="1116">
      <formula>if($G550="Closed",1,0)</formula>
    </cfRule>
  </conditionalFormatting>
  <conditionalFormatting sqref="G548:H548 K548">
    <cfRule type="containsText" dxfId="1" priority="1117" operator="containsText" text="Open">
      <formula>NOT(ISERROR(SEARCH(("Open"),(G548))))</formula>
    </cfRule>
  </conditionalFormatting>
  <conditionalFormatting sqref="G548:H548 K548">
    <cfRule type="containsText" dxfId="0" priority="1118" operator="containsText" text="Closed">
      <formula>NOT(ISERROR(SEARCH(("Closed"),(G548))))</formula>
    </cfRule>
  </conditionalFormatting>
  <conditionalFormatting sqref="G548:H548 K548">
    <cfRule type="containsText" dxfId="3" priority="1119" operator="containsText" text="Monitor">
      <formula>NOT(ISERROR(SEARCH(("Monitor"),(G548))))</formula>
    </cfRule>
  </conditionalFormatting>
  <conditionalFormatting sqref="A547:AC548">
    <cfRule type="notContainsBlanks" dxfId="8" priority="1120">
      <formula>LEN(TRIM(A547))&gt;0</formula>
    </cfRule>
  </conditionalFormatting>
  <conditionalFormatting sqref="A548:K548">
    <cfRule type="expression" dxfId="7" priority="1121">
      <formula>if($G548="Closed",1,0)</formula>
    </cfRule>
  </conditionalFormatting>
  <conditionalFormatting sqref="G546:H546 K546">
    <cfRule type="containsText" dxfId="1" priority="1122" operator="containsText" text="Open">
      <formula>NOT(ISERROR(SEARCH(("Open"),(G546))))</formula>
    </cfRule>
  </conditionalFormatting>
  <conditionalFormatting sqref="G546:H546 K546">
    <cfRule type="containsText" dxfId="0" priority="1123" operator="containsText" text="Closed">
      <formula>NOT(ISERROR(SEARCH(("Closed"),(G546))))</formula>
    </cfRule>
  </conditionalFormatting>
  <conditionalFormatting sqref="G546:H546 K546">
    <cfRule type="containsText" dxfId="3" priority="1124" operator="containsText" text="Monitor">
      <formula>NOT(ISERROR(SEARCH(("Monitor"),(G546))))</formula>
    </cfRule>
  </conditionalFormatting>
  <conditionalFormatting sqref="A545:AC546">
    <cfRule type="notContainsBlanks" dxfId="8" priority="1125">
      <formula>LEN(TRIM(A545))&gt;0</formula>
    </cfRule>
  </conditionalFormatting>
  <conditionalFormatting sqref="A546:K546">
    <cfRule type="expression" dxfId="7" priority="1126">
      <formula>if($G546="Closed",1,0)</formula>
    </cfRule>
  </conditionalFormatting>
  <conditionalFormatting sqref="G544:H544 K544">
    <cfRule type="containsText" dxfId="1" priority="1127" operator="containsText" text="Open">
      <formula>NOT(ISERROR(SEARCH(("Open"),(G544))))</formula>
    </cfRule>
  </conditionalFormatting>
  <conditionalFormatting sqref="G544:H544 K544">
    <cfRule type="containsText" dxfId="0" priority="1128" operator="containsText" text="Closed">
      <formula>NOT(ISERROR(SEARCH(("Closed"),(G544))))</formula>
    </cfRule>
  </conditionalFormatting>
  <conditionalFormatting sqref="G544:H544 K544">
    <cfRule type="containsText" dxfId="3" priority="1129" operator="containsText" text="Monitor">
      <formula>NOT(ISERROR(SEARCH(("Monitor"),(G544))))</formula>
    </cfRule>
  </conditionalFormatting>
  <conditionalFormatting sqref="A543:AC544">
    <cfRule type="notContainsBlanks" dxfId="8" priority="1130">
      <formula>LEN(TRIM(A543))&gt;0</formula>
    </cfRule>
  </conditionalFormatting>
  <conditionalFormatting sqref="A544:K544">
    <cfRule type="expression" dxfId="7" priority="1131">
      <formula>if($G544="Closed",1,0)</formula>
    </cfRule>
  </conditionalFormatting>
  <conditionalFormatting sqref="G542:H542 K542">
    <cfRule type="containsText" dxfId="1" priority="1132" operator="containsText" text="Open">
      <formula>NOT(ISERROR(SEARCH(("Open"),(G542))))</formula>
    </cfRule>
  </conditionalFormatting>
  <conditionalFormatting sqref="G542:H542 K542">
    <cfRule type="containsText" dxfId="0" priority="1133" operator="containsText" text="Closed">
      <formula>NOT(ISERROR(SEARCH(("Closed"),(G542))))</formula>
    </cfRule>
  </conditionalFormatting>
  <conditionalFormatting sqref="G542:H542 K542">
    <cfRule type="containsText" dxfId="3" priority="1134" operator="containsText" text="Monitor">
      <formula>NOT(ISERROR(SEARCH(("Monitor"),(G542))))</formula>
    </cfRule>
  </conditionalFormatting>
  <conditionalFormatting sqref="A541:AC542">
    <cfRule type="notContainsBlanks" dxfId="8" priority="1135">
      <formula>LEN(TRIM(A541))&gt;0</formula>
    </cfRule>
  </conditionalFormatting>
  <conditionalFormatting sqref="A542:K542">
    <cfRule type="expression" dxfId="7" priority="1136">
      <formula>if($G542="Closed",1,0)</formula>
    </cfRule>
  </conditionalFormatting>
  <conditionalFormatting sqref="G540:H540 K540">
    <cfRule type="containsText" dxfId="1" priority="1137" operator="containsText" text="Open">
      <formula>NOT(ISERROR(SEARCH(("Open"),(G540))))</formula>
    </cfRule>
  </conditionalFormatting>
  <conditionalFormatting sqref="G540:H540 K540">
    <cfRule type="containsText" dxfId="0" priority="1138" operator="containsText" text="Closed">
      <formula>NOT(ISERROR(SEARCH(("Closed"),(G540))))</formula>
    </cfRule>
  </conditionalFormatting>
  <conditionalFormatting sqref="G540:H540 K540">
    <cfRule type="containsText" dxfId="3" priority="1139" operator="containsText" text="Monitor">
      <formula>NOT(ISERROR(SEARCH(("Monitor"),(G540))))</formula>
    </cfRule>
  </conditionalFormatting>
  <conditionalFormatting sqref="A539:AC540">
    <cfRule type="notContainsBlanks" dxfId="8" priority="1140">
      <formula>LEN(TRIM(A539))&gt;0</formula>
    </cfRule>
  </conditionalFormatting>
  <conditionalFormatting sqref="A540:K540">
    <cfRule type="expression" dxfId="7" priority="1141">
      <formula>if($G540="Closed",1,0)</formula>
    </cfRule>
  </conditionalFormatting>
  <conditionalFormatting sqref="G538:H538 K538">
    <cfRule type="containsText" dxfId="1" priority="1142" operator="containsText" text="Open">
      <formula>NOT(ISERROR(SEARCH(("Open"),(G538))))</formula>
    </cfRule>
  </conditionalFormatting>
  <conditionalFormatting sqref="G538:H538 K538">
    <cfRule type="containsText" dxfId="0" priority="1143" operator="containsText" text="Closed">
      <formula>NOT(ISERROR(SEARCH(("Closed"),(G538))))</formula>
    </cfRule>
  </conditionalFormatting>
  <conditionalFormatting sqref="G538:H538 K538">
    <cfRule type="containsText" dxfId="3" priority="1144" operator="containsText" text="Monitor">
      <formula>NOT(ISERROR(SEARCH(("Monitor"),(G538))))</formula>
    </cfRule>
  </conditionalFormatting>
  <conditionalFormatting sqref="A537:AC538">
    <cfRule type="notContainsBlanks" dxfId="8" priority="1145">
      <formula>LEN(TRIM(A537))&gt;0</formula>
    </cfRule>
  </conditionalFormatting>
  <conditionalFormatting sqref="A538:K538">
    <cfRule type="expression" dxfId="7" priority="1146">
      <formula>if($G538="Closed",1,0)</formula>
    </cfRule>
  </conditionalFormatting>
  <conditionalFormatting sqref="G536:H536 K536">
    <cfRule type="containsText" dxfId="1" priority="1147" operator="containsText" text="Open">
      <formula>NOT(ISERROR(SEARCH(("Open"),(G536))))</formula>
    </cfRule>
  </conditionalFormatting>
  <conditionalFormatting sqref="G536:H536 K536">
    <cfRule type="containsText" dxfId="0" priority="1148" operator="containsText" text="Closed">
      <formula>NOT(ISERROR(SEARCH(("Closed"),(G536))))</formula>
    </cfRule>
  </conditionalFormatting>
  <conditionalFormatting sqref="G536:H536 K536">
    <cfRule type="containsText" dxfId="3" priority="1149" operator="containsText" text="Monitor">
      <formula>NOT(ISERROR(SEARCH(("Monitor"),(G536))))</formula>
    </cfRule>
  </conditionalFormatting>
  <conditionalFormatting sqref="A535:AC536">
    <cfRule type="notContainsBlanks" dxfId="8" priority="1150">
      <formula>LEN(TRIM(A535))&gt;0</formula>
    </cfRule>
  </conditionalFormatting>
  <conditionalFormatting sqref="A536:K536">
    <cfRule type="expression" dxfId="7" priority="1151">
      <formula>if($G536="Closed",1,0)</formula>
    </cfRule>
  </conditionalFormatting>
  <conditionalFormatting sqref="G534:H534 K534">
    <cfRule type="containsText" dxfId="1" priority="1152" operator="containsText" text="Open">
      <formula>NOT(ISERROR(SEARCH(("Open"),(G534))))</formula>
    </cfRule>
  </conditionalFormatting>
  <conditionalFormatting sqref="G534:H534 K534">
    <cfRule type="containsText" dxfId="0" priority="1153" operator="containsText" text="Closed">
      <formula>NOT(ISERROR(SEARCH(("Closed"),(G534))))</formula>
    </cfRule>
  </conditionalFormatting>
  <conditionalFormatting sqref="G534:H534 K534">
    <cfRule type="containsText" dxfId="3" priority="1154" operator="containsText" text="Monitor">
      <formula>NOT(ISERROR(SEARCH(("Monitor"),(G534))))</formula>
    </cfRule>
  </conditionalFormatting>
  <conditionalFormatting sqref="A533:AC534">
    <cfRule type="notContainsBlanks" dxfId="8" priority="1155">
      <formula>LEN(TRIM(A533))&gt;0</formula>
    </cfRule>
  </conditionalFormatting>
  <conditionalFormatting sqref="A534:K534">
    <cfRule type="expression" dxfId="7" priority="1156">
      <formula>if($G534="Closed",1,0)</formula>
    </cfRule>
  </conditionalFormatting>
  <conditionalFormatting sqref="G532:H532 K532">
    <cfRule type="containsText" dxfId="1" priority="1157" operator="containsText" text="Open">
      <formula>NOT(ISERROR(SEARCH(("Open"),(G532))))</formula>
    </cfRule>
  </conditionalFormatting>
  <conditionalFormatting sqref="G532:H532 K532">
    <cfRule type="containsText" dxfId="0" priority="1158" operator="containsText" text="Closed">
      <formula>NOT(ISERROR(SEARCH(("Closed"),(G532))))</formula>
    </cfRule>
  </conditionalFormatting>
  <conditionalFormatting sqref="G532:H532 K532">
    <cfRule type="containsText" dxfId="3" priority="1159" operator="containsText" text="Monitor">
      <formula>NOT(ISERROR(SEARCH(("Monitor"),(G532))))</formula>
    </cfRule>
  </conditionalFormatting>
  <conditionalFormatting sqref="A531:AC532">
    <cfRule type="notContainsBlanks" dxfId="8" priority="1160">
      <formula>LEN(TRIM(A531))&gt;0</formula>
    </cfRule>
  </conditionalFormatting>
  <conditionalFormatting sqref="A532:K532">
    <cfRule type="expression" dxfId="7" priority="1161">
      <formula>if($G532="Closed",1,0)</formula>
    </cfRule>
  </conditionalFormatting>
  <conditionalFormatting sqref="G530:H530 K530">
    <cfRule type="containsText" dxfId="1" priority="1162" operator="containsText" text="Open">
      <formula>NOT(ISERROR(SEARCH(("Open"),(G530))))</formula>
    </cfRule>
  </conditionalFormatting>
  <conditionalFormatting sqref="G530:H530 K530">
    <cfRule type="containsText" dxfId="0" priority="1163" operator="containsText" text="Closed">
      <formula>NOT(ISERROR(SEARCH(("Closed"),(G530))))</formula>
    </cfRule>
  </conditionalFormatting>
  <conditionalFormatting sqref="G530:H530 K530">
    <cfRule type="containsText" dxfId="3" priority="1164" operator="containsText" text="Monitor">
      <formula>NOT(ISERROR(SEARCH(("Monitor"),(G530))))</formula>
    </cfRule>
  </conditionalFormatting>
  <conditionalFormatting sqref="A529:AC530">
    <cfRule type="notContainsBlanks" dxfId="8" priority="1165">
      <formula>LEN(TRIM(A529))&gt;0</formula>
    </cfRule>
  </conditionalFormatting>
  <conditionalFormatting sqref="A530:K530">
    <cfRule type="expression" dxfId="7" priority="1166">
      <formula>if($G530="Closed",1,0)</formula>
    </cfRule>
  </conditionalFormatting>
  <conditionalFormatting sqref="G528:H528 K528">
    <cfRule type="containsText" dxfId="1" priority="1167" operator="containsText" text="Open">
      <formula>NOT(ISERROR(SEARCH(("Open"),(G528))))</formula>
    </cfRule>
  </conditionalFormatting>
  <conditionalFormatting sqref="G528:H528 K528">
    <cfRule type="containsText" dxfId="0" priority="1168" operator="containsText" text="Closed">
      <formula>NOT(ISERROR(SEARCH(("Closed"),(G528))))</formula>
    </cfRule>
  </conditionalFormatting>
  <conditionalFormatting sqref="G528:H528 K528">
    <cfRule type="containsText" dxfId="3" priority="1169" operator="containsText" text="Monitor">
      <formula>NOT(ISERROR(SEARCH(("Monitor"),(G528))))</formula>
    </cfRule>
  </conditionalFormatting>
  <conditionalFormatting sqref="A527:AC528">
    <cfRule type="notContainsBlanks" dxfId="8" priority="1170">
      <formula>LEN(TRIM(A527))&gt;0</formula>
    </cfRule>
  </conditionalFormatting>
  <conditionalFormatting sqref="A528:K528">
    <cfRule type="expression" dxfId="7" priority="1171">
      <formula>if($G528="Closed",1,0)</formula>
    </cfRule>
  </conditionalFormatting>
  <conditionalFormatting sqref="G526:H526 K526">
    <cfRule type="containsText" dxfId="1" priority="1172" operator="containsText" text="Open">
      <formula>NOT(ISERROR(SEARCH(("Open"),(G526))))</formula>
    </cfRule>
  </conditionalFormatting>
  <conditionalFormatting sqref="G526:H526 K526">
    <cfRule type="containsText" dxfId="0" priority="1173" operator="containsText" text="Closed">
      <formula>NOT(ISERROR(SEARCH(("Closed"),(G526))))</formula>
    </cfRule>
  </conditionalFormatting>
  <conditionalFormatting sqref="G526:H526 K526">
    <cfRule type="containsText" dxfId="3" priority="1174" operator="containsText" text="Monitor">
      <formula>NOT(ISERROR(SEARCH(("Monitor"),(G526))))</formula>
    </cfRule>
  </conditionalFormatting>
  <conditionalFormatting sqref="A525:AC526">
    <cfRule type="notContainsBlanks" dxfId="8" priority="1175">
      <formula>LEN(TRIM(A525))&gt;0</formula>
    </cfRule>
  </conditionalFormatting>
  <conditionalFormatting sqref="A526:K526">
    <cfRule type="expression" dxfId="7" priority="1176">
      <formula>if($G526="Closed",1,0)</formula>
    </cfRule>
  </conditionalFormatting>
  <conditionalFormatting sqref="G524:H524 K524">
    <cfRule type="containsText" dxfId="1" priority="1177" operator="containsText" text="Open">
      <formula>NOT(ISERROR(SEARCH(("Open"),(G524))))</formula>
    </cfRule>
  </conditionalFormatting>
  <conditionalFormatting sqref="G524:H524 K524">
    <cfRule type="containsText" dxfId="0" priority="1178" operator="containsText" text="Closed">
      <formula>NOT(ISERROR(SEARCH(("Closed"),(G524))))</formula>
    </cfRule>
  </conditionalFormatting>
  <conditionalFormatting sqref="G524:H524 K524">
    <cfRule type="containsText" dxfId="3" priority="1179" operator="containsText" text="Monitor">
      <formula>NOT(ISERROR(SEARCH(("Monitor"),(G524))))</formula>
    </cfRule>
  </conditionalFormatting>
  <conditionalFormatting sqref="A523:AC524">
    <cfRule type="notContainsBlanks" dxfId="8" priority="1180">
      <formula>LEN(TRIM(A523))&gt;0</formula>
    </cfRule>
  </conditionalFormatting>
  <conditionalFormatting sqref="A524:K524">
    <cfRule type="expression" dxfId="7" priority="1181">
      <formula>if($G524="Closed",1,0)</formula>
    </cfRule>
  </conditionalFormatting>
  <conditionalFormatting sqref="G522:H522 K522">
    <cfRule type="containsText" dxfId="1" priority="1182" operator="containsText" text="Open">
      <formula>NOT(ISERROR(SEARCH(("Open"),(G522))))</formula>
    </cfRule>
  </conditionalFormatting>
  <conditionalFormatting sqref="G522:H522 K522">
    <cfRule type="containsText" dxfId="0" priority="1183" operator="containsText" text="Closed">
      <formula>NOT(ISERROR(SEARCH(("Closed"),(G522))))</formula>
    </cfRule>
  </conditionalFormatting>
  <conditionalFormatting sqref="G522:H522 K522">
    <cfRule type="containsText" dxfId="3" priority="1184" operator="containsText" text="Monitor">
      <formula>NOT(ISERROR(SEARCH(("Monitor"),(G522))))</formula>
    </cfRule>
  </conditionalFormatting>
  <conditionalFormatting sqref="A521:AC522">
    <cfRule type="notContainsBlanks" dxfId="8" priority="1185">
      <formula>LEN(TRIM(A521))&gt;0</formula>
    </cfRule>
  </conditionalFormatting>
  <conditionalFormatting sqref="A522:K522">
    <cfRule type="expression" dxfId="7" priority="1186">
      <formula>if($G522="Closed",1,0)</formula>
    </cfRule>
  </conditionalFormatting>
  <conditionalFormatting sqref="G520:H520 K520">
    <cfRule type="containsText" dxfId="1" priority="1187" operator="containsText" text="Open">
      <formula>NOT(ISERROR(SEARCH(("Open"),(G520))))</formula>
    </cfRule>
  </conditionalFormatting>
  <conditionalFormatting sqref="G520:H520 K520">
    <cfRule type="containsText" dxfId="0" priority="1188" operator="containsText" text="Closed">
      <formula>NOT(ISERROR(SEARCH(("Closed"),(G520))))</formula>
    </cfRule>
  </conditionalFormatting>
  <conditionalFormatting sqref="G520:H520 K520">
    <cfRule type="containsText" dxfId="3" priority="1189" operator="containsText" text="Monitor">
      <formula>NOT(ISERROR(SEARCH(("Monitor"),(G520))))</formula>
    </cfRule>
  </conditionalFormatting>
  <conditionalFormatting sqref="A519:AC520">
    <cfRule type="notContainsBlanks" dxfId="8" priority="1190">
      <formula>LEN(TRIM(A519))&gt;0</formula>
    </cfRule>
  </conditionalFormatting>
  <conditionalFormatting sqref="A520:K520">
    <cfRule type="expression" dxfId="7" priority="1191">
      <formula>if($G520="Closed",1,0)</formula>
    </cfRule>
  </conditionalFormatting>
  <conditionalFormatting sqref="G518:H518 K518">
    <cfRule type="containsText" dxfId="1" priority="1192" operator="containsText" text="Open">
      <formula>NOT(ISERROR(SEARCH(("Open"),(G518))))</formula>
    </cfRule>
  </conditionalFormatting>
  <conditionalFormatting sqref="G518:H518 K518">
    <cfRule type="containsText" dxfId="0" priority="1193" operator="containsText" text="Closed">
      <formula>NOT(ISERROR(SEARCH(("Closed"),(G518))))</formula>
    </cfRule>
  </conditionalFormatting>
  <conditionalFormatting sqref="G518:H518 K518">
    <cfRule type="containsText" dxfId="3" priority="1194" operator="containsText" text="Monitor">
      <formula>NOT(ISERROR(SEARCH(("Monitor"),(G518))))</formula>
    </cfRule>
  </conditionalFormatting>
  <conditionalFormatting sqref="A517:AC518">
    <cfRule type="notContainsBlanks" dxfId="8" priority="1195">
      <formula>LEN(TRIM(A517))&gt;0</formula>
    </cfRule>
  </conditionalFormatting>
  <conditionalFormatting sqref="A518:K518">
    <cfRule type="expression" dxfId="7" priority="1196">
      <formula>if($G518="Closed",1,0)</formula>
    </cfRule>
  </conditionalFormatting>
  <conditionalFormatting sqref="G516:H516 K516">
    <cfRule type="containsText" dxfId="1" priority="1197" operator="containsText" text="Open">
      <formula>NOT(ISERROR(SEARCH(("Open"),(G516))))</formula>
    </cfRule>
  </conditionalFormatting>
  <conditionalFormatting sqref="G516:H516 K516">
    <cfRule type="containsText" dxfId="0" priority="1198" operator="containsText" text="Closed">
      <formula>NOT(ISERROR(SEARCH(("Closed"),(G516))))</formula>
    </cfRule>
  </conditionalFormatting>
  <conditionalFormatting sqref="G516:H516 K516">
    <cfRule type="containsText" dxfId="3" priority="1199" operator="containsText" text="Monitor">
      <formula>NOT(ISERROR(SEARCH(("Monitor"),(G516))))</formula>
    </cfRule>
  </conditionalFormatting>
  <conditionalFormatting sqref="A515:AC516">
    <cfRule type="notContainsBlanks" dxfId="8" priority="1200">
      <formula>LEN(TRIM(A515))&gt;0</formula>
    </cfRule>
  </conditionalFormatting>
  <conditionalFormatting sqref="A516:K516">
    <cfRule type="expression" dxfId="7" priority="1201">
      <formula>if($G516="Closed",1,0)</formula>
    </cfRule>
  </conditionalFormatting>
  <conditionalFormatting sqref="G514:H514 K514">
    <cfRule type="containsText" dxfId="1" priority="1202" operator="containsText" text="Open">
      <formula>NOT(ISERROR(SEARCH(("Open"),(G514))))</formula>
    </cfRule>
  </conditionalFormatting>
  <conditionalFormatting sqref="G514:H514 K514">
    <cfRule type="containsText" dxfId="0" priority="1203" operator="containsText" text="Closed">
      <formula>NOT(ISERROR(SEARCH(("Closed"),(G514))))</formula>
    </cfRule>
  </conditionalFormatting>
  <conditionalFormatting sqref="G514:H514 K514">
    <cfRule type="containsText" dxfId="3" priority="1204" operator="containsText" text="Monitor">
      <formula>NOT(ISERROR(SEARCH(("Monitor"),(G514))))</formula>
    </cfRule>
  </conditionalFormatting>
  <conditionalFormatting sqref="A513:AC514">
    <cfRule type="notContainsBlanks" dxfId="8" priority="1205">
      <formula>LEN(TRIM(A513))&gt;0</formula>
    </cfRule>
  </conditionalFormatting>
  <conditionalFormatting sqref="A514:K514">
    <cfRule type="expression" dxfId="7" priority="1206">
      <formula>if($G514="Closed",1,0)</formula>
    </cfRule>
  </conditionalFormatting>
  <conditionalFormatting sqref="G512:H512 K512">
    <cfRule type="containsText" dxfId="1" priority="1207" operator="containsText" text="Open">
      <formula>NOT(ISERROR(SEARCH(("Open"),(G512))))</formula>
    </cfRule>
  </conditionalFormatting>
  <conditionalFormatting sqref="G512:H512 K512">
    <cfRule type="containsText" dxfId="0" priority="1208" operator="containsText" text="Closed">
      <formula>NOT(ISERROR(SEARCH(("Closed"),(G512))))</formula>
    </cfRule>
  </conditionalFormatting>
  <conditionalFormatting sqref="G512:H512 K512">
    <cfRule type="containsText" dxfId="3" priority="1209" operator="containsText" text="Monitor">
      <formula>NOT(ISERROR(SEARCH(("Monitor"),(G512))))</formula>
    </cfRule>
  </conditionalFormatting>
  <conditionalFormatting sqref="A511:AC512">
    <cfRule type="notContainsBlanks" dxfId="8" priority="1210">
      <formula>LEN(TRIM(A511))&gt;0</formula>
    </cfRule>
  </conditionalFormatting>
  <conditionalFormatting sqref="A512:K512">
    <cfRule type="expression" dxfId="7" priority="1211">
      <formula>if($G512="Closed",1,0)</formula>
    </cfRule>
  </conditionalFormatting>
  <conditionalFormatting sqref="G510:H510 K510">
    <cfRule type="containsText" dxfId="1" priority="1212" operator="containsText" text="Open">
      <formula>NOT(ISERROR(SEARCH(("Open"),(G510))))</formula>
    </cfRule>
  </conditionalFormatting>
  <conditionalFormatting sqref="G510:H510 K510">
    <cfRule type="containsText" dxfId="0" priority="1213" operator="containsText" text="Closed">
      <formula>NOT(ISERROR(SEARCH(("Closed"),(G510))))</formula>
    </cfRule>
  </conditionalFormatting>
  <conditionalFormatting sqref="G510:H510 K510">
    <cfRule type="containsText" dxfId="3" priority="1214" operator="containsText" text="Monitor">
      <formula>NOT(ISERROR(SEARCH(("Monitor"),(G510))))</formula>
    </cfRule>
  </conditionalFormatting>
  <conditionalFormatting sqref="A509:AC510">
    <cfRule type="notContainsBlanks" dxfId="8" priority="1215">
      <formula>LEN(TRIM(A509))&gt;0</formula>
    </cfRule>
  </conditionalFormatting>
  <conditionalFormatting sqref="A510:K510">
    <cfRule type="expression" dxfId="7" priority="1216">
      <formula>if($G510="Closed",1,0)</formula>
    </cfRule>
  </conditionalFormatting>
  <conditionalFormatting sqref="G508:H508 K508">
    <cfRule type="containsText" dxfId="1" priority="1217" operator="containsText" text="Open">
      <formula>NOT(ISERROR(SEARCH(("Open"),(G508))))</formula>
    </cfRule>
  </conditionalFormatting>
  <conditionalFormatting sqref="G508:H508 K508">
    <cfRule type="containsText" dxfId="0" priority="1218" operator="containsText" text="Closed">
      <formula>NOT(ISERROR(SEARCH(("Closed"),(G508))))</formula>
    </cfRule>
  </conditionalFormatting>
  <conditionalFormatting sqref="G508:H508 K508">
    <cfRule type="containsText" dxfId="3" priority="1219" operator="containsText" text="Monitor">
      <formula>NOT(ISERROR(SEARCH(("Monitor"),(G508))))</formula>
    </cfRule>
  </conditionalFormatting>
  <conditionalFormatting sqref="A507:AC508">
    <cfRule type="notContainsBlanks" dxfId="8" priority="1220">
      <formula>LEN(TRIM(A507))&gt;0</formula>
    </cfRule>
  </conditionalFormatting>
  <conditionalFormatting sqref="A508:K508">
    <cfRule type="expression" dxfId="7" priority="1221">
      <formula>if($G508="Closed",1,0)</formula>
    </cfRule>
  </conditionalFormatting>
  <conditionalFormatting sqref="G506:H506 K506">
    <cfRule type="containsText" dxfId="1" priority="1222" operator="containsText" text="Open">
      <formula>NOT(ISERROR(SEARCH(("Open"),(G506))))</formula>
    </cfRule>
  </conditionalFormatting>
  <conditionalFormatting sqref="G506:H506 K506">
    <cfRule type="containsText" dxfId="0" priority="1223" operator="containsText" text="Closed">
      <formula>NOT(ISERROR(SEARCH(("Closed"),(G506))))</formula>
    </cfRule>
  </conditionalFormatting>
  <conditionalFormatting sqref="G506:H506 K506">
    <cfRule type="containsText" dxfId="3" priority="1224" operator="containsText" text="Monitor">
      <formula>NOT(ISERROR(SEARCH(("Monitor"),(G506))))</formula>
    </cfRule>
  </conditionalFormatting>
  <conditionalFormatting sqref="A505:AC506">
    <cfRule type="notContainsBlanks" dxfId="8" priority="1225">
      <formula>LEN(TRIM(A505))&gt;0</formula>
    </cfRule>
  </conditionalFormatting>
  <conditionalFormatting sqref="A506:K506">
    <cfRule type="expression" dxfId="7" priority="1226">
      <formula>if($G506="Closed",1,0)</formula>
    </cfRule>
  </conditionalFormatting>
  <conditionalFormatting sqref="G504:H504 K504">
    <cfRule type="containsText" dxfId="1" priority="1227" operator="containsText" text="Open">
      <formula>NOT(ISERROR(SEARCH(("Open"),(G504))))</formula>
    </cfRule>
  </conditionalFormatting>
  <conditionalFormatting sqref="G504:H504 K504">
    <cfRule type="containsText" dxfId="0" priority="1228" operator="containsText" text="Closed">
      <formula>NOT(ISERROR(SEARCH(("Closed"),(G504))))</formula>
    </cfRule>
  </conditionalFormatting>
  <conditionalFormatting sqref="G504:H504 K504">
    <cfRule type="containsText" dxfId="3" priority="1229" operator="containsText" text="Monitor">
      <formula>NOT(ISERROR(SEARCH(("Monitor"),(G504))))</formula>
    </cfRule>
  </conditionalFormatting>
  <conditionalFormatting sqref="A503:AC504">
    <cfRule type="notContainsBlanks" dxfId="8" priority="1230">
      <formula>LEN(TRIM(A503))&gt;0</formula>
    </cfRule>
  </conditionalFormatting>
  <conditionalFormatting sqref="A504:K504">
    <cfRule type="expression" dxfId="7" priority="1231">
      <formula>if($G504="Closed",1,0)</formula>
    </cfRule>
  </conditionalFormatting>
  <conditionalFormatting sqref="G502:H502 K502">
    <cfRule type="containsText" dxfId="1" priority="1232" operator="containsText" text="Open">
      <formula>NOT(ISERROR(SEARCH(("Open"),(G502))))</formula>
    </cfRule>
  </conditionalFormatting>
  <conditionalFormatting sqref="G502:H502 K502">
    <cfRule type="containsText" dxfId="0" priority="1233" operator="containsText" text="Closed">
      <formula>NOT(ISERROR(SEARCH(("Closed"),(G502))))</formula>
    </cfRule>
  </conditionalFormatting>
  <conditionalFormatting sqref="G502:H502 K502">
    <cfRule type="containsText" dxfId="3" priority="1234" operator="containsText" text="Monitor">
      <formula>NOT(ISERROR(SEARCH(("Monitor"),(G502))))</formula>
    </cfRule>
  </conditionalFormatting>
  <conditionalFormatting sqref="A501:AC502">
    <cfRule type="notContainsBlanks" dxfId="8" priority="1235">
      <formula>LEN(TRIM(A501))&gt;0</formula>
    </cfRule>
  </conditionalFormatting>
  <conditionalFormatting sqref="A502:K502">
    <cfRule type="expression" dxfId="7" priority="1236">
      <formula>if($G502="Closed",1,0)</formula>
    </cfRule>
  </conditionalFormatting>
  <conditionalFormatting sqref="G500:H500 K500">
    <cfRule type="containsText" dxfId="1" priority="1237" operator="containsText" text="Open">
      <formula>NOT(ISERROR(SEARCH(("Open"),(G500))))</formula>
    </cfRule>
  </conditionalFormatting>
  <conditionalFormatting sqref="G500:H500 K500">
    <cfRule type="containsText" dxfId="0" priority="1238" operator="containsText" text="Closed">
      <formula>NOT(ISERROR(SEARCH(("Closed"),(G500))))</formula>
    </cfRule>
  </conditionalFormatting>
  <conditionalFormatting sqref="G500:H500 K500">
    <cfRule type="containsText" dxfId="3" priority="1239" operator="containsText" text="Monitor">
      <formula>NOT(ISERROR(SEARCH(("Monitor"),(G500))))</formula>
    </cfRule>
  </conditionalFormatting>
  <conditionalFormatting sqref="A499:AC500">
    <cfRule type="notContainsBlanks" dxfId="8" priority="1240">
      <formula>LEN(TRIM(A499))&gt;0</formula>
    </cfRule>
  </conditionalFormatting>
  <conditionalFormatting sqref="A500:K500">
    <cfRule type="expression" dxfId="7" priority="1241">
      <formula>if($G500="Closed",1,0)</formula>
    </cfRule>
  </conditionalFormatting>
  <conditionalFormatting sqref="G498:H498 K498">
    <cfRule type="containsText" dxfId="1" priority="1242" operator="containsText" text="Open">
      <formula>NOT(ISERROR(SEARCH(("Open"),(G498))))</formula>
    </cfRule>
  </conditionalFormatting>
  <conditionalFormatting sqref="G498:H498 K498">
    <cfRule type="containsText" dxfId="0" priority="1243" operator="containsText" text="Closed">
      <formula>NOT(ISERROR(SEARCH(("Closed"),(G498))))</formula>
    </cfRule>
  </conditionalFormatting>
  <conditionalFormatting sqref="G498:H498 K498">
    <cfRule type="containsText" dxfId="3" priority="1244" operator="containsText" text="Monitor">
      <formula>NOT(ISERROR(SEARCH(("Monitor"),(G498))))</formula>
    </cfRule>
  </conditionalFormatting>
  <conditionalFormatting sqref="A497:AC498">
    <cfRule type="notContainsBlanks" dxfId="8" priority="1245">
      <formula>LEN(TRIM(A497))&gt;0</formula>
    </cfRule>
  </conditionalFormatting>
  <conditionalFormatting sqref="A498:K498">
    <cfRule type="expression" dxfId="7" priority="1246">
      <formula>if($G498="Closed",1,0)</formula>
    </cfRule>
  </conditionalFormatting>
  <conditionalFormatting sqref="G496:H496 K496">
    <cfRule type="containsText" dxfId="1" priority="1247" operator="containsText" text="Open">
      <formula>NOT(ISERROR(SEARCH(("Open"),(G496))))</formula>
    </cfRule>
  </conditionalFormatting>
  <conditionalFormatting sqref="G496:H496 K496">
    <cfRule type="containsText" dxfId="0" priority="1248" operator="containsText" text="Closed">
      <formula>NOT(ISERROR(SEARCH(("Closed"),(G496))))</formula>
    </cfRule>
  </conditionalFormatting>
  <conditionalFormatting sqref="G496:H496 K496">
    <cfRule type="containsText" dxfId="3" priority="1249" operator="containsText" text="Monitor">
      <formula>NOT(ISERROR(SEARCH(("Monitor"),(G496))))</formula>
    </cfRule>
  </conditionalFormatting>
  <conditionalFormatting sqref="A495:AC496">
    <cfRule type="notContainsBlanks" dxfId="8" priority="1250">
      <formula>LEN(TRIM(A495))&gt;0</formula>
    </cfRule>
  </conditionalFormatting>
  <conditionalFormatting sqref="A496:K496">
    <cfRule type="expression" dxfId="7" priority="1251">
      <formula>if($G496="Closed",1,0)</formula>
    </cfRule>
  </conditionalFormatting>
  <conditionalFormatting sqref="G494:H494 K494">
    <cfRule type="containsText" dxfId="1" priority="1252" operator="containsText" text="Open">
      <formula>NOT(ISERROR(SEARCH(("Open"),(G494))))</formula>
    </cfRule>
  </conditionalFormatting>
  <conditionalFormatting sqref="G494:H494 K494">
    <cfRule type="containsText" dxfId="0" priority="1253" operator="containsText" text="Closed">
      <formula>NOT(ISERROR(SEARCH(("Closed"),(G494))))</formula>
    </cfRule>
  </conditionalFormatting>
  <conditionalFormatting sqref="G494:H494 K494">
    <cfRule type="containsText" dxfId="3" priority="1254" operator="containsText" text="Monitor">
      <formula>NOT(ISERROR(SEARCH(("Monitor"),(G494))))</formula>
    </cfRule>
  </conditionalFormatting>
  <conditionalFormatting sqref="A493:AC494">
    <cfRule type="notContainsBlanks" dxfId="8" priority="1255">
      <formula>LEN(TRIM(A493))&gt;0</formula>
    </cfRule>
  </conditionalFormatting>
  <conditionalFormatting sqref="A494:K494">
    <cfRule type="expression" dxfId="7" priority="1256">
      <formula>if($G494="Closed",1,0)</formula>
    </cfRule>
  </conditionalFormatting>
  <conditionalFormatting sqref="G492:H492 K492">
    <cfRule type="containsText" dxfId="1" priority="1257" operator="containsText" text="Open">
      <formula>NOT(ISERROR(SEARCH(("Open"),(G492))))</formula>
    </cfRule>
  </conditionalFormatting>
  <conditionalFormatting sqref="G492:H492 K492">
    <cfRule type="containsText" dxfId="0" priority="1258" operator="containsText" text="Closed">
      <formula>NOT(ISERROR(SEARCH(("Closed"),(G492))))</formula>
    </cfRule>
  </conditionalFormatting>
  <conditionalFormatting sqref="G492:H492 K492">
    <cfRule type="containsText" dxfId="3" priority="1259" operator="containsText" text="Monitor">
      <formula>NOT(ISERROR(SEARCH(("Monitor"),(G492))))</formula>
    </cfRule>
  </conditionalFormatting>
  <conditionalFormatting sqref="A491:AC492">
    <cfRule type="notContainsBlanks" dxfId="8" priority="1260">
      <formula>LEN(TRIM(A491))&gt;0</formula>
    </cfRule>
  </conditionalFormatting>
  <conditionalFormatting sqref="A492:K492">
    <cfRule type="expression" dxfId="7" priority="1261">
      <formula>if($G492="Closed",1,0)</formula>
    </cfRule>
  </conditionalFormatting>
  <conditionalFormatting sqref="G490:H490 K490">
    <cfRule type="containsText" dxfId="1" priority="1262" operator="containsText" text="Open">
      <formula>NOT(ISERROR(SEARCH(("Open"),(G490))))</formula>
    </cfRule>
  </conditionalFormatting>
  <conditionalFormatting sqref="G490:H490 K490">
    <cfRule type="containsText" dxfId="0" priority="1263" operator="containsText" text="Closed">
      <formula>NOT(ISERROR(SEARCH(("Closed"),(G490))))</formula>
    </cfRule>
  </conditionalFormatting>
  <conditionalFormatting sqref="G490:H490 K490">
    <cfRule type="containsText" dxfId="3" priority="1264" operator="containsText" text="Monitor">
      <formula>NOT(ISERROR(SEARCH(("Monitor"),(G490))))</formula>
    </cfRule>
  </conditionalFormatting>
  <conditionalFormatting sqref="A489:AC490">
    <cfRule type="notContainsBlanks" dxfId="8" priority="1265">
      <formula>LEN(TRIM(A489))&gt;0</formula>
    </cfRule>
  </conditionalFormatting>
  <conditionalFormatting sqref="A490:K490">
    <cfRule type="expression" dxfId="7" priority="1266">
      <formula>if($G490="Closed",1,0)</formula>
    </cfRule>
  </conditionalFormatting>
  <conditionalFormatting sqref="G488:H488 K488">
    <cfRule type="containsText" dxfId="1" priority="1267" operator="containsText" text="Open">
      <formula>NOT(ISERROR(SEARCH(("Open"),(G488))))</formula>
    </cfRule>
  </conditionalFormatting>
  <conditionalFormatting sqref="G488:H488 K488">
    <cfRule type="containsText" dxfId="0" priority="1268" operator="containsText" text="Closed">
      <formula>NOT(ISERROR(SEARCH(("Closed"),(G488))))</formula>
    </cfRule>
  </conditionalFormatting>
  <conditionalFormatting sqref="G488:H488 K488">
    <cfRule type="containsText" dxfId="3" priority="1269" operator="containsText" text="Monitor">
      <formula>NOT(ISERROR(SEARCH(("Monitor"),(G488))))</formula>
    </cfRule>
  </conditionalFormatting>
  <conditionalFormatting sqref="A487:AC488">
    <cfRule type="notContainsBlanks" dxfId="8" priority="1270">
      <formula>LEN(TRIM(A487))&gt;0</formula>
    </cfRule>
  </conditionalFormatting>
  <conditionalFormatting sqref="A488:K488">
    <cfRule type="expression" dxfId="7" priority="1271">
      <formula>if($G488="Closed",1,0)</formula>
    </cfRule>
  </conditionalFormatting>
  <conditionalFormatting sqref="G486:H486 K486">
    <cfRule type="containsText" dxfId="1" priority="1272" operator="containsText" text="Open">
      <formula>NOT(ISERROR(SEARCH(("Open"),(G486))))</formula>
    </cfRule>
  </conditionalFormatting>
  <conditionalFormatting sqref="G486:H486 K486">
    <cfRule type="containsText" dxfId="0" priority="1273" operator="containsText" text="Closed">
      <formula>NOT(ISERROR(SEARCH(("Closed"),(G486))))</formula>
    </cfRule>
  </conditionalFormatting>
  <conditionalFormatting sqref="G486:H486 K486">
    <cfRule type="containsText" dxfId="3" priority="1274" operator="containsText" text="Monitor">
      <formula>NOT(ISERROR(SEARCH(("Monitor"),(G486))))</formula>
    </cfRule>
  </conditionalFormatting>
  <conditionalFormatting sqref="A485:AC486">
    <cfRule type="notContainsBlanks" dxfId="8" priority="1275">
      <formula>LEN(TRIM(A485))&gt;0</formula>
    </cfRule>
  </conditionalFormatting>
  <conditionalFormatting sqref="A486:K486">
    <cfRule type="expression" dxfId="7" priority="1276">
      <formula>if($G486="Closed",1,0)</formula>
    </cfRule>
  </conditionalFormatting>
  <conditionalFormatting sqref="G484:H484 K484">
    <cfRule type="containsText" dxfId="1" priority="1277" operator="containsText" text="Open">
      <formula>NOT(ISERROR(SEARCH(("Open"),(G484))))</formula>
    </cfRule>
  </conditionalFormatting>
  <conditionalFormatting sqref="G484:H484 K484">
    <cfRule type="containsText" dxfId="0" priority="1278" operator="containsText" text="Closed">
      <formula>NOT(ISERROR(SEARCH(("Closed"),(G484))))</formula>
    </cfRule>
  </conditionalFormatting>
  <conditionalFormatting sqref="G484:H484 K484">
    <cfRule type="containsText" dxfId="3" priority="1279" operator="containsText" text="Monitor">
      <formula>NOT(ISERROR(SEARCH(("Monitor"),(G484))))</formula>
    </cfRule>
  </conditionalFormatting>
  <conditionalFormatting sqref="A483:AC484">
    <cfRule type="notContainsBlanks" dxfId="8" priority="1280">
      <formula>LEN(TRIM(A483))&gt;0</formula>
    </cfRule>
  </conditionalFormatting>
  <conditionalFormatting sqref="A484:K484">
    <cfRule type="expression" dxfId="7" priority="1281">
      <formula>if($G484="Closed",1,0)</formula>
    </cfRule>
  </conditionalFormatting>
  <conditionalFormatting sqref="G482:H482 K482">
    <cfRule type="containsText" dxfId="1" priority="1282" operator="containsText" text="Open">
      <formula>NOT(ISERROR(SEARCH(("Open"),(G482))))</formula>
    </cfRule>
  </conditionalFormatting>
  <conditionalFormatting sqref="G482:H482 K482">
    <cfRule type="containsText" dxfId="0" priority="1283" operator="containsText" text="Closed">
      <formula>NOT(ISERROR(SEARCH(("Closed"),(G482))))</formula>
    </cfRule>
  </conditionalFormatting>
  <conditionalFormatting sqref="G482:H482 K482">
    <cfRule type="containsText" dxfId="3" priority="1284" operator="containsText" text="Monitor">
      <formula>NOT(ISERROR(SEARCH(("Monitor"),(G482))))</formula>
    </cfRule>
  </conditionalFormatting>
  <conditionalFormatting sqref="A481:AC482">
    <cfRule type="notContainsBlanks" dxfId="8" priority="1285">
      <formula>LEN(TRIM(A481))&gt;0</formula>
    </cfRule>
  </conditionalFormatting>
  <conditionalFormatting sqref="A482:K482">
    <cfRule type="expression" dxfId="7" priority="1286">
      <formula>if($G482="Closed",1,0)</formula>
    </cfRule>
  </conditionalFormatting>
  <conditionalFormatting sqref="G480:H480 K480">
    <cfRule type="containsText" dxfId="1" priority="1287" operator="containsText" text="Open">
      <formula>NOT(ISERROR(SEARCH(("Open"),(G480))))</formula>
    </cfRule>
  </conditionalFormatting>
  <conditionalFormatting sqref="G480:H480 K480">
    <cfRule type="containsText" dxfId="0" priority="1288" operator="containsText" text="Closed">
      <formula>NOT(ISERROR(SEARCH(("Closed"),(G480))))</formula>
    </cfRule>
  </conditionalFormatting>
  <conditionalFormatting sqref="G480:H480 K480">
    <cfRule type="containsText" dxfId="3" priority="1289" operator="containsText" text="Monitor">
      <formula>NOT(ISERROR(SEARCH(("Monitor"),(G480))))</formula>
    </cfRule>
  </conditionalFormatting>
  <conditionalFormatting sqref="A479:AC480">
    <cfRule type="notContainsBlanks" dxfId="8" priority="1290">
      <formula>LEN(TRIM(A479))&gt;0</formula>
    </cfRule>
  </conditionalFormatting>
  <conditionalFormatting sqref="A480:K480">
    <cfRule type="expression" dxfId="7" priority="1291">
      <formula>if($G480="Closed",1,0)</formula>
    </cfRule>
  </conditionalFormatting>
  <conditionalFormatting sqref="G478:H478 K478">
    <cfRule type="containsText" dxfId="1" priority="1292" operator="containsText" text="Open">
      <formula>NOT(ISERROR(SEARCH(("Open"),(G478))))</formula>
    </cfRule>
  </conditionalFormatting>
  <conditionalFormatting sqref="G478:H478 K478">
    <cfRule type="containsText" dxfId="0" priority="1293" operator="containsText" text="Closed">
      <formula>NOT(ISERROR(SEARCH(("Closed"),(G478))))</formula>
    </cfRule>
  </conditionalFormatting>
  <conditionalFormatting sqref="G478:H478 K478">
    <cfRule type="containsText" dxfId="3" priority="1294" operator="containsText" text="Monitor">
      <formula>NOT(ISERROR(SEARCH(("Monitor"),(G478))))</formula>
    </cfRule>
  </conditionalFormatting>
  <conditionalFormatting sqref="A477:AC478">
    <cfRule type="notContainsBlanks" dxfId="8" priority="1295">
      <formula>LEN(TRIM(A477))&gt;0</formula>
    </cfRule>
  </conditionalFormatting>
  <conditionalFormatting sqref="A478:K478">
    <cfRule type="expression" dxfId="7" priority="1296">
      <formula>if($G478="Closed",1,0)</formula>
    </cfRule>
  </conditionalFormatting>
  <conditionalFormatting sqref="G476:H476 K476">
    <cfRule type="containsText" dxfId="1" priority="1297" operator="containsText" text="Open">
      <formula>NOT(ISERROR(SEARCH(("Open"),(G476))))</formula>
    </cfRule>
  </conditionalFormatting>
  <conditionalFormatting sqref="G476:H476 K476">
    <cfRule type="containsText" dxfId="0" priority="1298" operator="containsText" text="Closed">
      <formula>NOT(ISERROR(SEARCH(("Closed"),(G476))))</formula>
    </cfRule>
  </conditionalFormatting>
  <conditionalFormatting sqref="G476:H476 K476">
    <cfRule type="containsText" dxfId="3" priority="1299" operator="containsText" text="Monitor">
      <formula>NOT(ISERROR(SEARCH(("Monitor"),(G476))))</formula>
    </cfRule>
  </conditionalFormatting>
  <conditionalFormatting sqref="A475:AC476">
    <cfRule type="notContainsBlanks" dxfId="8" priority="1300">
      <formula>LEN(TRIM(A475))&gt;0</formula>
    </cfRule>
  </conditionalFormatting>
  <conditionalFormatting sqref="A476:K476">
    <cfRule type="expression" dxfId="7" priority="1301">
      <formula>if($G476="Closed",1,0)</formula>
    </cfRule>
  </conditionalFormatting>
  <conditionalFormatting sqref="G474:H474 K474">
    <cfRule type="containsText" dxfId="1" priority="1302" operator="containsText" text="Open">
      <formula>NOT(ISERROR(SEARCH(("Open"),(G474))))</formula>
    </cfRule>
  </conditionalFormatting>
  <conditionalFormatting sqref="G474:H474 K474">
    <cfRule type="containsText" dxfId="0" priority="1303" operator="containsText" text="Closed">
      <formula>NOT(ISERROR(SEARCH(("Closed"),(G474))))</formula>
    </cfRule>
  </conditionalFormatting>
  <conditionalFormatting sqref="G474:H474 K474">
    <cfRule type="containsText" dxfId="3" priority="1304" operator="containsText" text="Monitor">
      <formula>NOT(ISERROR(SEARCH(("Monitor"),(G474))))</formula>
    </cfRule>
  </conditionalFormatting>
  <conditionalFormatting sqref="A473:AC474">
    <cfRule type="notContainsBlanks" dxfId="8" priority="1305">
      <formula>LEN(TRIM(A473))&gt;0</formula>
    </cfRule>
  </conditionalFormatting>
  <conditionalFormatting sqref="A474:K474">
    <cfRule type="expression" dxfId="7" priority="1306">
      <formula>if($G474="Closed",1,0)</formula>
    </cfRule>
  </conditionalFormatting>
  <conditionalFormatting sqref="G472:H472 K472">
    <cfRule type="containsText" dxfId="1" priority="1307" operator="containsText" text="Open">
      <formula>NOT(ISERROR(SEARCH(("Open"),(G472))))</formula>
    </cfRule>
  </conditionalFormatting>
  <conditionalFormatting sqref="G472:H472 K472">
    <cfRule type="containsText" dxfId="0" priority="1308" operator="containsText" text="Closed">
      <formula>NOT(ISERROR(SEARCH(("Closed"),(G472))))</formula>
    </cfRule>
  </conditionalFormatting>
  <conditionalFormatting sqref="G472:H472 K472">
    <cfRule type="containsText" dxfId="3" priority="1309" operator="containsText" text="Monitor">
      <formula>NOT(ISERROR(SEARCH(("Monitor"),(G472))))</formula>
    </cfRule>
  </conditionalFormatting>
  <conditionalFormatting sqref="A471:AC472">
    <cfRule type="notContainsBlanks" dxfId="8" priority="1310">
      <formula>LEN(TRIM(A471))&gt;0</formula>
    </cfRule>
  </conditionalFormatting>
  <conditionalFormatting sqref="A472:K472">
    <cfRule type="expression" dxfId="7" priority="1311">
      <formula>if($G472="Closed",1,0)</formula>
    </cfRule>
  </conditionalFormatting>
  <conditionalFormatting sqref="G470:H470 K470">
    <cfRule type="containsText" dxfId="1" priority="1312" operator="containsText" text="Open">
      <formula>NOT(ISERROR(SEARCH(("Open"),(G470))))</formula>
    </cfRule>
  </conditionalFormatting>
  <conditionalFormatting sqref="G470:H470 K470">
    <cfRule type="containsText" dxfId="0" priority="1313" operator="containsText" text="Closed">
      <formula>NOT(ISERROR(SEARCH(("Closed"),(G470))))</formula>
    </cfRule>
  </conditionalFormatting>
  <conditionalFormatting sqref="G470:H470 K470">
    <cfRule type="containsText" dxfId="3" priority="1314" operator="containsText" text="Monitor">
      <formula>NOT(ISERROR(SEARCH(("Monitor"),(G470))))</formula>
    </cfRule>
  </conditionalFormatting>
  <conditionalFormatting sqref="A469:AC470">
    <cfRule type="notContainsBlanks" dxfId="8" priority="1315">
      <formula>LEN(TRIM(A469))&gt;0</formula>
    </cfRule>
  </conditionalFormatting>
  <conditionalFormatting sqref="A470:K470">
    <cfRule type="expression" dxfId="7" priority="1316">
      <formula>if($G470="Closed",1,0)</formula>
    </cfRule>
  </conditionalFormatting>
  <conditionalFormatting sqref="G468:H468 K468">
    <cfRule type="containsText" dxfId="1" priority="1317" operator="containsText" text="Open">
      <formula>NOT(ISERROR(SEARCH(("Open"),(G468))))</formula>
    </cfRule>
  </conditionalFormatting>
  <conditionalFormatting sqref="G468:H468 K468">
    <cfRule type="containsText" dxfId="0" priority="1318" operator="containsText" text="Closed">
      <formula>NOT(ISERROR(SEARCH(("Closed"),(G468))))</formula>
    </cfRule>
  </conditionalFormatting>
  <conditionalFormatting sqref="G468:H468 K468">
    <cfRule type="containsText" dxfId="3" priority="1319" operator="containsText" text="Monitor">
      <formula>NOT(ISERROR(SEARCH(("Monitor"),(G468))))</formula>
    </cfRule>
  </conditionalFormatting>
  <conditionalFormatting sqref="A467:AC468">
    <cfRule type="notContainsBlanks" dxfId="8" priority="1320">
      <formula>LEN(TRIM(A467))&gt;0</formula>
    </cfRule>
  </conditionalFormatting>
  <conditionalFormatting sqref="A468:K468">
    <cfRule type="expression" dxfId="7" priority="1321">
      <formula>if($G468="Closed",1,0)</formula>
    </cfRule>
  </conditionalFormatting>
  <conditionalFormatting sqref="G466:H466 K466">
    <cfRule type="containsText" dxfId="1" priority="1322" operator="containsText" text="Open">
      <formula>NOT(ISERROR(SEARCH(("Open"),(G466))))</formula>
    </cfRule>
  </conditionalFormatting>
  <conditionalFormatting sqref="G466:H466 K466">
    <cfRule type="containsText" dxfId="0" priority="1323" operator="containsText" text="Closed">
      <formula>NOT(ISERROR(SEARCH(("Closed"),(G466))))</formula>
    </cfRule>
  </conditionalFormatting>
  <conditionalFormatting sqref="G466:H466 K466">
    <cfRule type="containsText" dxfId="3" priority="1324" operator="containsText" text="Monitor">
      <formula>NOT(ISERROR(SEARCH(("Monitor"),(G466))))</formula>
    </cfRule>
  </conditionalFormatting>
  <conditionalFormatting sqref="A465:AC466">
    <cfRule type="notContainsBlanks" dxfId="8" priority="1325">
      <formula>LEN(TRIM(A465))&gt;0</formula>
    </cfRule>
  </conditionalFormatting>
  <conditionalFormatting sqref="A466:K466">
    <cfRule type="expression" dxfId="7" priority="1326">
      <formula>if($G466="Closed",1,0)</formula>
    </cfRule>
  </conditionalFormatting>
  <conditionalFormatting sqref="G464:H464 K464">
    <cfRule type="containsText" dxfId="1" priority="1327" operator="containsText" text="Open">
      <formula>NOT(ISERROR(SEARCH(("Open"),(G464))))</formula>
    </cfRule>
  </conditionalFormatting>
  <conditionalFormatting sqref="G464:H464 K464">
    <cfRule type="containsText" dxfId="0" priority="1328" operator="containsText" text="Closed">
      <formula>NOT(ISERROR(SEARCH(("Closed"),(G464))))</formula>
    </cfRule>
  </conditionalFormatting>
  <conditionalFormatting sqref="G464:H464 K464">
    <cfRule type="containsText" dxfId="3" priority="1329" operator="containsText" text="Monitor">
      <formula>NOT(ISERROR(SEARCH(("Monitor"),(G464))))</formula>
    </cfRule>
  </conditionalFormatting>
  <conditionalFormatting sqref="A463:AC464">
    <cfRule type="notContainsBlanks" dxfId="8" priority="1330">
      <formula>LEN(TRIM(A463))&gt;0</formula>
    </cfRule>
  </conditionalFormatting>
  <conditionalFormatting sqref="A464:K464">
    <cfRule type="expression" dxfId="7" priority="1331">
      <formula>if($G464="Closed",1,0)</formula>
    </cfRule>
  </conditionalFormatting>
  <conditionalFormatting sqref="G462:H462 K462">
    <cfRule type="containsText" dxfId="1" priority="1332" operator="containsText" text="Open">
      <formula>NOT(ISERROR(SEARCH(("Open"),(G462))))</formula>
    </cfRule>
  </conditionalFormatting>
  <conditionalFormatting sqref="G462:H462 K462">
    <cfRule type="containsText" dxfId="0" priority="1333" operator="containsText" text="Closed">
      <formula>NOT(ISERROR(SEARCH(("Closed"),(G462))))</formula>
    </cfRule>
  </conditionalFormatting>
  <conditionalFormatting sqref="G462:H462 K462">
    <cfRule type="containsText" dxfId="3" priority="1334" operator="containsText" text="Monitor">
      <formula>NOT(ISERROR(SEARCH(("Monitor"),(G462))))</formula>
    </cfRule>
  </conditionalFormatting>
  <conditionalFormatting sqref="A461:AC462">
    <cfRule type="notContainsBlanks" dxfId="8" priority="1335">
      <formula>LEN(TRIM(A461))&gt;0</formula>
    </cfRule>
  </conditionalFormatting>
  <conditionalFormatting sqref="A462:K462">
    <cfRule type="expression" dxfId="7" priority="1336">
      <formula>if($G462="Closed",1,0)</formula>
    </cfRule>
  </conditionalFormatting>
  <conditionalFormatting sqref="G460:H460 K460">
    <cfRule type="containsText" dxfId="1" priority="1337" operator="containsText" text="Open">
      <formula>NOT(ISERROR(SEARCH(("Open"),(G460))))</formula>
    </cfRule>
  </conditionalFormatting>
  <conditionalFormatting sqref="G460:H460 K460">
    <cfRule type="containsText" dxfId="0" priority="1338" operator="containsText" text="Closed">
      <formula>NOT(ISERROR(SEARCH(("Closed"),(G460))))</formula>
    </cfRule>
  </conditionalFormatting>
  <conditionalFormatting sqref="G460:H460 K460">
    <cfRule type="containsText" dxfId="3" priority="1339" operator="containsText" text="Monitor">
      <formula>NOT(ISERROR(SEARCH(("Monitor"),(G460))))</formula>
    </cfRule>
  </conditionalFormatting>
  <conditionalFormatting sqref="A459:AC460">
    <cfRule type="notContainsBlanks" dxfId="8" priority="1340">
      <formula>LEN(TRIM(A459))&gt;0</formula>
    </cfRule>
  </conditionalFormatting>
  <conditionalFormatting sqref="A460:K460">
    <cfRule type="expression" dxfId="7" priority="1341">
      <formula>if($G460="Closed",1,0)</formula>
    </cfRule>
  </conditionalFormatting>
  <conditionalFormatting sqref="G458:H458 K458">
    <cfRule type="containsText" dxfId="1" priority="1342" operator="containsText" text="Open">
      <formula>NOT(ISERROR(SEARCH(("Open"),(G458))))</formula>
    </cfRule>
  </conditionalFormatting>
  <conditionalFormatting sqref="G458:H458 K458">
    <cfRule type="containsText" dxfId="0" priority="1343" operator="containsText" text="Closed">
      <formula>NOT(ISERROR(SEARCH(("Closed"),(G458))))</formula>
    </cfRule>
  </conditionalFormatting>
  <conditionalFormatting sqref="G458:H458 K458">
    <cfRule type="containsText" dxfId="3" priority="1344" operator="containsText" text="Monitor">
      <formula>NOT(ISERROR(SEARCH(("Monitor"),(G458))))</formula>
    </cfRule>
  </conditionalFormatting>
  <conditionalFormatting sqref="A457:AC458">
    <cfRule type="notContainsBlanks" dxfId="8" priority="1345">
      <formula>LEN(TRIM(A457))&gt;0</formula>
    </cfRule>
  </conditionalFormatting>
  <conditionalFormatting sqref="A458:K458">
    <cfRule type="expression" dxfId="7" priority="1346">
      <formula>if($G458="Closed",1,0)</formula>
    </cfRule>
  </conditionalFormatting>
  <conditionalFormatting sqref="G456:H456 K456">
    <cfRule type="containsText" dxfId="1" priority="1347" operator="containsText" text="Open">
      <formula>NOT(ISERROR(SEARCH(("Open"),(G456))))</formula>
    </cfRule>
  </conditionalFormatting>
  <conditionalFormatting sqref="G456:H456 K456">
    <cfRule type="containsText" dxfId="0" priority="1348" operator="containsText" text="Closed">
      <formula>NOT(ISERROR(SEARCH(("Closed"),(G456))))</formula>
    </cfRule>
  </conditionalFormatting>
  <conditionalFormatting sqref="G456:H456 K456">
    <cfRule type="containsText" dxfId="3" priority="1349" operator="containsText" text="Monitor">
      <formula>NOT(ISERROR(SEARCH(("Monitor"),(G456))))</formula>
    </cfRule>
  </conditionalFormatting>
  <conditionalFormatting sqref="A455:AC456">
    <cfRule type="notContainsBlanks" dxfId="8" priority="1350">
      <formula>LEN(TRIM(A455))&gt;0</formula>
    </cfRule>
  </conditionalFormatting>
  <conditionalFormatting sqref="A456:K456">
    <cfRule type="expression" dxfId="7" priority="1351">
      <formula>if($G456="Closed",1,0)</formula>
    </cfRule>
  </conditionalFormatting>
  <conditionalFormatting sqref="G454:H454 K454">
    <cfRule type="containsText" dxfId="1" priority="1352" operator="containsText" text="Open">
      <formula>NOT(ISERROR(SEARCH(("Open"),(G454))))</formula>
    </cfRule>
  </conditionalFormatting>
  <conditionalFormatting sqref="G454:H454 K454">
    <cfRule type="containsText" dxfId="0" priority="1353" operator="containsText" text="Closed">
      <formula>NOT(ISERROR(SEARCH(("Closed"),(G454))))</formula>
    </cfRule>
  </conditionalFormatting>
  <conditionalFormatting sqref="G454:H454 K454">
    <cfRule type="containsText" dxfId="3" priority="1354" operator="containsText" text="Monitor">
      <formula>NOT(ISERROR(SEARCH(("Monitor"),(G454))))</formula>
    </cfRule>
  </conditionalFormatting>
  <conditionalFormatting sqref="A453:AC454">
    <cfRule type="notContainsBlanks" dxfId="8" priority="1355">
      <formula>LEN(TRIM(A453))&gt;0</formula>
    </cfRule>
  </conditionalFormatting>
  <conditionalFormatting sqref="A454:K454">
    <cfRule type="expression" dxfId="7" priority="1356">
      <formula>if($G454="Closed",1,0)</formula>
    </cfRule>
  </conditionalFormatting>
  <conditionalFormatting sqref="G452:H452 K452">
    <cfRule type="containsText" dxfId="1" priority="1357" operator="containsText" text="Open">
      <formula>NOT(ISERROR(SEARCH(("Open"),(G452))))</formula>
    </cfRule>
  </conditionalFormatting>
  <conditionalFormatting sqref="G452:H452 K452">
    <cfRule type="containsText" dxfId="0" priority="1358" operator="containsText" text="Closed">
      <formula>NOT(ISERROR(SEARCH(("Closed"),(G452))))</formula>
    </cfRule>
  </conditionalFormatting>
  <conditionalFormatting sqref="G452:H452 K452">
    <cfRule type="containsText" dxfId="3" priority="1359" operator="containsText" text="Monitor">
      <formula>NOT(ISERROR(SEARCH(("Monitor"),(G452))))</formula>
    </cfRule>
  </conditionalFormatting>
  <conditionalFormatting sqref="A451:AC452">
    <cfRule type="notContainsBlanks" dxfId="8" priority="1360">
      <formula>LEN(TRIM(A451))&gt;0</formula>
    </cfRule>
  </conditionalFormatting>
  <conditionalFormatting sqref="A452:K452">
    <cfRule type="expression" dxfId="7" priority="1361">
      <formula>if($G452="Closed",1,0)</formula>
    </cfRule>
  </conditionalFormatting>
  <conditionalFormatting sqref="G450:H450 K450">
    <cfRule type="containsText" dxfId="1" priority="1362" operator="containsText" text="Open">
      <formula>NOT(ISERROR(SEARCH(("Open"),(G450))))</formula>
    </cfRule>
  </conditionalFormatting>
  <conditionalFormatting sqref="G450:H450 K450">
    <cfRule type="containsText" dxfId="0" priority="1363" operator="containsText" text="Closed">
      <formula>NOT(ISERROR(SEARCH(("Closed"),(G450))))</formula>
    </cfRule>
  </conditionalFormatting>
  <conditionalFormatting sqref="G450:H450 K450">
    <cfRule type="containsText" dxfId="3" priority="1364" operator="containsText" text="Monitor">
      <formula>NOT(ISERROR(SEARCH(("Monitor"),(G450))))</formula>
    </cfRule>
  </conditionalFormatting>
  <conditionalFormatting sqref="A449:AC450">
    <cfRule type="notContainsBlanks" dxfId="8" priority="1365">
      <formula>LEN(TRIM(A449))&gt;0</formula>
    </cfRule>
  </conditionalFormatting>
  <conditionalFormatting sqref="A450:K450">
    <cfRule type="expression" dxfId="7" priority="1366">
      <formula>if($G450="Closed",1,0)</formula>
    </cfRule>
  </conditionalFormatting>
  <conditionalFormatting sqref="G448:H448 K448">
    <cfRule type="containsText" dxfId="1" priority="1367" operator="containsText" text="Open">
      <formula>NOT(ISERROR(SEARCH(("Open"),(G448))))</formula>
    </cfRule>
  </conditionalFormatting>
  <conditionalFormatting sqref="G448:H448 K448">
    <cfRule type="containsText" dxfId="0" priority="1368" operator="containsText" text="Closed">
      <formula>NOT(ISERROR(SEARCH(("Closed"),(G448))))</formula>
    </cfRule>
  </conditionalFormatting>
  <conditionalFormatting sqref="G448:H448 K448">
    <cfRule type="containsText" dxfId="3" priority="1369" operator="containsText" text="Monitor">
      <formula>NOT(ISERROR(SEARCH(("Monitor"),(G448))))</formula>
    </cfRule>
  </conditionalFormatting>
  <conditionalFormatting sqref="A447:AC448">
    <cfRule type="notContainsBlanks" dxfId="8" priority="1370">
      <formula>LEN(TRIM(A447))&gt;0</formula>
    </cfRule>
  </conditionalFormatting>
  <conditionalFormatting sqref="A448:K448">
    <cfRule type="expression" dxfId="7" priority="1371">
      <formula>if($G448="Closed",1,0)</formula>
    </cfRule>
  </conditionalFormatting>
  <conditionalFormatting sqref="G446:H446 K446">
    <cfRule type="containsText" dxfId="1" priority="1372" operator="containsText" text="Open">
      <formula>NOT(ISERROR(SEARCH(("Open"),(G446))))</formula>
    </cfRule>
  </conditionalFormatting>
  <conditionalFormatting sqref="G446:H446 K446">
    <cfRule type="containsText" dxfId="0" priority="1373" operator="containsText" text="Closed">
      <formula>NOT(ISERROR(SEARCH(("Closed"),(G446))))</formula>
    </cfRule>
  </conditionalFormatting>
  <conditionalFormatting sqref="G446:H446 K446">
    <cfRule type="containsText" dxfId="3" priority="1374" operator="containsText" text="Monitor">
      <formula>NOT(ISERROR(SEARCH(("Monitor"),(G446))))</formula>
    </cfRule>
  </conditionalFormatting>
  <conditionalFormatting sqref="A445:AC446">
    <cfRule type="notContainsBlanks" dxfId="8" priority="1375">
      <formula>LEN(TRIM(A445))&gt;0</formula>
    </cfRule>
  </conditionalFormatting>
  <conditionalFormatting sqref="A446:K446">
    <cfRule type="expression" dxfId="7" priority="1376">
      <formula>if($G446="Closed",1,0)</formula>
    </cfRule>
  </conditionalFormatting>
  <conditionalFormatting sqref="G444:H444 K444">
    <cfRule type="containsText" dxfId="1" priority="1377" operator="containsText" text="Open">
      <formula>NOT(ISERROR(SEARCH(("Open"),(G444))))</formula>
    </cfRule>
  </conditionalFormatting>
  <conditionalFormatting sqref="G444:H444 K444">
    <cfRule type="containsText" dxfId="0" priority="1378" operator="containsText" text="Closed">
      <formula>NOT(ISERROR(SEARCH(("Closed"),(G444))))</formula>
    </cfRule>
  </conditionalFormatting>
  <conditionalFormatting sqref="G444:H444 K444">
    <cfRule type="containsText" dxfId="3" priority="1379" operator="containsText" text="Monitor">
      <formula>NOT(ISERROR(SEARCH(("Monitor"),(G444))))</formula>
    </cfRule>
  </conditionalFormatting>
  <conditionalFormatting sqref="A443:AC444">
    <cfRule type="notContainsBlanks" dxfId="8" priority="1380">
      <formula>LEN(TRIM(A443))&gt;0</formula>
    </cfRule>
  </conditionalFormatting>
  <conditionalFormatting sqref="A444:K444">
    <cfRule type="expression" dxfId="7" priority="1381">
      <formula>if($G444="Closed",1,0)</formula>
    </cfRule>
  </conditionalFormatting>
  <conditionalFormatting sqref="G442:H442 K442">
    <cfRule type="containsText" dxfId="1" priority="1382" operator="containsText" text="Open">
      <formula>NOT(ISERROR(SEARCH(("Open"),(G442))))</formula>
    </cfRule>
  </conditionalFormatting>
  <conditionalFormatting sqref="G442:H442 K442">
    <cfRule type="containsText" dxfId="0" priority="1383" operator="containsText" text="Closed">
      <formula>NOT(ISERROR(SEARCH(("Closed"),(G442))))</formula>
    </cfRule>
  </conditionalFormatting>
  <conditionalFormatting sqref="G442:H442 K442">
    <cfRule type="containsText" dxfId="3" priority="1384" operator="containsText" text="Monitor">
      <formula>NOT(ISERROR(SEARCH(("Monitor"),(G442))))</formula>
    </cfRule>
  </conditionalFormatting>
  <conditionalFormatting sqref="A441:AC442">
    <cfRule type="notContainsBlanks" dxfId="8" priority="1385">
      <formula>LEN(TRIM(A441))&gt;0</formula>
    </cfRule>
  </conditionalFormatting>
  <conditionalFormatting sqref="A442:K442">
    <cfRule type="expression" dxfId="7" priority="1386">
      <formula>if($G442="Closed",1,0)</formula>
    </cfRule>
  </conditionalFormatting>
  <conditionalFormatting sqref="G440:H440 K440">
    <cfRule type="containsText" dxfId="1" priority="1387" operator="containsText" text="Open">
      <formula>NOT(ISERROR(SEARCH(("Open"),(G440))))</formula>
    </cfRule>
  </conditionalFormatting>
  <conditionalFormatting sqref="G440:H440 K440">
    <cfRule type="containsText" dxfId="0" priority="1388" operator="containsText" text="Closed">
      <formula>NOT(ISERROR(SEARCH(("Closed"),(G440))))</formula>
    </cfRule>
  </conditionalFormatting>
  <conditionalFormatting sqref="G440:H440 K440">
    <cfRule type="containsText" dxfId="3" priority="1389" operator="containsText" text="Monitor">
      <formula>NOT(ISERROR(SEARCH(("Monitor"),(G440))))</formula>
    </cfRule>
  </conditionalFormatting>
  <conditionalFormatting sqref="A439:AC440">
    <cfRule type="notContainsBlanks" dxfId="8" priority="1390">
      <formula>LEN(TRIM(A439))&gt;0</formula>
    </cfRule>
  </conditionalFormatting>
  <conditionalFormatting sqref="A440:K440">
    <cfRule type="expression" dxfId="7" priority="1391">
      <formula>if($G440="Closed",1,0)</formula>
    </cfRule>
  </conditionalFormatting>
  <conditionalFormatting sqref="G438:H438 K438">
    <cfRule type="containsText" dxfId="1" priority="1392" operator="containsText" text="Open">
      <formula>NOT(ISERROR(SEARCH(("Open"),(G438))))</formula>
    </cfRule>
  </conditionalFormatting>
  <conditionalFormatting sqref="G438:H438 K438">
    <cfRule type="containsText" dxfId="0" priority="1393" operator="containsText" text="Closed">
      <formula>NOT(ISERROR(SEARCH(("Closed"),(G438))))</formula>
    </cfRule>
  </conditionalFormatting>
  <conditionalFormatting sqref="G438:H438 K438">
    <cfRule type="containsText" dxfId="3" priority="1394" operator="containsText" text="Monitor">
      <formula>NOT(ISERROR(SEARCH(("Monitor"),(G438))))</formula>
    </cfRule>
  </conditionalFormatting>
  <conditionalFormatting sqref="A437:AC438">
    <cfRule type="notContainsBlanks" dxfId="8" priority="1395">
      <formula>LEN(TRIM(A437))&gt;0</formula>
    </cfRule>
  </conditionalFormatting>
  <conditionalFormatting sqref="A438:K438">
    <cfRule type="expression" dxfId="7" priority="1396">
      <formula>if($G438="Closed",1,0)</formula>
    </cfRule>
  </conditionalFormatting>
  <conditionalFormatting sqref="G436:H436 K436">
    <cfRule type="containsText" dxfId="1" priority="1397" operator="containsText" text="Open">
      <formula>NOT(ISERROR(SEARCH(("Open"),(G436))))</formula>
    </cfRule>
  </conditionalFormatting>
  <conditionalFormatting sqref="G436:H436 K436">
    <cfRule type="containsText" dxfId="0" priority="1398" operator="containsText" text="Closed">
      <formula>NOT(ISERROR(SEARCH(("Closed"),(G436))))</formula>
    </cfRule>
  </conditionalFormatting>
  <conditionalFormatting sqref="G436:H436 K436">
    <cfRule type="containsText" dxfId="3" priority="1399" operator="containsText" text="Monitor">
      <formula>NOT(ISERROR(SEARCH(("Monitor"),(G436))))</formula>
    </cfRule>
  </conditionalFormatting>
  <conditionalFormatting sqref="A435:AC436">
    <cfRule type="notContainsBlanks" dxfId="8" priority="1400">
      <formula>LEN(TRIM(A435))&gt;0</formula>
    </cfRule>
  </conditionalFormatting>
  <conditionalFormatting sqref="A436:K436">
    <cfRule type="expression" dxfId="7" priority="1401">
      <formula>if($G436="Closed",1,0)</formula>
    </cfRule>
  </conditionalFormatting>
  <conditionalFormatting sqref="G434:H434 K434">
    <cfRule type="containsText" dxfId="1" priority="1402" operator="containsText" text="Open">
      <formula>NOT(ISERROR(SEARCH(("Open"),(G434))))</formula>
    </cfRule>
  </conditionalFormatting>
  <conditionalFormatting sqref="G434:H434 K434">
    <cfRule type="containsText" dxfId="0" priority="1403" operator="containsText" text="Closed">
      <formula>NOT(ISERROR(SEARCH(("Closed"),(G434))))</formula>
    </cfRule>
  </conditionalFormatting>
  <conditionalFormatting sqref="G434:H434 K434">
    <cfRule type="containsText" dxfId="3" priority="1404" operator="containsText" text="Monitor">
      <formula>NOT(ISERROR(SEARCH(("Monitor"),(G434))))</formula>
    </cfRule>
  </conditionalFormatting>
  <conditionalFormatting sqref="A433:AC434">
    <cfRule type="notContainsBlanks" dxfId="8" priority="1405">
      <formula>LEN(TRIM(A433))&gt;0</formula>
    </cfRule>
  </conditionalFormatting>
  <conditionalFormatting sqref="A434:K434">
    <cfRule type="expression" dxfId="7" priority="1406">
      <formula>if($G434="Closed",1,0)</formula>
    </cfRule>
  </conditionalFormatting>
  <conditionalFormatting sqref="G432:H432 K432">
    <cfRule type="containsText" dxfId="1" priority="1407" operator="containsText" text="Open">
      <formula>NOT(ISERROR(SEARCH(("Open"),(G432))))</formula>
    </cfRule>
  </conditionalFormatting>
  <conditionalFormatting sqref="G432:H432 K432">
    <cfRule type="containsText" dxfId="0" priority="1408" operator="containsText" text="Closed">
      <formula>NOT(ISERROR(SEARCH(("Closed"),(G432))))</formula>
    </cfRule>
  </conditionalFormatting>
  <conditionalFormatting sqref="G432:H432 K432">
    <cfRule type="containsText" dxfId="3" priority="1409" operator="containsText" text="Monitor">
      <formula>NOT(ISERROR(SEARCH(("Monitor"),(G432))))</formula>
    </cfRule>
  </conditionalFormatting>
  <conditionalFormatting sqref="A431:AC432">
    <cfRule type="notContainsBlanks" dxfId="8" priority="1410">
      <formula>LEN(TRIM(A431))&gt;0</formula>
    </cfRule>
  </conditionalFormatting>
  <conditionalFormatting sqref="A432:K432">
    <cfRule type="expression" dxfId="7" priority="1411">
      <formula>if($G432="Closed",1,0)</formula>
    </cfRule>
  </conditionalFormatting>
  <conditionalFormatting sqref="G430:H430 K430">
    <cfRule type="containsText" dxfId="1" priority="1412" operator="containsText" text="Open">
      <formula>NOT(ISERROR(SEARCH(("Open"),(G430))))</formula>
    </cfRule>
  </conditionalFormatting>
  <conditionalFormatting sqref="G430:H430 K430">
    <cfRule type="containsText" dxfId="0" priority="1413" operator="containsText" text="Closed">
      <formula>NOT(ISERROR(SEARCH(("Closed"),(G430))))</formula>
    </cfRule>
  </conditionalFormatting>
  <conditionalFormatting sqref="G430:H430 K430">
    <cfRule type="containsText" dxfId="3" priority="1414" operator="containsText" text="Monitor">
      <formula>NOT(ISERROR(SEARCH(("Monitor"),(G430))))</formula>
    </cfRule>
  </conditionalFormatting>
  <conditionalFormatting sqref="A429:AC430">
    <cfRule type="notContainsBlanks" dxfId="8" priority="1415">
      <formula>LEN(TRIM(A429))&gt;0</formula>
    </cfRule>
  </conditionalFormatting>
  <conditionalFormatting sqref="A430:K430">
    <cfRule type="expression" dxfId="7" priority="1416">
      <formula>if($G430="Closed",1,0)</formula>
    </cfRule>
  </conditionalFormatting>
  <conditionalFormatting sqref="G428:H428 K428">
    <cfRule type="containsText" dxfId="1" priority="1417" operator="containsText" text="Open">
      <formula>NOT(ISERROR(SEARCH(("Open"),(G428))))</formula>
    </cfRule>
  </conditionalFormatting>
  <conditionalFormatting sqref="G428:H428 K428">
    <cfRule type="containsText" dxfId="0" priority="1418" operator="containsText" text="Closed">
      <formula>NOT(ISERROR(SEARCH(("Closed"),(G428))))</formula>
    </cfRule>
  </conditionalFormatting>
  <conditionalFormatting sqref="G428:H428 K428">
    <cfRule type="containsText" dxfId="3" priority="1419" operator="containsText" text="Monitor">
      <formula>NOT(ISERROR(SEARCH(("Monitor"),(G428))))</formula>
    </cfRule>
  </conditionalFormatting>
  <conditionalFormatting sqref="A427:AC428">
    <cfRule type="notContainsBlanks" dxfId="8" priority="1420">
      <formula>LEN(TRIM(A427))&gt;0</formula>
    </cfRule>
  </conditionalFormatting>
  <conditionalFormatting sqref="A428:K428">
    <cfRule type="expression" dxfId="7" priority="1421">
      <formula>if($G428="Closed",1,0)</formula>
    </cfRule>
  </conditionalFormatting>
  <conditionalFormatting sqref="G426:H426 K426">
    <cfRule type="containsText" dxfId="1" priority="1422" operator="containsText" text="Open">
      <formula>NOT(ISERROR(SEARCH(("Open"),(G426))))</formula>
    </cfRule>
  </conditionalFormatting>
  <conditionalFormatting sqref="G426:H426 K426">
    <cfRule type="containsText" dxfId="0" priority="1423" operator="containsText" text="Closed">
      <formula>NOT(ISERROR(SEARCH(("Closed"),(G426))))</formula>
    </cfRule>
  </conditionalFormatting>
  <conditionalFormatting sqref="G426:H426 K426">
    <cfRule type="containsText" dxfId="3" priority="1424" operator="containsText" text="Monitor">
      <formula>NOT(ISERROR(SEARCH(("Monitor"),(G426))))</formula>
    </cfRule>
  </conditionalFormatting>
  <conditionalFormatting sqref="A425:AC426">
    <cfRule type="notContainsBlanks" dxfId="8" priority="1425">
      <formula>LEN(TRIM(A425))&gt;0</formula>
    </cfRule>
  </conditionalFormatting>
  <conditionalFormatting sqref="A426:K426">
    <cfRule type="expression" dxfId="7" priority="1426">
      <formula>if($G426="Closed",1,0)</formula>
    </cfRule>
  </conditionalFormatting>
  <conditionalFormatting sqref="G424:H424 K424">
    <cfRule type="containsText" dxfId="1" priority="1427" operator="containsText" text="Open">
      <formula>NOT(ISERROR(SEARCH(("Open"),(G424))))</formula>
    </cfRule>
  </conditionalFormatting>
  <conditionalFormatting sqref="G424:H424 K424">
    <cfRule type="containsText" dxfId="0" priority="1428" operator="containsText" text="Closed">
      <formula>NOT(ISERROR(SEARCH(("Closed"),(G424))))</formula>
    </cfRule>
  </conditionalFormatting>
  <conditionalFormatting sqref="G424:H424 K424">
    <cfRule type="containsText" dxfId="3" priority="1429" operator="containsText" text="Monitor">
      <formula>NOT(ISERROR(SEARCH(("Monitor"),(G424))))</formula>
    </cfRule>
  </conditionalFormatting>
  <conditionalFormatting sqref="A423:AC424">
    <cfRule type="notContainsBlanks" dxfId="8" priority="1430">
      <formula>LEN(TRIM(A423))&gt;0</formula>
    </cfRule>
  </conditionalFormatting>
  <conditionalFormatting sqref="A424:K424">
    <cfRule type="expression" dxfId="7" priority="1431">
      <formula>if($G424="Closed",1,0)</formula>
    </cfRule>
  </conditionalFormatting>
  <conditionalFormatting sqref="G422:H422 K422">
    <cfRule type="containsText" dxfId="1" priority="1432" operator="containsText" text="Open">
      <formula>NOT(ISERROR(SEARCH(("Open"),(G422))))</formula>
    </cfRule>
  </conditionalFormatting>
  <conditionalFormatting sqref="G422:H422 K422">
    <cfRule type="containsText" dxfId="0" priority="1433" operator="containsText" text="Closed">
      <formula>NOT(ISERROR(SEARCH(("Closed"),(G422))))</formula>
    </cfRule>
  </conditionalFormatting>
  <conditionalFormatting sqref="G422:H422 K422">
    <cfRule type="containsText" dxfId="3" priority="1434" operator="containsText" text="Monitor">
      <formula>NOT(ISERROR(SEARCH(("Monitor"),(G422))))</formula>
    </cfRule>
  </conditionalFormatting>
  <conditionalFormatting sqref="A421:AC422">
    <cfRule type="notContainsBlanks" dxfId="8" priority="1435">
      <formula>LEN(TRIM(A421))&gt;0</formula>
    </cfRule>
  </conditionalFormatting>
  <conditionalFormatting sqref="A422:K422">
    <cfRule type="expression" dxfId="7" priority="1436">
      <formula>if($G422="Closed",1,0)</formula>
    </cfRule>
  </conditionalFormatting>
  <conditionalFormatting sqref="G420:H420 K420">
    <cfRule type="containsText" dxfId="1" priority="1437" operator="containsText" text="Open">
      <formula>NOT(ISERROR(SEARCH(("Open"),(G420))))</formula>
    </cfRule>
  </conditionalFormatting>
  <conditionalFormatting sqref="G420:H420 K420">
    <cfRule type="containsText" dxfId="0" priority="1438" operator="containsText" text="Closed">
      <formula>NOT(ISERROR(SEARCH(("Closed"),(G420))))</formula>
    </cfRule>
  </conditionalFormatting>
  <conditionalFormatting sqref="G420:H420 K420">
    <cfRule type="containsText" dxfId="3" priority="1439" operator="containsText" text="Monitor">
      <formula>NOT(ISERROR(SEARCH(("Monitor"),(G420))))</formula>
    </cfRule>
  </conditionalFormatting>
  <conditionalFormatting sqref="A419:AC420">
    <cfRule type="notContainsBlanks" dxfId="8" priority="1440">
      <formula>LEN(TRIM(A419))&gt;0</formula>
    </cfRule>
  </conditionalFormatting>
  <conditionalFormatting sqref="A420:K420">
    <cfRule type="expression" dxfId="7" priority="1441">
      <formula>if($G420="Closed",1,0)</formula>
    </cfRule>
  </conditionalFormatting>
  <conditionalFormatting sqref="G418:H418 K418">
    <cfRule type="containsText" dxfId="1" priority="1442" operator="containsText" text="Open">
      <formula>NOT(ISERROR(SEARCH(("Open"),(G418))))</formula>
    </cfRule>
  </conditionalFormatting>
  <conditionalFormatting sqref="G418:H418 K418">
    <cfRule type="containsText" dxfId="0" priority="1443" operator="containsText" text="Closed">
      <formula>NOT(ISERROR(SEARCH(("Closed"),(G418))))</formula>
    </cfRule>
  </conditionalFormatting>
  <conditionalFormatting sqref="G418:H418 K418">
    <cfRule type="containsText" dxfId="3" priority="1444" operator="containsText" text="Monitor">
      <formula>NOT(ISERROR(SEARCH(("Monitor"),(G418))))</formula>
    </cfRule>
  </conditionalFormatting>
  <conditionalFormatting sqref="A417:AC418">
    <cfRule type="notContainsBlanks" dxfId="8" priority="1445">
      <formula>LEN(TRIM(A417))&gt;0</formula>
    </cfRule>
  </conditionalFormatting>
  <conditionalFormatting sqref="A418:K418">
    <cfRule type="expression" dxfId="7" priority="1446">
      <formula>if($G418="Closed",1,0)</formula>
    </cfRule>
  </conditionalFormatting>
  <conditionalFormatting sqref="G416:H416 K416">
    <cfRule type="containsText" dxfId="1" priority="1447" operator="containsText" text="Open">
      <formula>NOT(ISERROR(SEARCH(("Open"),(G416))))</formula>
    </cfRule>
  </conditionalFormatting>
  <conditionalFormatting sqref="G416:H416 K416">
    <cfRule type="containsText" dxfId="0" priority="1448" operator="containsText" text="Closed">
      <formula>NOT(ISERROR(SEARCH(("Closed"),(G416))))</formula>
    </cfRule>
  </conditionalFormatting>
  <conditionalFormatting sqref="G416:H416 K416">
    <cfRule type="containsText" dxfId="3" priority="1449" operator="containsText" text="Monitor">
      <formula>NOT(ISERROR(SEARCH(("Monitor"),(G416))))</formula>
    </cfRule>
  </conditionalFormatting>
  <conditionalFormatting sqref="A415:AC416">
    <cfRule type="notContainsBlanks" dxfId="8" priority="1450">
      <formula>LEN(TRIM(A415))&gt;0</formula>
    </cfRule>
  </conditionalFormatting>
  <conditionalFormatting sqref="A416:K416">
    <cfRule type="expression" dxfId="7" priority="1451">
      <formula>if($G416="Closed",1,0)</formula>
    </cfRule>
  </conditionalFormatting>
  <conditionalFormatting sqref="G414:H414 K414">
    <cfRule type="containsText" dxfId="1" priority="1452" operator="containsText" text="Open">
      <formula>NOT(ISERROR(SEARCH(("Open"),(G414))))</formula>
    </cfRule>
  </conditionalFormatting>
  <conditionalFormatting sqref="G414:H414 K414">
    <cfRule type="containsText" dxfId="0" priority="1453" operator="containsText" text="Closed">
      <formula>NOT(ISERROR(SEARCH(("Closed"),(G414))))</formula>
    </cfRule>
  </conditionalFormatting>
  <conditionalFormatting sqref="G414:H414 K414">
    <cfRule type="containsText" dxfId="3" priority="1454" operator="containsText" text="Monitor">
      <formula>NOT(ISERROR(SEARCH(("Monitor"),(G414))))</formula>
    </cfRule>
  </conditionalFormatting>
  <conditionalFormatting sqref="A413:AC414">
    <cfRule type="notContainsBlanks" dxfId="8" priority="1455">
      <formula>LEN(TRIM(A413))&gt;0</formula>
    </cfRule>
  </conditionalFormatting>
  <conditionalFormatting sqref="A414:K414">
    <cfRule type="expression" dxfId="7" priority="1456">
      <formula>if($G414="Closed",1,0)</formula>
    </cfRule>
  </conditionalFormatting>
  <conditionalFormatting sqref="G412:H412 K412">
    <cfRule type="containsText" dxfId="1" priority="1457" operator="containsText" text="Open">
      <formula>NOT(ISERROR(SEARCH(("Open"),(G412))))</formula>
    </cfRule>
  </conditionalFormatting>
  <conditionalFormatting sqref="G412:H412 K412">
    <cfRule type="containsText" dxfId="0" priority="1458" operator="containsText" text="Closed">
      <formula>NOT(ISERROR(SEARCH(("Closed"),(G412))))</formula>
    </cfRule>
  </conditionalFormatting>
  <conditionalFormatting sqref="G412:H412 K412">
    <cfRule type="containsText" dxfId="3" priority="1459" operator="containsText" text="Monitor">
      <formula>NOT(ISERROR(SEARCH(("Monitor"),(G412))))</formula>
    </cfRule>
  </conditionalFormatting>
  <conditionalFormatting sqref="A411:AC412">
    <cfRule type="notContainsBlanks" dxfId="8" priority="1460">
      <formula>LEN(TRIM(A411))&gt;0</formula>
    </cfRule>
  </conditionalFormatting>
  <conditionalFormatting sqref="A412:K412">
    <cfRule type="expression" dxfId="7" priority="1461">
      <formula>if($G412="Closed",1,0)</formula>
    </cfRule>
  </conditionalFormatting>
  <conditionalFormatting sqref="G410:H410 K410">
    <cfRule type="containsText" dxfId="1" priority="1462" operator="containsText" text="Open">
      <formula>NOT(ISERROR(SEARCH(("Open"),(G410))))</formula>
    </cfRule>
  </conditionalFormatting>
  <conditionalFormatting sqref="G410:H410 K410">
    <cfRule type="containsText" dxfId="0" priority="1463" operator="containsText" text="Closed">
      <formula>NOT(ISERROR(SEARCH(("Closed"),(G410))))</formula>
    </cfRule>
  </conditionalFormatting>
  <conditionalFormatting sqref="G410:H410 K410">
    <cfRule type="containsText" dxfId="3" priority="1464" operator="containsText" text="Monitor">
      <formula>NOT(ISERROR(SEARCH(("Monitor"),(G410))))</formula>
    </cfRule>
  </conditionalFormatting>
  <conditionalFormatting sqref="A409:AC410">
    <cfRule type="notContainsBlanks" dxfId="8" priority="1465">
      <formula>LEN(TRIM(A409))&gt;0</formula>
    </cfRule>
  </conditionalFormatting>
  <conditionalFormatting sqref="A410:K410">
    <cfRule type="expression" dxfId="7" priority="1466">
      <formula>if($G410="Closed",1,0)</formula>
    </cfRule>
  </conditionalFormatting>
  <conditionalFormatting sqref="G408:H408 K408">
    <cfRule type="containsText" dxfId="1" priority="1467" operator="containsText" text="Open">
      <formula>NOT(ISERROR(SEARCH(("Open"),(G408))))</formula>
    </cfRule>
  </conditionalFormatting>
  <conditionalFormatting sqref="G408:H408 K408">
    <cfRule type="containsText" dxfId="0" priority="1468" operator="containsText" text="Closed">
      <formula>NOT(ISERROR(SEARCH(("Closed"),(G408))))</formula>
    </cfRule>
  </conditionalFormatting>
  <conditionalFormatting sqref="G408:H408 K408">
    <cfRule type="containsText" dxfId="3" priority="1469" operator="containsText" text="Monitor">
      <formula>NOT(ISERROR(SEARCH(("Monitor"),(G408))))</formula>
    </cfRule>
  </conditionalFormatting>
  <conditionalFormatting sqref="A407:AC408">
    <cfRule type="notContainsBlanks" dxfId="8" priority="1470">
      <formula>LEN(TRIM(A407))&gt;0</formula>
    </cfRule>
  </conditionalFormatting>
  <conditionalFormatting sqref="A408:K408">
    <cfRule type="expression" dxfId="7" priority="1471">
      <formula>if($G408="Closed",1,0)</formula>
    </cfRule>
  </conditionalFormatting>
  <conditionalFormatting sqref="G406:H406 K406">
    <cfRule type="containsText" dxfId="1" priority="1472" operator="containsText" text="Open">
      <formula>NOT(ISERROR(SEARCH(("Open"),(G406))))</formula>
    </cfRule>
  </conditionalFormatting>
  <conditionalFormatting sqref="G406:H406 K406">
    <cfRule type="containsText" dxfId="0" priority="1473" operator="containsText" text="Closed">
      <formula>NOT(ISERROR(SEARCH(("Closed"),(G406))))</formula>
    </cfRule>
  </conditionalFormatting>
  <conditionalFormatting sqref="G406:H406 K406">
    <cfRule type="containsText" dxfId="3" priority="1474" operator="containsText" text="Monitor">
      <formula>NOT(ISERROR(SEARCH(("Monitor"),(G406))))</formula>
    </cfRule>
  </conditionalFormatting>
  <conditionalFormatting sqref="A405:AC406">
    <cfRule type="notContainsBlanks" dxfId="8" priority="1475">
      <formula>LEN(TRIM(A405))&gt;0</formula>
    </cfRule>
  </conditionalFormatting>
  <conditionalFormatting sqref="A406:K406">
    <cfRule type="expression" dxfId="7" priority="1476">
      <formula>if($G406="Closed",1,0)</formula>
    </cfRule>
  </conditionalFormatting>
  <conditionalFormatting sqref="G404:H404 K404">
    <cfRule type="containsText" dxfId="1" priority="1477" operator="containsText" text="Open">
      <formula>NOT(ISERROR(SEARCH(("Open"),(G404))))</formula>
    </cfRule>
  </conditionalFormatting>
  <conditionalFormatting sqref="G404:H404 K404">
    <cfRule type="containsText" dxfId="0" priority="1478" operator="containsText" text="Closed">
      <formula>NOT(ISERROR(SEARCH(("Closed"),(G404))))</formula>
    </cfRule>
  </conditionalFormatting>
  <conditionalFormatting sqref="G404:H404 K404">
    <cfRule type="containsText" dxfId="3" priority="1479" operator="containsText" text="Monitor">
      <formula>NOT(ISERROR(SEARCH(("Monitor"),(G404))))</formula>
    </cfRule>
  </conditionalFormatting>
  <conditionalFormatting sqref="A403:AC404">
    <cfRule type="notContainsBlanks" dxfId="8" priority="1480">
      <formula>LEN(TRIM(A403))&gt;0</formula>
    </cfRule>
  </conditionalFormatting>
  <conditionalFormatting sqref="A404:K404">
    <cfRule type="expression" dxfId="7" priority="1481">
      <formula>if($G404="Closed",1,0)</formula>
    </cfRule>
  </conditionalFormatting>
  <conditionalFormatting sqref="G402:H402 K402">
    <cfRule type="containsText" dxfId="1" priority="1482" operator="containsText" text="Open">
      <formula>NOT(ISERROR(SEARCH(("Open"),(G402))))</formula>
    </cfRule>
  </conditionalFormatting>
  <conditionalFormatting sqref="G402:H402 K402">
    <cfRule type="containsText" dxfId="0" priority="1483" operator="containsText" text="Closed">
      <formula>NOT(ISERROR(SEARCH(("Closed"),(G402))))</formula>
    </cfRule>
  </conditionalFormatting>
  <conditionalFormatting sqref="G402:H402 K402">
    <cfRule type="containsText" dxfId="3" priority="1484" operator="containsText" text="Monitor">
      <formula>NOT(ISERROR(SEARCH(("Monitor"),(G402))))</formula>
    </cfRule>
  </conditionalFormatting>
  <conditionalFormatting sqref="A401:AC402">
    <cfRule type="notContainsBlanks" dxfId="8" priority="1485">
      <formula>LEN(TRIM(A401))&gt;0</formula>
    </cfRule>
  </conditionalFormatting>
  <conditionalFormatting sqref="A402:K402">
    <cfRule type="expression" dxfId="7" priority="1486">
      <formula>if($G402="Closed",1,0)</formula>
    </cfRule>
  </conditionalFormatting>
  <conditionalFormatting sqref="G400:H400 K400">
    <cfRule type="containsText" dxfId="1" priority="1487" operator="containsText" text="Open">
      <formula>NOT(ISERROR(SEARCH(("Open"),(G400))))</formula>
    </cfRule>
  </conditionalFormatting>
  <conditionalFormatting sqref="G400:H400 K400">
    <cfRule type="containsText" dxfId="0" priority="1488" operator="containsText" text="Closed">
      <formula>NOT(ISERROR(SEARCH(("Closed"),(G400))))</formula>
    </cfRule>
  </conditionalFormatting>
  <conditionalFormatting sqref="G400:H400 K400">
    <cfRule type="containsText" dxfId="3" priority="1489" operator="containsText" text="Monitor">
      <formula>NOT(ISERROR(SEARCH(("Monitor"),(G400))))</formula>
    </cfRule>
  </conditionalFormatting>
  <conditionalFormatting sqref="A399:AC400">
    <cfRule type="notContainsBlanks" dxfId="8" priority="1490">
      <formula>LEN(TRIM(A399))&gt;0</formula>
    </cfRule>
  </conditionalFormatting>
  <conditionalFormatting sqref="A400:K400">
    <cfRule type="expression" dxfId="7" priority="1491">
      <formula>if($G400="Closed",1,0)</formula>
    </cfRule>
  </conditionalFormatting>
  <conditionalFormatting sqref="G398:H398 K398">
    <cfRule type="containsText" dxfId="1" priority="1492" operator="containsText" text="Open">
      <formula>NOT(ISERROR(SEARCH(("Open"),(G398))))</formula>
    </cfRule>
  </conditionalFormatting>
  <conditionalFormatting sqref="G398:H398 K398">
    <cfRule type="containsText" dxfId="0" priority="1493" operator="containsText" text="Closed">
      <formula>NOT(ISERROR(SEARCH(("Closed"),(G398))))</formula>
    </cfRule>
  </conditionalFormatting>
  <conditionalFormatting sqref="G398:H398 K398">
    <cfRule type="containsText" dxfId="3" priority="1494" operator="containsText" text="Monitor">
      <formula>NOT(ISERROR(SEARCH(("Monitor"),(G398))))</formula>
    </cfRule>
  </conditionalFormatting>
  <conditionalFormatting sqref="A397:AC398">
    <cfRule type="notContainsBlanks" dxfId="8" priority="1495">
      <formula>LEN(TRIM(A397))&gt;0</formula>
    </cfRule>
  </conditionalFormatting>
  <conditionalFormatting sqref="A398:K398">
    <cfRule type="expression" dxfId="7" priority="1496">
      <formula>if($G398="Closed",1,0)</formula>
    </cfRule>
  </conditionalFormatting>
  <conditionalFormatting sqref="G396:H396 K396">
    <cfRule type="containsText" dxfId="1" priority="1497" operator="containsText" text="Open">
      <formula>NOT(ISERROR(SEARCH(("Open"),(G396))))</formula>
    </cfRule>
  </conditionalFormatting>
  <conditionalFormatting sqref="G396:H396 K396">
    <cfRule type="containsText" dxfId="0" priority="1498" operator="containsText" text="Closed">
      <formula>NOT(ISERROR(SEARCH(("Closed"),(G396))))</formula>
    </cfRule>
  </conditionalFormatting>
  <conditionalFormatting sqref="G396:H396 K396">
    <cfRule type="containsText" dxfId="3" priority="1499" operator="containsText" text="Monitor">
      <formula>NOT(ISERROR(SEARCH(("Monitor"),(G396))))</formula>
    </cfRule>
  </conditionalFormatting>
  <conditionalFormatting sqref="A395:AC396">
    <cfRule type="notContainsBlanks" dxfId="8" priority="1500">
      <formula>LEN(TRIM(A395))&gt;0</formula>
    </cfRule>
  </conditionalFormatting>
  <conditionalFormatting sqref="A396:K396">
    <cfRule type="expression" dxfId="7" priority="1501">
      <formula>if($G396="Closed",1,0)</formula>
    </cfRule>
  </conditionalFormatting>
  <conditionalFormatting sqref="G394:H394 K394">
    <cfRule type="containsText" dxfId="1" priority="1502" operator="containsText" text="Open">
      <formula>NOT(ISERROR(SEARCH(("Open"),(G394))))</formula>
    </cfRule>
  </conditionalFormatting>
  <conditionalFormatting sqref="G394:H394 K394">
    <cfRule type="containsText" dxfId="0" priority="1503" operator="containsText" text="Closed">
      <formula>NOT(ISERROR(SEARCH(("Closed"),(G394))))</formula>
    </cfRule>
  </conditionalFormatting>
  <conditionalFormatting sqref="G394:H394 K394">
    <cfRule type="containsText" dxfId="3" priority="1504" operator="containsText" text="Monitor">
      <formula>NOT(ISERROR(SEARCH(("Monitor"),(G394))))</formula>
    </cfRule>
  </conditionalFormatting>
  <conditionalFormatting sqref="A393:AC394">
    <cfRule type="notContainsBlanks" dxfId="8" priority="1505">
      <formula>LEN(TRIM(A393))&gt;0</formula>
    </cfRule>
  </conditionalFormatting>
  <conditionalFormatting sqref="A394:K394">
    <cfRule type="expression" dxfId="7" priority="1506">
      <formula>if($G394="Closed",1,0)</formula>
    </cfRule>
  </conditionalFormatting>
  <conditionalFormatting sqref="G392:H392 K392">
    <cfRule type="containsText" dxfId="1" priority="1507" operator="containsText" text="Open">
      <formula>NOT(ISERROR(SEARCH(("Open"),(G392))))</formula>
    </cfRule>
  </conditionalFormatting>
  <conditionalFormatting sqref="G392:H392 K392">
    <cfRule type="containsText" dxfId="0" priority="1508" operator="containsText" text="Closed">
      <formula>NOT(ISERROR(SEARCH(("Closed"),(G392))))</formula>
    </cfRule>
  </conditionalFormatting>
  <conditionalFormatting sqref="G392:H392 K392">
    <cfRule type="containsText" dxfId="3" priority="1509" operator="containsText" text="Monitor">
      <formula>NOT(ISERROR(SEARCH(("Monitor"),(G392))))</formula>
    </cfRule>
  </conditionalFormatting>
  <conditionalFormatting sqref="A391:AC392">
    <cfRule type="notContainsBlanks" dxfId="8" priority="1510">
      <formula>LEN(TRIM(A391))&gt;0</formula>
    </cfRule>
  </conditionalFormatting>
  <conditionalFormatting sqref="A392:K392">
    <cfRule type="expression" dxfId="7" priority="1511">
      <formula>if($G392="Closed",1,0)</formula>
    </cfRule>
  </conditionalFormatting>
  <conditionalFormatting sqref="G390:H390 K390">
    <cfRule type="containsText" dxfId="1" priority="1512" operator="containsText" text="Open">
      <formula>NOT(ISERROR(SEARCH(("Open"),(G390))))</formula>
    </cfRule>
  </conditionalFormatting>
  <conditionalFormatting sqref="G390:H390 K390">
    <cfRule type="containsText" dxfId="0" priority="1513" operator="containsText" text="Closed">
      <formula>NOT(ISERROR(SEARCH(("Closed"),(G390))))</formula>
    </cfRule>
  </conditionalFormatting>
  <conditionalFormatting sqref="G390:H390 K390">
    <cfRule type="containsText" dxfId="3" priority="1514" operator="containsText" text="Monitor">
      <formula>NOT(ISERROR(SEARCH(("Monitor"),(G390))))</formula>
    </cfRule>
  </conditionalFormatting>
  <conditionalFormatting sqref="A389:AC390">
    <cfRule type="notContainsBlanks" dxfId="8" priority="1515">
      <formula>LEN(TRIM(A389))&gt;0</formula>
    </cfRule>
  </conditionalFormatting>
  <conditionalFormatting sqref="A390:K390">
    <cfRule type="expression" dxfId="7" priority="1516">
      <formula>if($G390="Closed",1,0)</formula>
    </cfRule>
  </conditionalFormatting>
  <conditionalFormatting sqref="G388:H388 K388">
    <cfRule type="containsText" dxfId="1" priority="1517" operator="containsText" text="Open">
      <formula>NOT(ISERROR(SEARCH(("Open"),(G388))))</formula>
    </cfRule>
  </conditionalFormatting>
  <conditionalFormatting sqref="G388:H388 K388">
    <cfRule type="containsText" dxfId="0" priority="1518" operator="containsText" text="Closed">
      <formula>NOT(ISERROR(SEARCH(("Closed"),(G388))))</formula>
    </cfRule>
  </conditionalFormatting>
  <conditionalFormatting sqref="G388:H388 K388">
    <cfRule type="containsText" dxfId="3" priority="1519" operator="containsText" text="Monitor">
      <formula>NOT(ISERROR(SEARCH(("Monitor"),(G388))))</formula>
    </cfRule>
  </conditionalFormatting>
  <conditionalFormatting sqref="A387:AC388">
    <cfRule type="notContainsBlanks" dxfId="8" priority="1520">
      <formula>LEN(TRIM(A387))&gt;0</formula>
    </cfRule>
  </conditionalFormatting>
  <conditionalFormatting sqref="A388:K388">
    <cfRule type="expression" dxfId="7" priority="1521">
      <formula>if($G388="Closed",1,0)</formula>
    </cfRule>
  </conditionalFormatting>
  <conditionalFormatting sqref="G386:H386 K386">
    <cfRule type="containsText" dxfId="1" priority="1522" operator="containsText" text="Open">
      <formula>NOT(ISERROR(SEARCH(("Open"),(G386))))</formula>
    </cfRule>
  </conditionalFormatting>
  <conditionalFormatting sqref="G386:H386 K386">
    <cfRule type="containsText" dxfId="0" priority="1523" operator="containsText" text="Closed">
      <formula>NOT(ISERROR(SEARCH(("Closed"),(G386))))</formula>
    </cfRule>
  </conditionalFormatting>
  <conditionalFormatting sqref="G386:H386 K386">
    <cfRule type="containsText" dxfId="3" priority="1524" operator="containsText" text="Monitor">
      <formula>NOT(ISERROR(SEARCH(("Monitor"),(G386))))</formula>
    </cfRule>
  </conditionalFormatting>
  <conditionalFormatting sqref="A385:AC386">
    <cfRule type="notContainsBlanks" dxfId="8" priority="1525">
      <formula>LEN(TRIM(A385))&gt;0</formula>
    </cfRule>
  </conditionalFormatting>
  <conditionalFormatting sqref="A386:K386">
    <cfRule type="expression" dxfId="7" priority="1526">
      <formula>if($G386="Closed",1,0)</formula>
    </cfRule>
  </conditionalFormatting>
  <conditionalFormatting sqref="G384:H384 K384">
    <cfRule type="containsText" dxfId="1" priority="1527" operator="containsText" text="Open">
      <formula>NOT(ISERROR(SEARCH(("Open"),(G384))))</formula>
    </cfRule>
  </conditionalFormatting>
  <conditionalFormatting sqref="G384:H384 K384">
    <cfRule type="containsText" dxfId="0" priority="1528" operator="containsText" text="Closed">
      <formula>NOT(ISERROR(SEARCH(("Closed"),(G384))))</formula>
    </cfRule>
  </conditionalFormatting>
  <conditionalFormatting sqref="G384:H384 K384">
    <cfRule type="containsText" dxfId="3" priority="1529" operator="containsText" text="Monitor">
      <formula>NOT(ISERROR(SEARCH(("Monitor"),(G384))))</formula>
    </cfRule>
  </conditionalFormatting>
  <conditionalFormatting sqref="A383:AC384">
    <cfRule type="notContainsBlanks" dxfId="8" priority="1530">
      <formula>LEN(TRIM(A383))&gt;0</formula>
    </cfRule>
  </conditionalFormatting>
  <conditionalFormatting sqref="A384:K384">
    <cfRule type="expression" dxfId="7" priority="1531">
      <formula>if($G384="Closed",1,0)</formula>
    </cfRule>
  </conditionalFormatting>
  <conditionalFormatting sqref="G382:H382 K382">
    <cfRule type="containsText" dxfId="1" priority="1532" operator="containsText" text="Open">
      <formula>NOT(ISERROR(SEARCH(("Open"),(G382))))</formula>
    </cfRule>
  </conditionalFormatting>
  <conditionalFormatting sqref="G382:H382 K382">
    <cfRule type="containsText" dxfId="0" priority="1533" operator="containsText" text="Closed">
      <formula>NOT(ISERROR(SEARCH(("Closed"),(G382))))</formula>
    </cfRule>
  </conditionalFormatting>
  <conditionalFormatting sqref="G382:H382 K382">
    <cfRule type="containsText" dxfId="3" priority="1534" operator="containsText" text="Monitor">
      <formula>NOT(ISERROR(SEARCH(("Monitor"),(G382))))</formula>
    </cfRule>
  </conditionalFormatting>
  <conditionalFormatting sqref="A381:AC382">
    <cfRule type="notContainsBlanks" dxfId="8" priority="1535">
      <formula>LEN(TRIM(A381))&gt;0</formula>
    </cfRule>
  </conditionalFormatting>
  <conditionalFormatting sqref="A382:K382">
    <cfRule type="expression" dxfId="7" priority="1536">
      <formula>if($G382="Closed",1,0)</formula>
    </cfRule>
  </conditionalFormatting>
  <conditionalFormatting sqref="G380:H380 K380">
    <cfRule type="containsText" dxfId="1" priority="1537" operator="containsText" text="Open">
      <formula>NOT(ISERROR(SEARCH(("Open"),(G380))))</formula>
    </cfRule>
  </conditionalFormatting>
  <conditionalFormatting sqref="G380:H380 K380">
    <cfRule type="containsText" dxfId="0" priority="1538" operator="containsText" text="Closed">
      <formula>NOT(ISERROR(SEARCH(("Closed"),(G380))))</formula>
    </cfRule>
  </conditionalFormatting>
  <conditionalFormatting sqref="G380:H380 K380">
    <cfRule type="containsText" dxfId="3" priority="1539" operator="containsText" text="Monitor">
      <formula>NOT(ISERROR(SEARCH(("Monitor"),(G380))))</formula>
    </cfRule>
  </conditionalFormatting>
  <conditionalFormatting sqref="A379:AC380">
    <cfRule type="notContainsBlanks" dxfId="8" priority="1540">
      <formula>LEN(TRIM(A379))&gt;0</formula>
    </cfRule>
  </conditionalFormatting>
  <conditionalFormatting sqref="A380:K380">
    <cfRule type="expression" dxfId="7" priority="1541">
      <formula>if($G380="Closed",1,0)</formula>
    </cfRule>
  </conditionalFormatting>
  <conditionalFormatting sqref="G378:H378 K378">
    <cfRule type="containsText" dxfId="1" priority="1542" operator="containsText" text="Open">
      <formula>NOT(ISERROR(SEARCH(("Open"),(G378))))</formula>
    </cfRule>
  </conditionalFormatting>
  <conditionalFormatting sqref="G378:H378 K378">
    <cfRule type="containsText" dxfId="0" priority="1543" operator="containsText" text="Closed">
      <formula>NOT(ISERROR(SEARCH(("Closed"),(G378))))</formula>
    </cfRule>
  </conditionalFormatting>
  <conditionalFormatting sqref="G378:H378 K378">
    <cfRule type="containsText" dxfId="3" priority="1544" operator="containsText" text="Monitor">
      <formula>NOT(ISERROR(SEARCH(("Monitor"),(G378))))</formula>
    </cfRule>
  </conditionalFormatting>
  <conditionalFormatting sqref="A377:AC378">
    <cfRule type="notContainsBlanks" dxfId="8" priority="1545">
      <formula>LEN(TRIM(A377))&gt;0</formula>
    </cfRule>
  </conditionalFormatting>
  <conditionalFormatting sqref="A378:K378">
    <cfRule type="expression" dxfId="7" priority="1546">
      <formula>if($G378="Closed",1,0)</formula>
    </cfRule>
  </conditionalFormatting>
  <conditionalFormatting sqref="G376:H376 K376">
    <cfRule type="containsText" dxfId="1" priority="1547" operator="containsText" text="Open">
      <formula>NOT(ISERROR(SEARCH(("Open"),(G376))))</formula>
    </cfRule>
  </conditionalFormatting>
  <conditionalFormatting sqref="G376:H376 K376">
    <cfRule type="containsText" dxfId="0" priority="1548" operator="containsText" text="Closed">
      <formula>NOT(ISERROR(SEARCH(("Closed"),(G376))))</formula>
    </cfRule>
  </conditionalFormatting>
  <conditionalFormatting sqref="G376:H376 K376">
    <cfRule type="containsText" dxfId="3" priority="1549" operator="containsText" text="Monitor">
      <formula>NOT(ISERROR(SEARCH(("Monitor"),(G376))))</formula>
    </cfRule>
  </conditionalFormatting>
  <conditionalFormatting sqref="A375:AC376">
    <cfRule type="notContainsBlanks" dxfId="8" priority="1550">
      <formula>LEN(TRIM(A375))&gt;0</formula>
    </cfRule>
  </conditionalFormatting>
  <conditionalFormatting sqref="A376:K376">
    <cfRule type="expression" dxfId="7" priority="1551">
      <formula>if($G376="Closed",1,0)</formula>
    </cfRule>
  </conditionalFormatting>
  <conditionalFormatting sqref="G374:H374 K374">
    <cfRule type="containsText" dxfId="1" priority="1552" operator="containsText" text="Open">
      <formula>NOT(ISERROR(SEARCH(("Open"),(G374))))</formula>
    </cfRule>
  </conditionalFormatting>
  <conditionalFormatting sqref="G374:H374 K374">
    <cfRule type="containsText" dxfId="0" priority="1553" operator="containsText" text="Closed">
      <formula>NOT(ISERROR(SEARCH(("Closed"),(G374))))</formula>
    </cfRule>
  </conditionalFormatting>
  <conditionalFormatting sqref="G374:H374 K374">
    <cfRule type="containsText" dxfId="3" priority="1554" operator="containsText" text="Monitor">
      <formula>NOT(ISERROR(SEARCH(("Monitor"),(G374))))</formula>
    </cfRule>
  </conditionalFormatting>
  <conditionalFormatting sqref="A373:AC374">
    <cfRule type="notContainsBlanks" dxfId="8" priority="1555">
      <formula>LEN(TRIM(A373))&gt;0</formula>
    </cfRule>
  </conditionalFormatting>
  <conditionalFormatting sqref="A374:K374">
    <cfRule type="expression" dxfId="7" priority="1556">
      <formula>if($G374="Closed",1,0)</formula>
    </cfRule>
  </conditionalFormatting>
  <conditionalFormatting sqref="G372:H372 K372">
    <cfRule type="containsText" dxfId="1" priority="1557" operator="containsText" text="Open">
      <formula>NOT(ISERROR(SEARCH(("Open"),(G372))))</formula>
    </cfRule>
  </conditionalFormatting>
  <conditionalFormatting sqref="G372:H372 K372">
    <cfRule type="containsText" dxfId="0" priority="1558" operator="containsText" text="Closed">
      <formula>NOT(ISERROR(SEARCH(("Closed"),(G372))))</formula>
    </cfRule>
  </conditionalFormatting>
  <conditionalFormatting sqref="G372:H372 K372">
    <cfRule type="containsText" dxfId="3" priority="1559" operator="containsText" text="Monitor">
      <formula>NOT(ISERROR(SEARCH(("Monitor"),(G372))))</formula>
    </cfRule>
  </conditionalFormatting>
  <conditionalFormatting sqref="A371:AC372">
    <cfRule type="notContainsBlanks" dxfId="8" priority="1560">
      <formula>LEN(TRIM(A371))&gt;0</formula>
    </cfRule>
  </conditionalFormatting>
  <conditionalFormatting sqref="A372:K372">
    <cfRule type="expression" dxfId="7" priority="1561">
      <formula>if($G372="Closed",1,0)</formula>
    </cfRule>
  </conditionalFormatting>
  <conditionalFormatting sqref="G370:H370 K370">
    <cfRule type="containsText" dxfId="1" priority="1562" operator="containsText" text="Open">
      <formula>NOT(ISERROR(SEARCH(("Open"),(G370))))</formula>
    </cfRule>
  </conditionalFormatting>
  <conditionalFormatting sqref="G370:H370 K370">
    <cfRule type="containsText" dxfId="0" priority="1563" operator="containsText" text="Closed">
      <formula>NOT(ISERROR(SEARCH(("Closed"),(G370))))</formula>
    </cfRule>
  </conditionalFormatting>
  <conditionalFormatting sqref="G370:H370 K370">
    <cfRule type="containsText" dxfId="3" priority="1564" operator="containsText" text="Monitor">
      <formula>NOT(ISERROR(SEARCH(("Monitor"),(G370))))</formula>
    </cfRule>
  </conditionalFormatting>
  <conditionalFormatting sqref="A369:AC370">
    <cfRule type="notContainsBlanks" dxfId="8" priority="1565">
      <formula>LEN(TRIM(A369))&gt;0</formula>
    </cfRule>
  </conditionalFormatting>
  <conditionalFormatting sqref="A370:K370">
    <cfRule type="expression" dxfId="7" priority="1566">
      <formula>if($G370="Closed",1,0)</formula>
    </cfRule>
  </conditionalFormatting>
  <conditionalFormatting sqref="G368:H368 K368">
    <cfRule type="containsText" dxfId="1" priority="1567" operator="containsText" text="Open">
      <formula>NOT(ISERROR(SEARCH(("Open"),(G368))))</formula>
    </cfRule>
  </conditionalFormatting>
  <conditionalFormatting sqref="G368:H368 K368">
    <cfRule type="containsText" dxfId="0" priority="1568" operator="containsText" text="Closed">
      <formula>NOT(ISERROR(SEARCH(("Closed"),(G368))))</formula>
    </cfRule>
  </conditionalFormatting>
  <conditionalFormatting sqref="G368:H368 K368">
    <cfRule type="containsText" dxfId="3" priority="1569" operator="containsText" text="Monitor">
      <formula>NOT(ISERROR(SEARCH(("Monitor"),(G368))))</formula>
    </cfRule>
  </conditionalFormatting>
  <conditionalFormatting sqref="A367:AC368">
    <cfRule type="notContainsBlanks" dxfId="8" priority="1570">
      <formula>LEN(TRIM(A367))&gt;0</formula>
    </cfRule>
  </conditionalFormatting>
  <conditionalFormatting sqref="A368:K368">
    <cfRule type="expression" dxfId="7" priority="1571">
      <formula>if($G368="Closed",1,0)</formula>
    </cfRule>
  </conditionalFormatting>
  <conditionalFormatting sqref="G366:H366 K366">
    <cfRule type="containsText" dxfId="1" priority="1572" operator="containsText" text="Open">
      <formula>NOT(ISERROR(SEARCH(("Open"),(G366))))</formula>
    </cfRule>
  </conditionalFormatting>
  <conditionalFormatting sqref="G366:H366 K366">
    <cfRule type="containsText" dxfId="0" priority="1573" operator="containsText" text="Closed">
      <formula>NOT(ISERROR(SEARCH(("Closed"),(G366))))</formula>
    </cfRule>
  </conditionalFormatting>
  <conditionalFormatting sqref="G366:H366 K366">
    <cfRule type="containsText" dxfId="3" priority="1574" operator="containsText" text="Monitor">
      <formula>NOT(ISERROR(SEARCH(("Monitor"),(G366))))</formula>
    </cfRule>
  </conditionalFormatting>
  <conditionalFormatting sqref="A365:AC366">
    <cfRule type="notContainsBlanks" dxfId="8" priority="1575">
      <formula>LEN(TRIM(A365))&gt;0</formula>
    </cfRule>
  </conditionalFormatting>
  <conditionalFormatting sqref="A366:K366">
    <cfRule type="expression" dxfId="7" priority="1576">
      <formula>if($G366="Closed",1,0)</formula>
    </cfRule>
  </conditionalFormatting>
  <conditionalFormatting sqref="G364:H364 K364">
    <cfRule type="containsText" dxfId="1" priority="1577" operator="containsText" text="Open">
      <formula>NOT(ISERROR(SEARCH(("Open"),(G364))))</formula>
    </cfRule>
  </conditionalFormatting>
  <conditionalFormatting sqref="G364:H364 K364">
    <cfRule type="containsText" dxfId="0" priority="1578" operator="containsText" text="Closed">
      <formula>NOT(ISERROR(SEARCH(("Closed"),(G364))))</formula>
    </cfRule>
  </conditionalFormatting>
  <conditionalFormatting sqref="G364:H364 K364">
    <cfRule type="containsText" dxfId="3" priority="1579" operator="containsText" text="Monitor">
      <formula>NOT(ISERROR(SEARCH(("Monitor"),(G364))))</formula>
    </cfRule>
  </conditionalFormatting>
  <conditionalFormatting sqref="A363:AC364">
    <cfRule type="notContainsBlanks" dxfId="8" priority="1580">
      <formula>LEN(TRIM(A363))&gt;0</formula>
    </cfRule>
  </conditionalFormatting>
  <conditionalFormatting sqref="A364:K364">
    <cfRule type="expression" dxfId="7" priority="1581">
      <formula>if($G364="Closed",1,0)</formula>
    </cfRule>
  </conditionalFormatting>
  <conditionalFormatting sqref="G362:H362 K362">
    <cfRule type="containsText" dxfId="1" priority="1582" operator="containsText" text="Open">
      <formula>NOT(ISERROR(SEARCH(("Open"),(G362))))</formula>
    </cfRule>
  </conditionalFormatting>
  <conditionalFormatting sqref="G362:H362 K362">
    <cfRule type="containsText" dxfId="0" priority="1583" operator="containsText" text="Closed">
      <formula>NOT(ISERROR(SEARCH(("Closed"),(G362))))</formula>
    </cfRule>
  </conditionalFormatting>
  <conditionalFormatting sqref="G362:H362 K362">
    <cfRule type="containsText" dxfId="3" priority="1584" operator="containsText" text="Monitor">
      <formula>NOT(ISERROR(SEARCH(("Monitor"),(G362))))</formula>
    </cfRule>
  </conditionalFormatting>
  <conditionalFormatting sqref="A361:AC362">
    <cfRule type="notContainsBlanks" dxfId="8" priority="1585">
      <formula>LEN(TRIM(A361))&gt;0</formula>
    </cfRule>
  </conditionalFormatting>
  <conditionalFormatting sqref="A362:K362">
    <cfRule type="expression" dxfId="7" priority="1586">
      <formula>if($G362="Closed",1,0)</formula>
    </cfRule>
  </conditionalFormatting>
  <conditionalFormatting sqref="G360:H360 K360">
    <cfRule type="containsText" dxfId="1" priority="1587" operator="containsText" text="Open">
      <formula>NOT(ISERROR(SEARCH(("Open"),(G360))))</formula>
    </cfRule>
  </conditionalFormatting>
  <conditionalFormatting sqref="G360:H360 K360">
    <cfRule type="containsText" dxfId="0" priority="1588" operator="containsText" text="Closed">
      <formula>NOT(ISERROR(SEARCH(("Closed"),(G360))))</formula>
    </cfRule>
  </conditionalFormatting>
  <conditionalFormatting sqref="G360:H360 K360">
    <cfRule type="containsText" dxfId="3" priority="1589" operator="containsText" text="Monitor">
      <formula>NOT(ISERROR(SEARCH(("Monitor"),(G360))))</formula>
    </cfRule>
  </conditionalFormatting>
  <conditionalFormatting sqref="A359:AC360">
    <cfRule type="notContainsBlanks" dxfId="8" priority="1590">
      <formula>LEN(TRIM(A359))&gt;0</formula>
    </cfRule>
  </conditionalFormatting>
  <conditionalFormatting sqref="A360:K360">
    <cfRule type="expression" dxfId="7" priority="1591">
      <formula>if($G360="Closed",1,0)</formula>
    </cfRule>
  </conditionalFormatting>
  <conditionalFormatting sqref="G358:H358 K358">
    <cfRule type="containsText" dxfId="1" priority="1592" operator="containsText" text="Open">
      <formula>NOT(ISERROR(SEARCH(("Open"),(G358))))</formula>
    </cfRule>
  </conditionalFormatting>
  <conditionalFormatting sqref="G358:H358 K358">
    <cfRule type="containsText" dxfId="0" priority="1593" operator="containsText" text="Closed">
      <formula>NOT(ISERROR(SEARCH(("Closed"),(G358))))</formula>
    </cfRule>
  </conditionalFormatting>
  <conditionalFormatting sqref="G358:H358 K358">
    <cfRule type="containsText" dxfId="3" priority="1594" operator="containsText" text="Monitor">
      <formula>NOT(ISERROR(SEARCH(("Monitor"),(G358))))</formula>
    </cfRule>
  </conditionalFormatting>
  <conditionalFormatting sqref="A357:AC358">
    <cfRule type="notContainsBlanks" dxfId="8" priority="1595">
      <formula>LEN(TRIM(A357))&gt;0</formula>
    </cfRule>
  </conditionalFormatting>
  <conditionalFormatting sqref="A358:K358">
    <cfRule type="expression" dxfId="7" priority="1596">
      <formula>if($G358="Closed",1,0)</formula>
    </cfRule>
  </conditionalFormatting>
  <conditionalFormatting sqref="G356:H356 K356">
    <cfRule type="containsText" dxfId="1" priority="1597" operator="containsText" text="Open">
      <formula>NOT(ISERROR(SEARCH(("Open"),(G356))))</formula>
    </cfRule>
  </conditionalFormatting>
  <conditionalFormatting sqref="G356:H356 K356">
    <cfRule type="containsText" dxfId="0" priority="1598" operator="containsText" text="Closed">
      <formula>NOT(ISERROR(SEARCH(("Closed"),(G356))))</formula>
    </cfRule>
  </conditionalFormatting>
  <conditionalFormatting sqref="G356:H356 K356">
    <cfRule type="containsText" dxfId="3" priority="1599" operator="containsText" text="Monitor">
      <formula>NOT(ISERROR(SEARCH(("Monitor"),(G356))))</formula>
    </cfRule>
  </conditionalFormatting>
  <conditionalFormatting sqref="A355:AC356">
    <cfRule type="notContainsBlanks" dxfId="8" priority="1600">
      <formula>LEN(TRIM(A355))&gt;0</formula>
    </cfRule>
  </conditionalFormatting>
  <conditionalFormatting sqref="A356:K356">
    <cfRule type="expression" dxfId="7" priority="1601">
      <formula>if($G356="Closed",1,0)</formula>
    </cfRule>
  </conditionalFormatting>
  <conditionalFormatting sqref="G354:H354 K354">
    <cfRule type="containsText" dxfId="1" priority="1602" operator="containsText" text="Open">
      <formula>NOT(ISERROR(SEARCH(("Open"),(G354))))</formula>
    </cfRule>
  </conditionalFormatting>
  <conditionalFormatting sqref="G354:H354 K354">
    <cfRule type="containsText" dxfId="0" priority="1603" operator="containsText" text="Closed">
      <formula>NOT(ISERROR(SEARCH(("Closed"),(G354))))</formula>
    </cfRule>
  </conditionalFormatting>
  <conditionalFormatting sqref="G354:H354 K354">
    <cfRule type="containsText" dxfId="3" priority="1604" operator="containsText" text="Monitor">
      <formula>NOT(ISERROR(SEARCH(("Monitor"),(G354))))</formula>
    </cfRule>
  </conditionalFormatting>
  <conditionalFormatting sqref="A353:AC354">
    <cfRule type="notContainsBlanks" dxfId="8" priority="1605">
      <formula>LEN(TRIM(A353))&gt;0</formula>
    </cfRule>
  </conditionalFormatting>
  <conditionalFormatting sqref="A354:K354">
    <cfRule type="expression" dxfId="7" priority="1606">
      <formula>if($G354="Closed",1,0)</formula>
    </cfRule>
  </conditionalFormatting>
  <conditionalFormatting sqref="G352:H352 K352">
    <cfRule type="containsText" dxfId="1" priority="1607" operator="containsText" text="Open">
      <formula>NOT(ISERROR(SEARCH(("Open"),(G352))))</formula>
    </cfRule>
  </conditionalFormatting>
  <conditionalFormatting sqref="G352:H352 K352">
    <cfRule type="containsText" dxfId="0" priority="1608" operator="containsText" text="Closed">
      <formula>NOT(ISERROR(SEARCH(("Closed"),(G352))))</formula>
    </cfRule>
  </conditionalFormatting>
  <conditionalFormatting sqref="G352:H352 K352">
    <cfRule type="containsText" dxfId="3" priority="1609" operator="containsText" text="Monitor">
      <formula>NOT(ISERROR(SEARCH(("Monitor"),(G352))))</formula>
    </cfRule>
  </conditionalFormatting>
  <conditionalFormatting sqref="A351:AC352">
    <cfRule type="notContainsBlanks" dxfId="8" priority="1610">
      <formula>LEN(TRIM(A351))&gt;0</formula>
    </cfRule>
  </conditionalFormatting>
  <conditionalFormatting sqref="A352:K352">
    <cfRule type="expression" dxfId="7" priority="1611">
      <formula>if($G352="Closed",1,0)</formula>
    </cfRule>
  </conditionalFormatting>
  <conditionalFormatting sqref="G350:H350 K350">
    <cfRule type="containsText" dxfId="1" priority="1612" operator="containsText" text="Open">
      <formula>NOT(ISERROR(SEARCH(("Open"),(G350))))</formula>
    </cfRule>
  </conditionalFormatting>
  <conditionalFormatting sqref="G350:H350 K350">
    <cfRule type="containsText" dxfId="0" priority="1613" operator="containsText" text="Closed">
      <formula>NOT(ISERROR(SEARCH(("Closed"),(G350))))</formula>
    </cfRule>
  </conditionalFormatting>
  <conditionalFormatting sqref="G350:H350 K350">
    <cfRule type="containsText" dxfId="3" priority="1614" operator="containsText" text="Monitor">
      <formula>NOT(ISERROR(SEARCH(("Monitor"),(G350))))</formula>
    </cfRule>
  </conditionalFormatting>
  <conditionalFormatting sqref="A349:AC350">
    <cfRule type="notContainsBlanks" dxfId="8" priority="1615">
      <formula>LEN(TRIM(A349))&gt;0</formula>
    </cfRule>
  </conditionalFormatting>
  <conditionalFormatting sqref="A350:K350">
    <cfRule type="expression" dxfId="7" priority="1616">
      <formula>if($G350="Closed",1,0)</formula>
    </cfRule>
  </conditionalFormatting>
  <conditionalFormatting sqref="G348:H348 K348">
    <cfRule type="containsText" dxfId="1" priority="1617" operator="containsText" text="Open">
      <formula>NOT(ISERROR(SEARCH(("Open"),(G348))))</formula>
    </cfRule>
  </conditionalFormatting>
  <conditionalFormatting sqref="G348:H348 K348">
    <cfRule type="containsText" dxfId="0" priority="1618" operator="containsText" text="Closed">
      <formula>NOT(ISERROR(SEARCH(("Closed"),(G348))))</formula>
    </cfRule>
  </conditionalFormatting>
  <conditionalFormatting sqref="G348:H348 K348">
    <cfRule type="containsText" dxfId="3" priority="1619" operator="containsText" text="Monitor">
      <formula>NOT(ISERROR(SEARCH(("Monitor"),(G348))))</formula>
    </cfRule>
  </conditionalFormatting>
  <conditionalFormatting sqref="A347:AC348">
    <cfRule type="notContainsBlanks" dxfId="8" priority="1620">
      <formula>LEN(TRIM(A347))&gt;0</formula>
    </cfRule>
  </conditionalFormatting>
  <conditionalFormatting sqref="A348:K348">
    <cfRule type="expression" dxfId="7" priority="1621">
      <formula>if($G348="Closed",1,0)</formula>
    </cfRule>
  </conditionalFormatting>
  <conditionalFormatting sqref="G346:H346 K346">
    <cfRule type="containsText" dxfId="1" priority="1622" operator="containsText" text="Open">
      <formula>NOT(ISERROR(SEARCH(("Open"),(G346))))</formula>
    </cfRule>
  </conditionalFormatting>
  <conditionalFormatting sqref="G346:H346 K346">
    <cfRule type="containsText" dxfId="0" priority="1623" operator="containsText" text="Closed">
      <formula>NOT(ISERROR(SEARCH(("Closed"),(G346))))</formula>
    </cfRule>
  </conditionalFormatting>
  <conditionalFormatting sqref="G346:H346 K346">
    <cfRule type="containsText" dxfId="3" priority="1624" operator="containsText" text="Monitor">
      <formula>NOT(ISERROR(SEARCH(("Monitor"),(G346))))</formula>
    </cfRule>
  </conditionalFormatting>
  <conditionalFormatting sqref="A345:AC346">
    <cfRule type="notContainsBlanks" dxfId="8" priority="1625">
      <formula>LEN(TRIM(A345))&gt;0</formula>
    </cfRule>
  </conditionalFormatting>
  <conditionalFormatting sqref="A346:K346">
    <cfRule type="expression" dxfId="7" priority="1626">
      <formula>if($G346="Closed",1,0)</formula>
    </cfRule>
  </conditionalFormatting>
  <conditionalFormatting sqref="G344:H344 K344">
    <cfRule type="containsText" dxfId="1" priority="1627" operator="containsText" text="Open">
      <formula>NOT(ISERROR(SEARCH(("Open"),(G344))))</formula>
    </cfRule>
  </conditionalFormatting>
  <conditionalFormatting sqref="G344:H344 K344">
    <cfRule type="containsText" dxfId="0" priority="1628" operator="containsText" text="Closed">
      <formula>NOT(ISERROR(SEARCH(("Closed"),(G344))))</formula>
    </cfRule>
  </conditionalFormatting>
  <conditionalFormatting sqref="G344:H344 K344">
    <cfRule type="containsText" dxfId="3" priority="1629" operator="containsText" text="Monitor">
      <formula>NOT(ISERROR(SEARCH(("Monitor"),(G344))))</formula>
    </cfRule>
  </conditionalFormatting>
  <conditionalFormatting sqref="A343:AC344">
    <cfRule type="notContainsBlanks" dxfId="8" priority="1630">
      <formula>LEN(TRIM(A343))&gt;0</formula>
    </cfRule>
  </conditionalFormatting>
  <conditionalFormatting sqref="A344:K344">
    <cfRule type="expression" dxfId="7" priority="1631">
      <formula>if($G344="Closed",1,0)</formula>
    </cfRule>
  </conditionalFormatting>
  <conditionalFormatting sqref="G342:H342 K342">
    <cfRule type="containsText" dxfId="1" priority="1632" operator="containsText" text="Open">
      <formula>NOT(ISERROR(SEARCH(("Open"),(G342))))</formula>
    </cfRule>
  </conditionalFormatting>
  <conditionalFormatting sqref="G342:H342 K342">
    <cfRule type="containsText" dxfId="0" priority="1633" operator="containsText" text="Closed">
      <formula>NOT(ISERROR(SEARCH(("Closed"),(G342))))</formula>
    </cfRule>
  </conditionalFormatting>
  <conditionalFormatting sqref="G342:H342 K342">
    <cfRule type="containsText" dxfId="3" priority="1634" operator="containsText" text="Monitor">
      <formula>NOT(ISERROR(SEARCH(("Monitor"),(G342))))</formula>
    </cfRule>
  </conditionalFormatting>
  <conditionalFormatting sqref="A341:AC342">
    <cfRule type="notContainsBlanks" dxfId="8" priority="1635">
      <formula>LEN(TRIM(A341))&gt;0</formula>
    </cfRule>
  </conditionalFormatting>
  <conditionalFormatting sqref="A342:K342">
    <cfRule type="expression" dxfId="7" priority="1636">
      <formula>if($G342="Closed",1,0)</formula>
    </cfRule>
  </conditionalFormatting>
  <conditionalFormatting sqref="G340:H340 K340">
    <cfRule type="containsText" dxfId="1" priority="1637" operator="containsText" text="Open">
      <formula>NOT(ISERROR(SEARCH(("Open"),(G340))))</formula>
    </cfRule>
  </conditionalFormatting>
  <conditionalFormatting sqref="G340:H340 K340">
    <cfRule type="containsText" dxfId="0" priority="1638" operator="containsText" text="Closed">
      <formula>NOT(ISERROR(SEARCH(("Closed"),(G340))))</formula>
    </cfRule>
  </conditionalFormatting>
  <conditionalFormatting sqref="G340:H340 K340">
    <cfRule type="containsText" dxfId="3" priority="1639" operator="containsText" text="Monitor">
      <formula>NOT(ISERROR(SEARCH(("Monitor"),(G340))))</formula>
    </cfRule>
  </conditionalFormatting>
  <conditionalFormatting sqref="A339:AC340">
    <cfRule type="notContainsBlanks" dxfId="8" priority="1640">
      <formula>LEN(TRIM(A339))&gt;0</formula>
    </cfRule>
  </conditionalFormatting>
  <conditionalFormatting sqref="A340:K340">
    <cfRule type="expression" dxfId="7" priority="1641">
      <formula>if($G340="Closed",1,0)</formula>
    </cfRule>
  </conditionalFormatting>
  <conditionalFormatting sqref="G338:H338 K338">
    <cfRule type="containsText" dxfId="1" priority="1642" operator="containsText" text="Open">
      <formula>NOT(ISERROR(SEARCH(("Open"),(G338))))</formula>
    </cfRule>
  </conditionalFormatting>
  <conditionalFormatting sqref="G338:H338 K338">
    <cfRule type="containsText" dxfId="0" priority="1643" operator="containsText" text="Closed">
      <formula>NOT(ISERROR(SEARCH(("Closed"),(G338))))</formula>
    </cfRule>
  </conditionalFormatting>
  <conditionalFormatting sqref="G338:H338 K338">
    <cfRule type="containsText" dxfId="3" priority="1644" operator="containsText" text="Monitor">
      <formula>NOT(ISERROR(SEARCH(("Monitor"),(G338))))</formula>
    </cfRule>
  </conditionalFormatting>
  <conditionalFormatting sqref="A337:AC338">
    <cfRule type="notContainsBlanks" dxfId="8" priority="1645">
      <formula>LEN(TRIM(A337))&gt;0</formula>
    </cfRule>
  </conditionalFormatting>
  <conditionalFormatting sqref="A338:K338">
    <cfRule type="expression" dxfId="7" priority="1646">
      <formula>if($G338="Closed",1,0)</formula>
    </cfRule>
  </conditionalFormatting>
  <conditionalFormatting sqref="G336:H336 K336">
    <cfRule type="containsText" dxfId="1" priority="1647" operator="containsText" text="Open">
      <formula>NOT(ISERROR(SEARCH(("Open"),(G336))))</formula>
    </cfRule>
  </conditionalFormatting>
  <conditionalFormatting sqref="G336:H336 K336">
    <cfRule type="containsText" dxfId="0" priority="1648" operator="containsText" text="Closed">
      <formula>NOT(ISERROR(SEARCH(("Closed"),(G336))))</formula>
    </cfRule>
  </conditionalFormatting>
  <conditionalFormatting sqref="G336:H336 K336">
    <cfRule type="containsText" dxfId="3" priority="1649" operator="containsText" text="Monitor">
      <formula>NOT(ISERROR(SEARCH(("Monitor"),(G336))))</formula>
    </cfRule>
  </conditionalFormatting>
  <conditionalFormatting sqref="A335:AC336">
    <cfRule type="notContainsBlanks" dxfId="8" priority="1650">
      <formula>LEN(TRIM(A335))&gt;0</formula>
    </cfRule>
  </conditionalFormatting>
  <conditionalFormatting sqref="A336:K336">
    <cfRule type="expression" dxfId="7" priority="1651">
      <formula>if($G336="Closed",1,0)</formula>
    </cfRule>
  </conditionalFormatting>
  <conditionalFormatting sqref="G334:H334 K334">
    <cfRule type="containsText" dxfId="1" priority="1652" operator="containsText" text="Open">
      <formula>NOT(ISERROR(SEARCH(("Open"),(G334))))</formula>
    </cfRule>
  </conditionalFormatting>
  <conditionalFormatting sqref="G334:H334 K334">
    <cfRule type="containsText" dxfId="0" priority="1653" operator="containsText" text="Closed">
      <formula>NOT(ISERROR(SEARCH(("Closed"),(G334))))</formula>
    </cfRule>
  </conditionalFormatting>
  <conditionalFormatting sqref="G334:H334 K334">
    <cfRule type="containsText" dxfId="3" priority="1654" operator="containsText" text="Monitor">
      <formula>NOT(ISERROR(SEARCH(("Monitor"),(G334))))</formula>
    </cfRule>
  </conditionalFormatting>
  <conditionalFormatting sqref="A333:AC334">
    <cfRule type="notContainsBlanks" dxfId="8" priority="1655">
      <formula>LEN(TRIM(A333))&gt;0</formula>
    </cfRule>
  </conditionalFormatting>
  <conditionalFormatting sqref="A334:K334">
    <cfRule type="expression" dxfId="7" priority="1656">
      <formula>if($G334="Closed",1,0)</formula>
    </cfRule>
  </conditionalFormatting>
  <conditionalFormatting sqref="G332:H332 K332">
    <cfRule type="containsText" dxfId="1" priority="1657" operator="containsText" text="Open">
      <formula>NOT(ISERROR(SEARCH(("Open"),(G332))))</formula>
    </cfRule>
  </conditionalFormatting>
  <conditionalFormatting sqref="G332:H332 K332">
    <cfRule type="containsText" dxfId="0" priority="1658" operator="containsText" text="Closed">
      <formula>NOT(ISERROR(SEARCH(("Closed"),(G332))))</formula>
    </cfRule>
  </conditionalFormatting>
  <conditionalFormatting sqref="G332:H332 K332">
    <cfRule type="containsText" dxfId="3" priority="1659" operator="containsText" text="Monitor">
      <formula>NOT(ISERROR(SEARCH(("Monitor"),(G332))))</formula>
    </cfRule>
  </conditionalFormatting>
  <conditionalFormatting sqref="A331:AC332">
    <cfRule type="notContainsBlanks" dxfId="8" priority="1660">
      <formula>LEN(TRIM(A331))&gt;0</formula>
    </cfRule>
  </conditionalFormatting>
  <conditionalFormatting sqref="A332:K332">
    <cfRule type="expression" dxfId="7" priority="1661">
      <formula>if($G332="Closed",1,0)</formula>
    </cfRule>
  </conditionalFormatting>
  <conditionalFormatting sqref="G330:H330 K330">
    <cfRule type="containsText" dxfId="1" priority="1662" operator="containsText" text="Open">
      <formula>NOT(ISERROR(SEARCH(("Open"),(G330))))</formula>
    </cfRule>
  </conditionalFormatting>
  <conditionalFormatting sqref="G330:H330 K330">
    <cfRule type="containsText" dxfId="0" priority="1663" operator="containsText" text="Closed">
      <formula>NOT(ISERROR(SEARCH(("Closed"),(G330))))</formula>
    </cfRule>
  </conditionalFormatting>
  <conditionalFormatting sqref="G330:H330 K330">
    <cfRule type="containsText" dxfId="3" priority="1664" operator="containsText" text="Monitor">
      <formula>NOT(ISERROR(SEARCH(("Monitor"),(G330))))</formula>
    </cfRule>
  </conditionalFormatting>
  <conditionalFormatting sqref="A329:AC330">
    <cfRule type="notContainsBlanks" dxfId="8" priority="1665">
      <formula>LEN(TRIM(A329))&gt;0</formula>
    </cfRule>
  </conditionalFormatting>
  <conditionalFormatting sqref="A330:K330">
    <cfRule type="expression" dxfId="7" priority="1666">
      <formula>if($G330="Closed",1,0)</formula>
    </cfRule>
  </conditionalFormatting>
  <conditionalFormatting sqref="G328:H328 K328">
    <cfRule type="containsText" dxfId="1" priority="1667" operator="containsText" text="Open">
      <formula>NOT(ISERROR(SEARCH(("Open"),(G328))))</formula>
    </cfRule>
  </conditionalFormatting>
  <conditionalFormatting sqref="G328:H328 K328">
    <cfRule type="containsText" dxfId="0" priority="1668" operator="containsText" text="Closed">
      <formula>NOT(ISERROR(SEARCH(("Closed"),(G328))))</formula>
    </cfRule>
  </conditionalFormatting>
  <conditionalFormatting sqref="G328:H328 K328">
    <cfRule type="containsText" dxfId="3" priority="1669" operator="containsText" text="Monitor">
      <formula>NOT(ISERROR(SEARCH(("Monitor"),(G328))))</formula>
    </cfRule>
  </conditionalFormatting>
  <conditionalFormatting sqref="A327:AC328">
    <cfRule type="notContainsBlanks" dxfId="8" priority="1670">
      <formula>LEN(TRIM(A327))&gt;0</formula>
    </cfRule>
  </conditionalFormatting>
  <conditionalFormatting sqref="A328:K328">
    <cfRule type="expression" dxfId="7" priority="1671">
      <formula>if($G328="Closed",1,0)</formula>
    </cfRule>
  </conditionalFormatting>
  <conditionalFormatting sqref="G326:H326 K326">
    <cfRule type="containsText" dxfId="1" priority="1672" operator="containsText" text="Open">
      <formula>NOT(ISERROR(SEARCH(("Open"),(G326))))</formula>
    </cfRule>
  </conditionalFormatting>
  <conditionalFormatting sqref="G326:H326 K326">
    <cfRule type="containsText" dxfId="0" priority="1673" operator="containsText" text="Closed">
      <formula>NOT(ISERROR(SEARCH(("Closed"),(G326))))</formula>
    </cfRule>
  </conditionalFormatting>
  <conditionalFormatting sqref="G326:H326 K326">
    <cfRule type="containsText" dxfId="3" priority="1674" operator="containsText" text="Monitor">
      <formula>NOT(ISERROR(SEARCH(("Monitor"),(G326))))</formula>
    </cfRule>
  </conditionalFormatting>
  <conditionalFormatting sqref="A325:AC326">
    <cfRule type="notContainsBlanks" dxfId="8" priority="1675">
      <formula>LEN(TRIM(A325))&gt;0</formula>
    </cfRule>
  </conditionalFormatting>
  <conditionalFormatting sqref="A326:K326">
    <cfRule type="expression" dxfId="7" priority="1676">
      <formula>if($G326="Closed",1,0)</formula>
    </cfRule>
  </conditionalFormatting>
  <conditionalFormatting sqref="G324:H324 K324">
    <cfRule type="containsText" dxfId="1" priority="1677" operator="containsText" text="Open">
      <formula>NOT(ISERROR(SEARCH(("Open"),(G324))))</formula>
    </cfRule>
  </conditionalFormatting>
  <conditionalFormatting sqref="G324:H324 K324">
    <cfRule type="containsText" dxfId="0" priority="1678" operator="containsText" text="Closed">
      <formula>NOT(ISERROR(SEARCH(("Closed"),(G324))))</formula>
    </cfRule>
  </conditionalFormatting>
  <conditionalFormatting sqref="G324:H324 K324">
    <cfRule type="containsText" dxfId="3" priority="1679" operator="containsText" text="Monitor">
      <formula>NOT(ISERROR(SEARCH(("Monitor"),(G324))))</formula>
    </cfRule>
  </conditionalFormatting>
  <conditionalFormatting sqref="A323:AC324">
    <cfRule type="notContainsBlanks" dxfId="8" priority="1680">
      <formula>LEN(TRIM(A323))&gt;0</formula>
    </cfRule>
  </conditionalFormatting>
  <conditionalFormatting sqref="A324:K324">
    <cfRule type="expression" dxfId="7" priority="1681">
      <formula>if($G324="Closed",1,0)</formula>
    </cfRule>
  </conditionalFormatting>
  <conditionalFormatting sqref="G322:H322 K322">
    <cfRule type="containsText" dxfId="1" priority="1682" operator="containsText" text="Open">
      <formula>NOT(ISERROR(SEARCH(("Open"),(G322))))</formula>
    </cfRule>
  </conditionalFormatting>
  <conditionalFormatting sqref="G322:H322 K322">
    <cfRule type="containsText" dxfId="0" priority="1683" operator="containsText" text="Closed">
      <formula>NOT(ISERROR(SEARCH(("Closed"),(G322))))</formula>
    </cfRule>
  </conditionalFormatting>
  <conditionalFormatting sqref="G322:H322 K322">
    <cfRule type="containsText" dxfId="3" priority="1684" operator="containsText" text="Monitor">
      <formula>NOT(ISERROR(SEARCH(("Monitor"),(G322))))</formula>
    </cfRule>
  </conditionalFormatting>
  <conditionalFormatting sqref="A321:AC322">
    <cfRule type="notContainsBlanks" dxfId="8" priority="1685">
      <formula>LEN(TRIM(A321))&gt;0</formula>
    </cfRule>
  </conditionalFormatting>
  <conditionalFormatting sqref="A322:K322">
    <cfRule type="expression" dxfId="7" priority="1686">
      <formula>if($G322="Closed",1,0)</formula>
    </cfRule>
  </conditionalFormatting>
  <conditionalFormatting sqref="G320:H320 K320">
    <cfRule type="containsText" dxfId="1" priority="1687" operator="containsText" text="Open">
      <formula>NOT(ISERROR(SEARCH(("Open"),(G320))))</formula>
    </cfRule>
  </conditionalFormatting>
  <conditionalFormatting sqref="G320:H320 K320">
    <cfRule type="containsText" dxfId="0" priority="1688" operator="containsText" text="Closed">
      <formula>NOT(ISERROR(SEARCH(("Closed"),(G320))))</formula>
    </cfRule>
  </conditionalFormatting>
  <conditionalFormatting sqref="G320:H320 K320">
    <cfRule type="containsText" dxfId="3" priority="1689" operator="containsText" text="Monitor">
      <formula>NOT(ISERROR(SEARCH(("Monitor"),(G320))))</formula>
    </cfRule>
  </conditionalFormatting>
  <conditionalFormatting sqref="A319:AC320">
    <cfRule type="notContainsBlanks" dxfId="8" priority="1690">
      <formula>LEN(TRIM(A319))&gt;0</formula>
    </cfRule>
  </conditionalFormatting>
  <conditionalFormatting sqref="A320:K320">
    <cfRule type="expression" dxfId="7" priority="1691">
      <formula>if($G320="Closed",1,0)</formula>
    </cfRule>
  </conditionalFormatting>
  <conditionalFormatting sqref="G318:H318 K318">
    <cfRule type="containsText" dxfId="1" priority="1692" operator="containsText" text="Open">
      <formula>NOT(ISERROR(SEARCH(("Open"),(G318))))</formula>
    </cfRule>
  </conditionalFormatting>
  <conditionalFormatting sqref="G318:H318 K318">
    <cfRule type="containsText" dxfId="0" priority="1693" operator="containsText" text="Closed">
      <formula>NOT(ISERROR(SEARCH(("Closed"),(G318))))</formula>
    </cfRule>
  </conditionalFormatting>
  <conditionalFormatting sqref="G318:H318 K318">
    <cfRule type="containsText" dxfId="3" priority="1694" operator="containsText" text="Monitor">
      <formula>NOT(ISERROR(SEARCH(("Monitor"),(G318))))</formula>
    </cfRule>
  </conditionalFormatting>
  <conditionalFormatting sqref="A317:AC318">
    <cfRule type="notContainsBlanks" dxfId="8" priority="1695">
      <formula>LEN(TRIM(A317))&gt;0</formula>
    </cfRule>
  </conditionalFormatting>
  <conditionalFormatting sqref="A318:K318">
    <cfRule type="expression" dxfId="7" priority="1696">
      <formula>if($G318="Closed",1,0)</formula>
    </cfRule>
  </conditionalFormatting>
  <conditionalFormatting sqref="G316:H316 K316">
    <cfRule type="containsText" dxfId="1" priority="1697" operator="containsText" text="Open">
      <formula>NOT(ISERROR(SEARCH(("Open"),(G316))))</formula>
    </cfRule>
  </conditionalFormatting>
  <conditionalFormatting sqref="G316:H316 K316">
    <cfRule type="containsText" dxfId="0" priority="1698" operator="containsText" text="Closed">
      <formula>NOT(ISERROR(SEARCH(("Closed"),(G316))))</formula>
    </cfRule>
  </conditionalFormatting>
  <conditionalFormatting sqref="G316:H316 K316">
    <cfRule type="containsText" dxfId="3" priority="1699" operator="containsText" text="Monitor">
      <formula>NOT(ISERROR(SEARCH(("Monitor"),(G316))))</formula>
    </cfRule>
  </conditionalFormatting>
  <conditionalFormatting sqref="A315:AC316">
    <cfRule type="notContainsBlanks" dxfId="8" priority="1700">
      <formula>LEN(TRIM(A315))&gt;0</formula>
    </cfRule>
  </conditionalFormatting>
  <conditionalFormatting sqref="A316:K316">
    <cfRule type="expression" dxfId="7" priority="1701">
      <formula>if($G316="Closed",1,0)</formula>
    </cfRule>
  </conditionalFormatting>
  <conditionalFormatting sqref="G314:H314 K314">
    <cfRule type="containsText" dxfId="1" priority="1702" operator="containsText" text="Open">
      <formula>NOT(ISERROR(SEARCH(("Open"),(G314))))</formula>
    </cfRule>
  </conditionalFormatting>
  <conditionalFormatting sqref="G314:H314 K314">
    <cfRule type="containsText" dxfId="0" priority="1703" operator="containsText" text="Closed">
      <formula>NOT(ISERROR(SEARCH(("Closed"),(G314))))</formula>
    </cfRule>
  </conditionalFormatting>
  <conditionalFormatting sqref="G314:H314 K314">
    <cfRule type="containsText" dxfId="3" priority="1704" operator="containsText" text="Monitor">
      <formula>NOT(ISERROR(SEARCH(("Monitor"),(G314))))</formula>
    </cfRule>
  </conditionalFormatting>
  <conditionalFormatting sqref="A313:AC314">
    <cfRule type="notContainsBlanks" dxfId="8" priority="1705">
      <formula>LEN(TRIM(A313))&gt;0</formula>
    </cfRule>
  </conditionalFormatting>
  <conditionalFormatting sqref="A314:K314">
    <cfRule type="expression" dxfId="7" priority="1706">
      <formula>if($G314="Closed",1,0)</formula>
    </cfRule>
  </conditionalFormatting>
  <conditionalFormatting sqref="G312:H312 K312">
    <cfRule type="containsText" dxfId="1" priority="1707" operator="containsText" text="Open">
      <formula>NOT(ISERROR(SEARCH(("Open"),(G312))))</formula>
    </cfRule>
  </conditionalFormatting>
  <conditionalFormatting sqref="G312:H312 K312">
    <cfRule type="containsText" dxfId="0" priority="1708" operator="containsText" text="Closed">
      <formula>NOT(ISERROR(SEARCH(("Closed"),(G312))))</formula>
    </cfRule>
  </conditionalFormatting>
  <conditionalFormatting sqref="G312:H312 K312">
    <cfRule type="containsText" dxfId="3" priority="1709" operator="containsText" text="Monitor">
      <formula>NOT(ISERROR(SEARCH(("Monitor"),(G312))))</formula>
    </cfRule>
  </conditionalFormatting>
  <conditionalFormatting sqref="A311:AC312">
    <cfRule type="notContainsBlanks" dxfId="8" priority="1710">
      <formula>LEN(TRIM(A311))&gt;0</formula>
    </cfRule>
  </conditionalFormatting>
  <conditionalFormatting sqref="A312:K312">
    <cfRule type="expression" dxfId="7" priority="1711">
      <formula>if($G312="Closed",1,0)</formula>
    </cfRule>
  </conditionalFormatting>
  <conditionalFormatting sqref="G310:H310 K310">
    <cfRule type="containsText" dxfId="1" priority="1712" operator="containsText" text="Open">
      <formula>NOT(ISERROR(SEARCH(("Open"),(G310))))</formula>
    </cfRule>
  </conditionalFormatting>
  <conditionalFormatting sqref="G310:H310 K310">
    <cfRule type="containsText" dxfId="0" priority="1713" operator="containsText" text="Closed">
      <formula>NOT(ISERROR(SEARCH(("Closed"),(G310))))</formula>
    </cfRule>
  </conditionalFormatting>
  <conditionalFormatting sqref="G310:H310 K310">
    <cfRule type="containsText" dxfId="3" priority="1714" operator="containsText" text="Monitor">
      <formula>NOT(ISERROR(SEARCH(("Monitor"),(G310))))</formula>
    </cfRule>
  </conditionalFormatting>
  <conditionalFormatting sqref="A309:AC310">
    <cfRule type="notContainsBlanks" dxfId="8" priority="1715">
      <formula>LEN(TRIM(A309))&gt;0</formula>
    </cfRule>
  </conditionalFormatting>
  <conditionalFormatting sqref="A310:K310">
    <cfRule type="expression" dxfId="7" priority="1716">
      <formula>if($G310="Closed",1,0)</formula>
    </cfRule>
  </conditionalFormatting>
  <conditionalFormatting sqref="G308:H308 K308">
    <cfRule type="containsText" dxfId="1" priority="1717" operator="containsText" text="Open">
      <formula>NOT(ISERROR(SEARCH(("Open"),(G308))))</formula>
    </cfRule>
  </conditionalFormatting>
  <conditionalFormatting sqref="G308:H308 K308">
    <cfRule type="containsText" dxfId="0" priority="1718" operator="containsText" text="Closed">
      <formula>NOT(ISERROR(SEARCH(("Closed"),(G308))))</formula>
    </cfRule>
  </conditionalFormatting>
  <conditionalFormatting sqref="G308:H308 K308">
    <cfRule type="containsText" dxfId="3" priority="1719" operator="containsText" text="Monitor">
      <formula>NOT(ISERROR(SEARCH(("Monitor"),(G308))))</formula>
    </cfRule>
  </conditionalFormatting>
  <conditionalFormatting sqref="A307:AC308">
    <cfRule type="notContainsBlanks" dxfId="8" priority="1720">
      <formula>LEN(TRIM(A307))&gt;0</formula>
    </cfRule>
  </conditionalFormatting>
  <conditionalFormatting sqref="A308:K308">
    <cfRule type="expression" dxfId="7" priority="1721">
      <formula>if($G308="Closed",1,0)</formula>
    </cfRule>
  </conditionalFormatting>
  <conditionalFormatting sqref="G306:H306 K306">
    <cfRule type="containsText" dxfId="1" priority="1722" operator="containsText" text="Open">
      <formula>NOT(ISERROR(SEARCH(("Open"),(G306))))</formula>
    </cfRule>
  </conditionalFormatting>
  <conditionalFormatting sqref="G306:H306 K306">
    <cfRule type="containsText" dxfId="0" priority="1723" operator="containsText" text="Closed">
      <formula>NOT(ISERROR(SEARCH(("Closed"),(G306))))</formula>
    </cfRule>
  </conditionalFormatting>
  <conditionalFormatting sqref="G306:H306 K306">
    <cfRule type="containsText" dxfId="3" priority="1724" operator="containsText" text="Monitor">
      <formula>NOT(ISERROR(SEARCH(("Monitor"),(G306))))</formula>
    </cfRule>
  </conditionalFormatting>
  <conditionalFormatting sqref="A305:AC306">
    <cfRule type="notContainsBlanks" dxfId="8" priority="1725">
      <formula>LEN(TRIM(A305))&gt;0</formula>
    </cfRule>
  </conditionalFormatting>
  <conditionalFormatting sqref="A306:K306">
    <cfRule type="expression" dxfId="7" priority="1726">
      <formula>if($G306="Closed",1,0)</formula>
    </cfRule>
  </conditionalFormatting>
  <conditionalFormatting sqref="G304:H304 K304">
    <cfRule type="containsText" dxfId="1" priority="1727" operator="containsText" text="Open">
      <formula>NOT(ISERROR(SEARCH(("Open"),(G304))))</formula>
    </cfRule>
  </conditionalFormatting>
  <conditionalFormatting sqref="G304:H304 K304">
    <cfRule type="containsText" dxfId="0" priority="1728" operator="containsText" text="Closed">
      <formula>NOT(ISERROR(SEARCH(("Closed"),(G304))))</formula>
    </cfRule>
  </conditionalFormatting>
  <conditionalFormatting sqref="G304:H304 K304">
    <cfRule type="containsText" dxfId="3" priority="1729" operator="containsText" text="Monitor">
      <formula>NOT(ISERROR(SEARCH(("Monitor"),(G304))))</formula>
    </cfRule>
  </conditionalFormatting>
  <conditionalFormatting sqref="A303:AC304">
    <cfRule type="notContainsBlanks" dxfId="8" priority="1730">
      <formula>LEN(TRIM(A303))&gt;0</formula>
    </cfRule>
  </conditionalFormatting>
  <conditionalFormatting sqref="A304:K304">
    <cfRule type="expression" dxfId="7" priority="1731">
      <formula>if($G304="Closed",1,0)</formula>
    </cfRule>
  </conditionalFormatting>
  <conditionalFormatting sqref="G302:H302 K302">
    <cfRule type="containsText" dxfId="1" priority="1732" operator="containsText" text="Open">
      <formula>NOT(ISERROR(SEARCH(("Open"),(G302))))</formula>
    </cfRule>
  </conditionalFormatting>
  <conditionalFormatting sqref="G302:H302 K302">
    <cfRule type="containsText" dxfId="0" priority="1733" operator="containsText" text="Closed">
      <formula>NOT(ISERROR(SEARCH(("Closed"),(G302))))</formula>
    </cfRule>
  </conditionalFormatting>
  <conditionalFormatting sqref="G302:H302 K302">
    <cfRule type="containsText" dxfId="3" priority="1734" operator="containsText" text="Monitor">
      <formula>NOT(ISERROR(SEARCH(("Monitor"),(G302))))</formula>
    </cfRule>
  </conditionalFormatting>
  <conditionalFormatting sqref="A301:AC302">
    <cfRule type="notContainsBlanks" dxfId="8" priority="1735">
      <formula>LEN(TRIM(A301))&gt;0</formula>
    </cfRule>
  </conditionalFormatting>
  <conditionalFormatting sqref="A302:K302">
    <cfRule type="expression" dxfId="7" priority="1736">
      <formula>if($G302="Closed",1,0)</formula>
    </cfRule>
  </conditionalFormatting>
  <conditionalFormatting sqref="G300:H300 K300">
    <cfRule type="containsText" dxfId="1" priority="1737" operator="containsText" text="Open">
      <formula>NOT(ISERROR(SEARCH(("Open"),(G300))))</formula>
    </cfRule>
  </conditionalFormatting>
  <conditionalFormatting sqref="G300:H300 K300">
    <cfRule type="containsText" dxfId="0" priority="1738" operator="containsText" text="Closed">
      <formula>NOT(ISERROR(SEARCH(("Closed"),(G300))))</formula>
    </cfRule>
  </conditionalFormatting>
  <conditionalFormatting sqref="G300:H300 K300">
    <cfRule type="containsText" dxfId="3" priority="1739" operator="containsText" text="Monitor">
      <formula>NOT(ISERROR(SEARCH(("Monitor"),(G300))))</formula>
    </cfRule>
  </conditionalFormatting>
  <conditionalFormatting sqref="A299:AC300">
    <cfRule type="notContainsBlanks" dxfId="8" priority="1740">
      <formula>LEN(TRIM(A299))&gt;0</formula>
    </cfRule>
  </conditionalFormatting>
  <conditionalFormatting sqref="A300:K300">
    <cfRule type="expression" dxfId="7" priority="1741">
      <formula>if($G300="Closed",1,0)</formula>
    </cfRule>
  </conditionalFormatting>
  <conditionalFormatting sqref="G298:H298 K298">
    <cfRule type="containsText" dxfId="1" priority="1742" operator="containsText" text="Open">
      <formula>NOT(ISERROR(SEARCH(("Open"),(G298))))</formula>
    </cfRule>
  </conditionalFormatting>
  <conditionalFormatting sqref="G298:H298 K298">
    <cfRule type="containsText" dxfId="0" priority="1743" operator="containsText" text="Closed">
      <formula>NOT(ISERROR(SEARCH(("Closed"),(G298))))</formula>
    </cfRule>
  </conditionalFormatting>
  <conditionalFormatting sqref="G298:H298 K298">
    <cfRule type="containsText" dxfId="3" priority="1744" operator="containsText" text="Monitor">
      <formula>NOT(ISERROR(SEARCH(("Monitor"),(G298))))</formula>
    </cfRule>
  </conditionalFormatting>
  <conditionalFormatting sqref="A297:AC298">
    <cfRule type="notContainsBlanks" dxfId="8" priority="1745">
      <formula>LEN(TRIM(A297))&gt;0</formula>
    </cfRule>
  </conditionalFormatting>
  <conditionalFormatting sqref="A298:K298">
    <cfRule type="expression" dxfId="7" priority="1746">
      <formula>if($G298="Closed",1,0)</formula>
    </cfRule>
  </conditionalFormatting>
  <conditionalFormatting sqref="G296:H296 K296">
    <cfRule type="containsText" dxfId="1" priority="1747" operator="containsText" text="Open">
      <formula>NOT(ISERROR(SEARCH(("Open"),(G296))))</formula>
    </cfRule>
  </conditionalFormatting>
  <conditionalFormatting sqref="G296:H296 K296">
    <cfRule type="containsText" dxfId="0" priority="1748" operator="containsText" text="Closed">
      <formula>NOT(ISERROR(SEARCH(("Closed"),(G296))))</formula>
    </cfRule>
  </conditionalFormatting>
  <conditionalFormatting sqref="G296:H296 K296">
    <cfRule type="containsText" dxfId="3" priority="1749" operator="containsText" text="Monitor">
      <formula>NOT(ISERROR(SEARCH(("Monitor"),(G296))))</formula>
    </cfRule>
  </conditionalFormatting>
  <conditionalFormatting sqref="A295:AC296">
    <cfRule type="notContainsBlanks" dxfId="8" priority="1750">
      <formula>LEN(TRIM(A295))&gt;0</formula>
    </cfRule>
  </conditionalFormatting>
  <conditionalFormatting sqref="A296:K296">
    <cfRule type="expression" dxfId="7" priority="1751">
      <formula>if($G296="Closed",1,0)</formula>
    </cfRule>
  </conditionalFormatting>
  <conditionalFormatting sqref="G294:H294 K294">
    <cfRule type="containsText" dxfId="1" priority="1752" operator="containsText" text="Open">
      <formula>NOT(ISERROR(SEARCH(("Open"),(G294))))</formula>
    </cfRule>
  </conditionalFormatting>
  <conditionalFormatting sqref="G294:H294 K294">
    <cfRule type="containsText" dxfId="0" priority="1753" operator="containsText" text="Closed">
      <formula>NOT(ISERROR(SEARCH(("Closed"),(G294))))</formula>
    </cfRule>
  </conditionalFormatting>
  <conditionalFormatting sqref="G294:H294 K294">
    <cfRule type="containsText" dxfId="3" priority="1754" operator="containsText" text="Monitor">
      <formula>NOT(ISERROR(SEARCH(("Monitor"),(G294))))</formula>
    </cfRule>
  </conditionalFormatting>
  <conditionalFormatting sqref="A293:AC294">
    <cfRule type="notContainsBlanks" dxfId="8" priority="1755">
      <formula>LEN(TRIM(A293))&gt;0</formula>
    </cfRule>
  </conditionalFormatting>
  <conditionalFormatting sqref="A294:K294">
    <cfRule type="expression" dxfId="7" priority="1756">
      <formula>if($G294="Closed",1,0)</formula>
    </cfRule>
  </conditionalFormatting>
  <conditionalFormatting sqref="G292:H292 K292">
    <cfRule type="containsText" dxfId="1" priority="1757" operator="containsText" text="Open">
      <formula>NOT(ISERROR(SEARCH(("Open"),(G292))))</formula>
    </cfRule>
  </conditionalFormatting>
  <conditionalFormatting sqref="G292:H292 K292">
    <cfRule type="containsText" dxfId="0" priority="1758" operator="containsText" text="Closed">
      <formula>NOT(ISERROR(SEARCH(("Closed"),(G292))))</formula>
    </cfRule>
  </conditionalFormatting>
  <conditionalFormatting sqref="G292:H292 K292">
    <cfRule type="containsText" dxfId="3" priority="1759" operator="containsText" text="Monitor">
      <formula>NOT(ISERROR(SEARCH(("Monitor"),(G292))))</formula>
    </cfRule>
  </conditionalFormatting>
  <conditionalFormatting sqref="A291:AC292">
    <cfRule type="notContainsBlanks" dxfId="8" priority="1760">
      <formula>LEN(TRIM(A291))&gt;0</formula>
    </cfRule>
  </conditionalFormatting>
  <conditionalFormatting sqref="A292:K292">
    <cfRule type="expression" dxfId="7" priority="1761">
      <formula>if($G292="Closed",1,0)</formula>
    </cfRule>
  </conditionalFormatting>
  <conditionalFormatting sqref="G290:H290 K290">
    <cfRule type="containsText" dxfId="1" priority="1762" operator="containsText" text="Open">
      <formula>NOT(ISERROR(SEARCH(("Open"),(G290))))</formula>
    </cfRule>
  </conditionalFormatting>
  <conditionalFormatting sqref="G290:H290 K290">
    <cfRule type="containsText" dxfId="0" priority="1763" operator="containsText" text="Closed">
      <formula>NOT(ISERROR(SEARCH(("Closed"),(G290))))</formula>
    </cfRule>
  </conditionalFormatting>
  <conditionalFormatting sqref="G290:H290 K290">
    <cfRule type="containsText" dxfId="3" priority="1764" operator="containsText" text="Monitor">
      <formula>NOT(ISERROR(SEARCH(("Monitor"),(G290))))</formula>
    </cfRule>
  </conditionalFormatting>
  <conditionalFormatting sqref="A289:AC290">
    <cfRule type="notContainsBlanks" dxfId="8" priority="1765">
      <formula>LEN(TRIM(A289))&gt;0</formula>
    </cfRule>
  </conditionalFormatting>
  <conditionalFormatting sqref="A290:K290">
    <cfRule type="expression" dxfId="7" priority="1766">
      <formula>if($G290="Closed",1,0)</formula>
    </cfRule>
  </conditionalFormatting>
  <conditionalFormatting sqref="G288:H288 K288">
    <cfRule type="containsText" dxfId="1" priority="1767" operator="containsText" text="Open">
      <formula>NOT(ISERROR(SEARCH(("Open"),(G288))))</formula>
    </cfRule>
  </conditionalFormatting>
  <conditionalFormatting sqref="G288:H288 K288">
    <cfRule type="containsText" dxfId="0" priority="1768" operator="containsText" text="Closed">
      <formula>NOT(ISERROR(SEARCH(("Closed"),(G288))))</formula>
    </cfRule>
  </conditionalFormatting>
  <conditionalFormatting sqref="G288:H288 K288">
    <cfRule type="containsText" dxfId="3" priority="1769" operator="containsText" text="Monitor">
      <formula>NOT(ISERROR(SEARCH(("Monitor"),(G288))))</formula>
    </cfRule>
  </conditionalFormatting>
  <conditionalFormatting sqref="A287:AC288">
    <cfRule type="notContainsBlanks" dxfId="8" priority="1770">
      <formula>LEN(TRIM(A287))&gt;0</formula>
    </cfRule>
  </conditionalFormatting>
  <conditionalFormatting sqref="A288:K288">
    <cfRule type="expression" dxfId="7" priority="1771">
      <formula>if($G288="Closed",1,0)</formula>
    </cfRule>
  </conditionalFormatting>
  <conditionalFormatting sqref="G286:H286 K286">
    <cfRule type="containsText" dxfId="1" priority="1772" operator="containsText" text="Open">
      <formula>NOT(ISERROR(SEARCH(("Open"),(G286))))</formula>
    </cfRule>
  </conditionalFormatting>
  <conditionalFormatting sqref="G286:H286 K286">
    <cfRule type="containsText" dxfId="0" priority="1773" operator="containsText" text="Closed">
      <formula>NOT(ISERROR(SEARCH(("Closed"),(G286))))</formula>
    </cfRule>
  </conditionalFormatting>
  <conditionalFormatting sqref="G286:H286 K286">
    <cfRule type="containsText" dxfId="3" priority="1774" operator="containsText" text="Monitor">
      <formula>NOT(ISERROR(SEARCH(("Monitor"),(G286))))</formula>
    </cfRule>
  </conditionalFormatting>
  <conditionalFormatting sqref="A285:AC286">
    <cfRule type="notContainsBlanks" dxfId="8" priority="1775">
      <formula>LEN(TRIM(A285))&gt;0</formula>
    </cfRule>
  </conditionalFormatting>
  <conditionalFormatting sqref="A286:K286">
    <cfRule type="expression" dxfId="7" priority="1776">
      <formula>if($G286="Closed",1,0)</formula>
    </cfRule>
  </conditionalFormatting>
  <conditionalFormatting sqref="G284:H284 K284">
    <cfRule type="containsText" dxfId="1" priority="1777" operator="containsText" text="Open">
      <formula>NOT(ISERROR(SEARCH(("Open"),(G284))))</formula>
    </cfRule>
  </conditionalFormatting>
  <conditionalFormatting sqref="G284:H284 K284">
    <cfRule type="containsText" dxfId="0" priority="1778" operator="containsText" text="Closed">
      <formula>NOT(ISERROR(SEARCH(("Closed"),(G284))))</formula>
    </cfRule>
  </conditionalFormatting>
  <conditionalFormatting sqref="G284:H284 K284">
    <cfRule type="containsText" dxfId="3" priority="1779" operator="containsText" text="Monitor">
      <formula>NOT(ISERROR(SEARCH(("Monitor"),(G284))))</formula>
    </cfRule>
  </conditionalFormatting>
  <conditionalFormatting sqref="A283:AC284">
    <cfRule type="notContainsBlanks" dxfId="8" priority="1780">
      <formula>LEN(TRIM(A283))&gt;0</formula>
    </cfRule>
  </conditionalFormatting>
  <conditionalFormatting sqref="A284:K284">
    <cfRule type="expression" dxfId="7" priority="1781">
      <formula>if($G284="Closed",1,0)</formula>
    </cfRule>
  </conditionalFormatting>
  <conditionalFormatting sqref="G282:H282 K282">
    <cfRule type="containsText" dxfId="1" priority="1782" operator="containsText" text="Open">
      <formula>NOT(ISERROR(SEARCH(("Open"),(G282))))</formula>
    </cfRule>
  </conditionalFormatting>
  <conditionalFormatting sqref="G282:H282 K282">
    <cfRule type="containsText" dxfId="0" priority="1783" operator="containsText" text="Closed">
      <formula>NOT(ISERROR(SEARCH(("Closed"),(G282))))</formula>
    </cfRule>
  </conditionalFormatting>
  <conditionalFormatting sqref="G282:H282 K282">
    <cfRule type="containsText" dxfId="3" priority="1784" operator="containsText" text="Monitor">
      <formula>NOT(ISERROR(SEARCH(("Monitor"),(G282))))</formula>
    </cfRule>
  </conditionalFormatting>
  <conditionalFormatting sqref="A281:AC282">
    <cfRule type="notContainsBlanks" dxfId="8" priority="1785">
      <formula>LEN(TRIM(A281))&gt;0</formula>
    </cfRule>
  </conditionalFormatting>
  <conditionalFormatting sqref="A282:K282">
    <cfRule type="expression" dxfId="7" priority="1786">
      <formula>if($G282="Closed",1,0)</formula>
    </cfRule>
  </conditionalFormatting>
  <conditionalFormatting sqref="G280:H280 K280">
    <cfRule type="containsText" dxfId="1" priority="1787" operator="containsText" text="Open">
      <formula>NOT(ISERROR(SEARCH(("Open"),(G280))))</formula>
    </cfRule>
  </conditionalFormatting>
  <conditionalFormatting sqref="G280:H280 K280">
    <cfRule type="containsText" dxfId="0" priority="1788" operator="containsText" text="Closed">
      <formula>NOT(ISERROR(SEARCH(("Closed"),(G280))))</formula>
    </cfRule>
  </conditionalFormatting>
  <conditionalFormatting sqref="G280:H280 K280">
    <cfRule type="containsText" dxfId="3" priority="1789" operator="containsText" text="Monitor">
      <formula>NOT(ISERROR(SEARCH(("Monitor"),(G280))))</formula>
    </cfRule>
  </conditionalFormatting>
  <conditionalFormatting sqref="A279:AC280">
    <cfRule type="notContainsBlanks" dxfId="8" priority="1790">
      <formula>LEN(TRIM(A279))&gt;0</formula>
    </cfRule>
  </conditionalFormatting>
  <conditionalFormatting sqref="A280:K280">
    <cfRule type="expression" dxfId="7" priority="1791">
      <formula>if($G280="Closed",1,0)</formula>
    </cfRule>
  </conditionalFormatting>
  <conditionalFormatting sqref="G278:H278 K278">
    <cfRule type="containsText" dxfId="1" priority="1792" operator="containsText" text="Open">
      <formula>NOT(ISERROR(SEARCH(("Open"),(G278))))</formula>
    </cfRule>
  </conditionalFormatting>
  <conditionalFormatting sqref="G278:H278 K278">
    <cfRule type="containsText" dxfId="0" priority="1793" operator="containsText" text="Closed">
      <formula>NOT(ISERROR(SEARCH(("Closed"),(G278))))</formula>
    </cfRule>
  </conditionalFormatting>
  <conditionalFormatting sqref="G278:H278 K278">
    <cfRule type="containsText" dxfId="3" priority="1794" operator="containsText" text="Monitor">
      <formula>NOT(ISERROR(SEARCH(("Monitor"),(G278))))</formula>
    </cfRule>
  </conditionalFormatting>
  <conditionalFormatting sqref="A277:AC278">
    <cfRule type="notContainsBlanks" dxfId="8" priority="1795">
      <formula>LEN(TRIM(A277))&gt;0</formula>
    </cfRule>
  </conditionalFormatting>
  <conditionalFormatting sqref="A278:K278">
    <cfRule type="expression" dxfId="7" priority="1796">
      <formula>if($G278="Closed",1,0)</formula>
    </cfRule>
  </conditionalFormatting>
  <conditionalFormatting sqref="G276:H276 K276">
    <cfRule type="containsText" dxfId="1" priority="1797" operator="containsText" text="Open">
      <formula>NOT(ISERROR(SEARCH(("Open"),(G276))))</formula>
    </cfRule>
  </conditionalFormatting>
  <conditionalFormatting sqref="G276:H276 K276">
    <cfRule type="containsText" dxfId="0" priority="1798" operator="containsText" text="Closed">
      <formula>NOT(ISERROR(SEARCH(("Closed"),(G276))))</formula>
    </cfRule>
  </conditionalFormatting>
  <conditionalFormatting sqref="G276:H276 K276">
    <cfRule type="containsText" dxfId="3" priority="1799" operator="containsText" text="Monitor">
      <formula>NOT(ISERROR(SEARCH(("Monitor"),(G276))))</formula>
    </cfRule>
  </conditionalFormatting>
  <conditionalFormatting sqref="A275:AC276">
    <cfRule type="notContainsBlanks" dxfId="8" priority="1800">
      <formula>LEN(TRIM(A275))&gt;0</formula>
    </cfRule>
  </conditionalFormatting>
  <conditionalFormatting sqref="A276:K276">
    <cfRule type="expression" dxfId="7" priority="1801">
      <formula>if($G276="Closed",1,0)</formula>
    </cfRule>
  </conditionalFormatting>
  <conditionalFormatting sqref="G274:H274 K274">
    <cfRule type="containsText" dxfId="1" priority="1802" operator="containsText" text="Open">
      <formula>NOT(ISERROR(SEARCH(("Open"),(G274))))</formula>
    </cfRule>
  </conditionalFormatting>
  <conditionalFormatting sqref="G274:H274 K274">
    <cfRule type="containsText" dxfId="0" priority="1803" operator="containsText" text="Closed">
      <formula>NOT(ISERROR(SEARCH(("Closed"),(G274))))</formula>
    </cfRule>
  </conditionalFormatting>
  <conditionalFormatting sqref="G274:H274 K274">
    <cfRule type="containsText" dxfId="3" priority="1804" operator="containsText" text="Monitor">
      <formula>NOT(ISERROR(SEARCH(("Monitor"),(G274))))</formula>
    </cfRule>
  </conditionalFormatting>
  <conditionalFormatting sqref="A273:AC274">
    <cfRule type="notContainsBlanks" dxfId="8" priority="1805">
      <formula>LEN(TRIM(A273))&gt;0</formula>
    </cfRule>
  </conditionalFormatting>
  <conditionalFormatting sqref="A274:K274">
    <cfRule type="expression" dxfId="7" priority="1806">
      <formula>if($G274="Closed",1,0)</formula>
    </cfRule>
  </conditionalFormatting>
  <conditionalFormatting sqref="G272:H272 K272">
    <cfRule type="containsText" dxfId="1" priority="1807" operator="containsText" text="Open">
      <formula>NOT(ISERROR(SEARCH(("Open"),(G272))))</formula>
    </cfRule>
  </conditionalFormatting>
  <conditionalFormatting sqref="G272:H272 K272">
    <cfRule type="containsText" dxfId="0" priority="1808" operator="containsText" text="Closed">
      <formula>NOT(ISERROR(SEARCH(("Closed"),(G272))))</formula>
    </cfRule>
  </conditionalFormatting>
  <conditionalFormatting sqref="G272:H272 K272">
    <cfRule type="containsText" dxfId="3" priority="1809" operator="containsText" text="Monitor">
      <formula>NOT(ISERROR(SEARCH(("Monitor"),(G272))))</formula>
    </cfRule>
  </conditionalFormatting>
  <conditionalFormatting sqref="A271:AC272">
    <cfRule type="notContainsBlanks" dxfId="8" priority="1810">
      <formula>LEN(TRIM(A271))&gt;0</formula>
    </cfRule>
  </conditionalFormatting>
  <conditionalFormatting sqref="A272:K272">
    <cfRule type="expression" dxfId="7" priority="1811">
      <formula>if($G272="Closed",1,0)</formula>
    </cfRule>
  </conditionalFormatting>
  <conditionalFormatting sqref="G270:H270 K270">
    <cfRule type="containsText" dxfId="1" priority="1812" operator="containsText" text="Open">
      <formula>NOT(ISERROR(SEARCH(("Open"),(G270))))</formula>
    </cfRule>
  </conditionalFormatting>
  <conditionalFormatting sqref="G270:H270 K270">
    <cfRule type="containsText" dxfId="0" priority="1813" operator="containsText" text="Closed">
      <formula>NOT(ISERROR(SEARCH(("Closed"),(G270))))</formula>
    </cfRule>
  </conditionalFormatting>
  <conditionalFormatting sqref="G270:H270 K270">
    <cfRule type="containsText" dxfId="3" priority="1814" operator="containsText" text="Monitor">
      <formula>NOT(ISERROR(SEARCH(("Monitor"),(G270))))</formula>
    </cfRule>
  </conditionalFormatting>
  <conditionalFormatting sqref="A269:AC270">
    <cfRule type="notContainsBlanks" dxfId="8" priority="1815">
      <formula>LEN(TRIM(A269))&gt;0</formula>
    </cfRule>
  </conditionalFormatting>
  <conditionalFormatting sqref="A270:K270">
    <cfRule type="expression" dxfId="7" priority="1816">
      <formula>if($G270="Closed",1,0)</formula>
    </cfRule>
  </conditionalFormatting>
  <conditionalFormatting sqref="G268:H268 K268">
    <cfRule type="containsText" dxfId="1" priority="1817" operator="containsText" text="Open">
      <formula>NOT(ISERROR(SEARCH(("Open"),(G268))))</formula>
    </cfRule>
  </conditionalFormatting>
  <conditionalFormatting sqref="G268:H268 K268">
    <cfRule type="containsText" dxfId="0" priority="1818" operator="containsText" text="Closed">
      <formula>NOT(ISERROR(SEARCH(("Closed"),(G268))))</formula>
    </cfRule>
  </conditionalFormatting>
  <conditionalFormatting sqref="G268:H268 K268">
    <cfRule type="containsText" dxfId="3" priority="1819" operator="containsText" text="Monitor">
      <formula>NOT(ISERROR(SEARCH(("Monitor"),(G268))))</formula>
    </cfRule>
  </conditionalFormatting>
  <conditionalFormatting sqref="A267:AC268">
    <cfRule type="notContainsBlanks" dxfId="8" priority="1820">
      <formula>LEN(TRIM(A267))&gt;0</formula>
    </cfRule>
  </conditionalFormatting>
  <conditionalFormatting sqref="A268:K268">
    <cfRule type="expression" dxfId="7" priority="1821">
      <formula>if($G268="Closed",1,0)</formula>
    </cfRule>
  </conditionalFormatting>
  <conditionalFormatting sqref="G266:H266 K266">
    <cfRule type="containsText" dxfId="1" priority="1822" operator="containsText" text="Open">
      <formula>NOT(ISERROR(SEARCH(("Open"),(G266))))</formula>
    </cfRule>
  </conditionalFormatting>
  <conditionalFormatting sqref="G266:H266 K266">
    <cfRule type="containsText" dxfId="0" priority="1823" operator="containsText" text="Closed">
      <formula>NOT(ISERROR(SEARCH(("Closed"),(G266))))</formula>
    </cfRule>
  </conditionalFormatting>
  <conditionalFormatting sqref="G266:H266 K266">
    <cfRule type="containsText" dxfId="3" priority="1824" operator="containsText" text="Monitor">
      <formula>NOT(ISERROR(SEARCH(("Monitor"),(G266))))</formula>
    </cfRule>
  </conditionalFormatting>
  <conditionalFormatting sqref="A265:AC266">
    <cfRule type="notContainsBlanks" dxfId="8" priority="1825">
      <formula>LEN(TRIM(A265))&gt;0</formula>
    </cfRule>
  </conditionalFormatting>
  <conditionalFormatting sqref="A266:K266">
    <cfRule type="expression" dxfId="7" priority="1826">
      <formula>if($G266="Closed",1,0)</formula>
    </cfRule>
  </conditionalFormatting>
  <conditionalFormatting sqref="G264:H264 K264">
    <cfRule type="containsText" dxfId="1" priority="1827" operator="containsText" text="Open">
      <formula>NOT(ISERROR(SEARCH(("Open"),(G264))))</formula>
    </cfRule>
  </conditionalFormatting>
  <conditionalFormatting sqref="G264:H264 K264">
    <cfRule type="containsText" dxfId="0" priority="1828" operator="containsText" text="Closed">
      <formula>NOT(ISERROR(SEARCH(("Closed"),(G264))))</formula>
    </cfRule>
  </conditionalFormatting>
  <conditionalFormatting sqref="G264:H264 K264">
    <cfRule type="containsText" dxfId="3" priority="1829" operator="containsText" text="Monitor">
      <formula>NOT(ISERROR(SEARCH(("Monitor"),(G264))))</formula>
    </cfRule>
  </conditionalFormatting>
  <conditionalFormatting sqref="A263:AC264">
    <cfRule type="notContainsBlanks" dxfId="8" priority="1830">
      <formula>LEN(TRIM(A263))&gt;0</formula>
    </cfRule>
  </conditionalFormatting>
  <conditionalFormatting sqref="A264:K264">
    <cfRule type="expression" dxfId="7" priority="1831">
      <formula>if($G264="Closed",1,0)</formula>
    </cfRule>
  </conditionalFormatting>
  <conditionalFormatting sqref="G262:H262 K262">
    <cfRule type="containsText" dxfId="1" priority="1832" operator="containsText" text="Open">
      <formula>NOT(ISERROR(SEARCH(("Open"),(G262))))</formula>
    </cfRule>
  </conditionalFormatting>
  <conditionalFormatting sqref="G262:H262 K262">
    <cfRule type="containsText" dxfId="0" priority="1833" operator="containsText" text="Closed">
      <formula>NOT(ISERROR(SEARCH(("Closed"),(G262))))</formula>
    </cfRule>
  </conditionalFormatting>
  <conditionalFormatting sqref="G262:H262 K262">
    <cfRule type="containsText" dxfId="3" priority="1834" operator="containsText" text="Monitor">
      <formula>NOT(ISERROR(SEARCH(("Monitor"),(G262))))</formula>
    </cfRule>
  </conditionalFormatting>
  <conditionalFormatting sqref="A261:AC262">
    <cfRule type="notContainsBlanks" dxfId="8" priority="1835">
      <formula>LEN(TRIM(A261))&gt;0</formula>
    </cfRule>
  </conditionalFormatting>
  <conditionalFormatting sqref="A262:K262">
    <cfRule type="expression" dxfId="7" priority="1836">
      <formula>if($G262="Closed",1,0)</formula>
    </cfRule>
  </conditionalFormatting>
  <conditionalFormatting sqref="G260:H260 K260">
    <cfRule type="containsText" dxfId="1" priority="1837" operator="containsText" text="Open">
      <formula>NOT(ISERROR(SEARCH(("Open"),(G260))))</formula>
    </cfRule>
  </conditionalFormatting>
  <conditionalFormatting sqref="G260:H260 K260">
    <cfRule type="containsText" dxfId="0" priority="1838" operator="containsText" text="Closed">
      <formula>NOT(ISERROR(SEARCH(("Closed"),(G260))))</formula>
    </cfRule>
  </conditionalFormatting>
  <conditionalFormatting sqref="G260:H260 K260">
    <cfRule type="containsText" dxfId="3" priority="1839" operator="containsText" text="Monitor">
      <formula>NOT(ISERROR(SEARCH(("Monitor"),(G260))))</formula>
    </cfRule>
  </conditionalFormatting>
  <conditionalFormatting sqref="A259:AC260">
    <cfRule type="notContainsBlanks" dxfId="8" priority="1840">
      <formula>LEN(TRIM(A259))&gt;0</formula>
    </cfRule>
  </conditionalFormatting>
  <conditionalFormatting sqref="A260:K260">
    <cfRule type="expression" dxfId="7" priority="1841">
      <formula>if($G260="Closed",1,0)</formula>
    </cfRule>
  </conditionalFormatting>
  <conditionalFormatting sqref="G258:H258 K258">
    <cfRule type="containsText" dxfId="1" priority="1842" operator="containsText" text="Open">
      <formula>NOT(ISERROR(SEARCH(("Open"),(G258))))</formula>
    </cfRule>
  </conditionalFormatting>
  <conditionalFormatting sqref="G258:H258 K258">
    <cfRule type="containsText" dxfId="0" priority="1843" operator="containsText" text="Closed">
      <formula>NOT(ISERROR(SEARCH(("Closed"),(G258))))</formula>
    </cfRule>
  </conditionalFormatting>
  <conditionalFormatting sqref="G258:H258 K258">
    <cfRule type="containsText" dxfId="3" priority="1844" operator="containsText" text="Monitor">
      <formula>NOT(ISERROR(SEARCH(("Monitor"),(G258))))</formula>
    </cfRule>
  </conditionalFormatting>
  <conditionalFormatting sqref="A257:AC258">
    <cfRule type="notContainsBlanks" dxfId="8" priority="1845">
      <formula>LEN(TRIM(A257))&gt;0</formula>
    </cfRule>
  </conditionalFormatting>
  <conditionalFormatting sqref="A258:K258">
    <cfRule type="expression" dxfId="7" priority="1846">
      <formula>if($G258="Closed",1,0)</formula>
    </cfRule>
  </conditionalFormatting>
  <conditionalFormatting sqref="G256:H256 K256">
    <cfRule type="containsText" dxfId="1" priority="1847" operator="containsText" text="Open">
      <formula>NOT(ISERROR(SEARCH(("Open"),(G256))))</formula>
    </cfRule>
  </conditionalFormatting>
  <conditionalFormatting sqref="G256:H256 K256">
    <cfRule type="containsText" dxfId="0" priority="1848" operator="containsText" text="Closed">
      <formula>NOT(ISERROR(SEARCH(("Closed"),(G256))))</formula>
    </cfRule>
  </conditionalFormatting>
  <conditionalFormatting sqref="G256:H256 K256">
    <cfRule type="containsText" dxfId="3" priority="1849" operator="containsText" text="Monitor">
      <formula>NOT(ISERROR(SEARCH(("Monitor"),(G256))))</formula>
    </cfRule>
  </conditionalFormatting>
  <conditionalFormatting sqref="A255:AC256">
    <cfRule type="notContainsBlanks" dxfId="8" priority="1850">
      <formula>LEN(TRIM(A255))&gt;0</formula>
    </cfRule>
  </conditionalFormatting>
  <conditionalFormatting sqref="A256:K256">
    <cfRule type="expression" dxfId="7" priority="1851">
      <formula>if($G256="Closed",1,0)</formula>
    </cfRule>
  </conditionalFormatting>
  <conditionalFormatting sqref="G254:H254 K254">
    <cfRule type="containsText" dxfId="1" priority="1852" operator="containsText" text="Open">
      <formula>NOT(ISERROR(SEARCH(("Open"),(G254))))</formula>
    </cfRule>
  </conditionalFormatting>
  <conditionalFormatting sqref="G254:H254 K254">
    <cfRule type="containsText" dxfId="0" priority="1853" operator="containsText" text="Closed">
      <formula>NOT(ISERROR(SEARCH(("Closed"),(G254))))</formula>
    </cfRule>
  </conditionalFormatting>
  <conditionalFormatting sqref="G254:H254 K254">
    <cfRule type="containsText" dxfId="3" priority="1854" operator="containsText" text="Monitor">
      <formula>NOT(ISERROR(SEARCH(("Monitor"),(G254))))</formula>
    </cfRule>
  </conditionalFormatting>
  <conditionalFormatting sqref="A253:AC254">
    <cfRule type="notContainsBlanks" dxfId="8" priority="1855">
      <formula>LEN(TRIM(A253))&gt;0</formula>
    </cfRule>
  </conditionalFormatting>
  <conditionalFormatting sqref="A254:K254">
    <cfRule type="expression" dxfId="7" priority="1856">
      <formula>if($G254="Closed",1,0)</formula>
    </cfRule>
  </conditionalFormatting>
  <conditionalFormatting sqref="G252:H252 K252">
    <cfRule type="containsText" dxfId="1" priority="1857" operator="containsText" text="Open">
      <formula>NOT(ISERROR(SEARCH(("Open"),(G252))))</formula>
    </cfRule>
  </conditionalFormatting>
  <conditionalFormatting sqref="G252:H252 K252">
    <cfRule type="containsText" dxfId="0" priority="1858" operator="containsText" text="Closed">
      <formula>NOT(ISERROR(SEARCH(("Closed"),(G252))))</formula>
    </cfRule>
  </conditionalFormatting>
  <conditionalFormatting sqref="G252:H252 K252">
    <cfRule type="containsText" dxfId="3" priority="1859" operator="containsText" text="Monitor">
      <formula>NOT(ISERROR(SEARCH(("Monitor"),(G252))))</formula>
    </cfRule>
  </conditionalFormatting>
  <conditionalFormatting sqref="A251:AC252">
    <cfRule type="notContainsBlanks" dxfId="8" priority="1860">
      <formula>LEN(TRIM(A251))&gt;0</formula>
    </cfRule>
  </conditionalFormatting>
  <conditionalFormatting sqref="A252:K252">
    <cfRule type="expression" dxfId="7" priority="1861">
      <formula>if($G252="Closed",1,0)</formula>
    </cfRule>
  </conditionalFormatting>
  <conditionalFormatting sqref="G250:H250 K250">
    <cfRule type="containsText" dxfId="1" priority="1862" operator="containsText" text="Open">
      <formula>NOT(ISERROR(SEARCH(("Open"),(G250))))</formula>
    </cfRule>
  </conditionalFormatting>
  <conditionalFormatting sqref="G250:H250 K250">
    <cfRule type="containsText" dxfId="0" priority="1863" operator="containsText" text="Closed">
      <formula>NOT(ISERROR(SEARCH(("Closed"),(G250))))</formula>
    </cfRule>
  </conditionalFormatting>
  <conditionalFormatting sqref="G250:H250 K250">
    <cfRule type="containsText" dxfId="3" priority="1864" operator="containsText" text="Monitor">
      <formula>NOT(ISERROR(SEARCH(("Monitor"),(G250))))</formula>
    </cfRule>
  </conditionalFormatting>
  <conditionalFormatting sqref="A249:AC250">
    <cfRule type="notContainsBlanks" dxfId="8" priority="1865">
      <formula>LEN(TRIM(A249))&gt;0</formula>
    </cfRule>
  </conditionalFormatting>
  <conditionalFormatting sqref="A250:K250">
    <cfRule type="expression" dxfId="7" priority="1866">
      <formula>if($G250="Closed",1,0)</formula>
    </cfRule>
  </conditionalFormatting>
  <conditionalFormatting sqref="G248:H248 K248">
    <cfRule type="containsText" dxfId="1" priority="1867" operator="containsText" text="Open">
      <formula>NOT(ISERROR(SEARCH(("Open"),(G248))))</formula>
    </cfRule>
  </conditionalFormatting>
  <conditionalFormatting sqref="G248:H248 K248">
    <cfRule type="containsText" dxfId="0" priority="1868" operator="containsText" text="Closed">
      <formula>NOT(ISERROR(SEARCH(("Closed"),(G248))))</formula>
    </cfRule>
  </conditionalFormatting>
  <conditionalFormatting sqref="G248:H248 K248">
    <cfRule type="containsText" dxfId="3" priority="1869" operator="containsText" text="Monitor">
      <formula>NOT(ISERROR(SEARCH(("Monitor"),(G248))))</formula>
    </cfRule>
  </conditionalFormatting>
  <conditionalFormatting sqref="A247:AC248">
    <cfRule type="notContainsBlanks" dxfId="8" priority="1870">
      <formula>LEN(TRIM(A247))&gt;0</formula>
    </cfRule>
  </conditionalFormatting>
  <conditionalFormatting sqref="A248:K248">
    <cfRule type="expression" dxfId="7" priority="1871">
      <formula>if($G248="Closed",1,0)</formula>
    </cfRule>
  </conditionalFormatting>
  <conditionalFormatting sqref="G246:H246 K246">
    <cfRule type="containsText" dxfId="1" priority="1872" operator="containsText" text="Open">
      <formula>NOT(ISERROR(SEARCH(("Open"),(G246))))</formula>
    </cfRule>
  </conditionalFormatting>
  <conditionalFormatting sqref="G246:H246 K246">
    <cfRule type="containsText" dxfId="0" priority="1873" operator="containsText" text="Closed">
      <formula>NOT(ISERROR(SEARCH(("Closed"),(G246))))</formula>
    </cfRule>
  </conditionalFormatting>
  <conditionalFormatting sqref="G246:H246 K246">
    <cfRule type="containsText" dxfId="3" priority="1874" operator="containsText" text="Monitor">
      <formula>NOT(ISERROR(SEARCH(("Monitor"),(G246))))</formula>
    </cfRule>
  </conditionalFormatting>
  <conditionalFormatting sqref="A245:AC246">
    <cfRule type="notContainsBlanks" dxfId="8" priority="1875">
      <formula>LEN(TRIM(A245))&gt;0</formula>
    </cfRule>
  </conditionalFormatting>
  <conditionalFormatting sqref="A246:K246">
    <cfRule type="expression" dxfId="7" priority="1876">
      <formula>if($G246="Closed",1,0)</formula>
    </cfRule>
  </conditionalFormatting>
  <conditionalFormatting sqref="G244:H244 K244">
    <cfRule type="containsText" dxfId="1" priority="1877" operator="containsText" text="Open">
      <formula>NOT(ISERROR(SEARCH(("Open"),(G244))))</formula>
    </cfRule>
  </conditionalFormatting>
  <conditionalFormatting sqref="G244:H244 K244">
    <cfRule type="containsText" dxfId="0" priority="1878" operator="containsText" text="Closed">
      <formula>NOT(ISERROR(SEARCH(("Closed"),(G244))))</formula>
    </cfRule>
  </conditionalFormatting>
  <conditionalFormatting sqref="G244:H244 K244">
    <cfRule type="containsText" dxfId="3" priority="1879" operator="containsText" text="Monitor">
      <formula>NOT(ISERROR(SEARCH(("Monitor"),(G244))))</formula>
    </cfRule>
  </conditionalFormatting>
  <conditionalFormatting sqref="A243:AC244">
    <cfRule type="notContainsBlanks" dxfId="8" priority="1880">
      <formula>LEN(TRIM(A243))&gt;0</formula>
    </cfRule>
  </conditionalFormatting>
  <conditionalFormatting sqref="A244:K244">
    <cfRule type="expression" dxfId="7" priority="1881">
      <formula>if($G244="Closed",1,0)</formula>
    </cfRule>
  </conditionalFormatting>
  <conditionalFormatting sqref="G242:H242 K242">
    <cfRule type="containsText" dxfId="1" priority="1882" operator="containsText" text="Open">
      <formula>NOT(ISERROR(SEARCH(("Open"),(G242))))</formula>
    </cfRule>
  </conditionalFormatting>
  <conditionalFormatting sqref="G242:H242 K242">
    <cfRule type="containsText" dxfId="0" priority="1883" operator="containsText" text="Closed">
      <formula>NOT(ISERROR(SEARCH(("Closed"),(G242))))</formula>
    </cfRule>
  </conditionalFormatting>
  <conditionalFormatting sqref="G242:H242 K242">
    <cfRule type="containsText" dxfId="3" priority="1884" operator="containsText" text="Monitor">
      <formula>NOT(ISERROR(SEARCH(("Monitor"),(G242))))</formula>
    </cfRule>
  </conditionalFormatting>
  <conditionalFormatting sqref="A241:AC242">
    <cfRule type="notContainsBlanks" dxfId="8" priority="1885">
      <formula>LEN(TRIM(A241))&gt;0</formula>
    </cfRule>
  </conditionalFormatting>
  <conditionalFormatting sqref="A242:K242">
    <cfRule type="expression" dxfId="7" priority="1886">
      <formula>if($G242="Closed",1,0)</formula>
    </cfRule>
  </conditionalFormatting>
  <conditionalFormatting sqref="G240:H240 K240">
    <cfRule type="containsText" dxfId="1" priority="1887" operator="containsText" text="Open">
      <formula>NOT(ISERROR(SEARCH(("Open"),(G240))))</formula>
    </cfRule>
  </conditionalFormatting>
  <conditionalFormatting sqref="G240:H240 K240">
    <cfRule type="containsText" dxfId="0" priority="1888" operator="containsText" text="Closed">
      <formula>NOT(ISERROR(SEARCH(("Closed"),(G240))))</formula>
    </cfRule>
  </conditionalFormatting>
  <conditionalFormatting sqref="G240:H240 K240">
    <cfRule type="containsText" dxfId="3" priority="1889" operator="containsText" text="Monitor">
      <formula>NOT(ISERROR(SEARCH(("Monitor"),(G240))))</formula>
    </cfRule>
  </conditionalFormatting>
  <conditionalFormatting sqref="A239:AC240">
    <cfRule type="notContainsBlanks" dxfId="8" priority="1890">
      <formula>LEN(TRIM(A239))&gt;0</formula>
    </cfRule>
  </conditionalFormatting>
  <conditionalFormatting sqref="A240:K240">
    <cfRule type="expression" dxfId="7" priority="1891">
      <formula>if($G240="Closed",1,0)</formula>
    </cfRule>
  </conditionalFormatting>
  <conditionalFormatting sqref="G238:H238 K238">
    <cfRule type="containsText" dxfId="1" priority="1892" operator="containsText" text="Open">
      <formula>NOT(ISERROR(SEARCH(("Open"),(G238))))</formula>
    </cfRule>
  </conditionalFormatting>
  <conditionalFormatting sqref="G238:H238 K238">
    <cfRule type="containsText" dxfId="0" priority="1893" operator="containsText" text="Closed">
      <formula>NOT(ISERROR(SEARCH(("Closed"),(G238))))</formula>
    </cfRule>
  </conditionalFormatting>
  <conditionalFormatting sqref="G238:H238 K238">
    <cfRule type="containsText" dxfId="3" priority="1894" operator="containsText" text="Monitor">
      <formula>NOT(ISERROR(SEARCH(("Monitor"),(G238))))</formula>
    </cfRule>
  </conditionalFormatting>
  <conditionalFormatting sqref="A237:AC238">
    <cfRule type="notContainsBlanks" dxfId="8" priority="1895">
      <formula>LEN(TRIM(A237))&gt;0</formula>
    </cfRule>
  </conditionalFormatting>
  <conditionalFormatting sqref="A238:K238">
    <cfRule type="expression" dxfId="7" priority="1896">
      <formula>if($G238="Closed",1,0)</formula>
    </cfRule>
  </conditionalFormatting>
  <conditionalFormatting sqref="G236:H236 K236">
    <cfRule type="containsText" dxfId="1" priority="1897" operator="containsText" text="Open">
      <formula>NOT(ISERROR(SEARCH(("Open"),(G236))))</formula>
    </cfRule>
  </conditionalFormatting>
  <conditionalFormatting sqref="G236:H236 K236">
    <cfRule type="containsText" dxfId="0" priority="1898" operator="containsText" text="Closed">
      <formula>NOT(ISERROR(SEARCH(("Closed"),(G236))))</formula>
    </cfRule>
  </conditionalFormatting>
  <conditionalFormatting sqref="G236:H236 K236">
    <cfRule type="containsText" dxfId="3" priority="1899" operator="containsText" text="Monitor">
      <formula>NOT(ISERROR(SEARCH(("Monitor"),(G236))))</formula>
    </cfRule>
  </conditionalFormatting>
  <conditionalFormatting sqref="A235:AC236">
    <cfRule type="notContainsBlanks" dxfId="8" priority="1900">
      <formula>LEN(TRIM(A235))&gt;0</formula>
    </cfRule>
  </conditionalFormatting>
  <conditionalFormatting sqref="A236:K236">
    <cfRule type="expression" dxfId="7" priority="1901">
      <formula>if($G236="Closed",1,0)</formula>
    </cfRule>
  </conditionalFormatting>
  <conditionalFormatting sqref="G234:H234 K234">
    <cfRule type="containsText" dxfId="1" priority="1902" operator="containsText" text="Open">
      <formula>NOT(ISERROR(SEARCH(("Open"),(G234))))</formula>
    </cfRule>
  </conditionalFormatting>
  <conditionalFormatting sqref="G234:H234 K234">
    <cfRule type="containsText" dxfId="0" priority="1903" operator="containsText" text="Closed">
      <formula>NOT(ISERROR(SEARCH(("Closed"),(G234))))</formula>
    </cfRule>
  </conditionalFormatting>
  <conditionalFormatting sqref="G234:H234 K234">
    <cfRule type="containsText" dxfId="3" priority="1904" operator="containsText" text="Monitor">
      <formula>NOT(ISERROR(SEARCH(("Monitor"),(G234))))</formula>
    </cfRule>
  </conditionalFormatting>
  <conditionalFormatting sqref="A233:AC234">
    <cfRule type="notContainsBlanks" dxfId="8" priority="1905">
      <formula>LEN(TRIM(A233))&gt;0</formula>
    </cfRule>
  </conditionalFormatting>
  <conditionalFormatting sqref="A234:K234">
    <cfRule type="expression" dxfId="7" priority="1906">
      <formula>if($G234="Closed",1,0)</formula>
    </cfRule>
  </conditionalFormatting>
  <conditionalFormatting sqref="G232:H232 K232">
    <cfRule type="containsText" dxfId="1" priority="1907" operator="containsText" text="Open">
      <formula>NOT(ISERROR(SEARCH(("Open"),(G232))))</formula>
    </cfRule>
  </conditionalFormatting>
  <conditionalFormatting sqref="G232:H232 K232">
    <cfRule type="containsText" dxfId="0" priority="1908" operator="containsText" text="Closed">
      <formula>NOT(ISERROR(SEARCH(("Closed"),(G232))))</formula>
    </cfRule>
  </conditionalFormatting>
  <conditionalFormatting sqref="G232:H232 K232">
    <cfRule type="containsText" dxfId="3" priority="1909" operator="containsText" text="Monitor">
      <formula>NOT(ISERROR(SEARCH(("Monitor"),(G232))))</formula>
    </cfRule>
  </conditionalFormatting>
  <conditionalFormatting sqref="A231:AC232">
    <cfRule type="notContainsBlanks" dxfId="8" priority="1910">
      <formula>LEN(TRIM(A231))&gt;0</formula>
    </cfRule>
  </conditionalFormatting>
  <conditionalFormatting sqref="A232:K232">
    <cfRule type="expression" dxfId="7" priority="1911">
      <formula>if($G232="Closed",1,0)</formula>
    </cfRule>
  </conditionalFormatting>
  <conditionalFormatting sqref="G230:H230 K230">
    <cfRule type="containsText" dxfId="1" priority="1912" operator="containsText" text="Open">
      <formula>NOT(ISERROR(SEARCH(("Open"),(G230))))</formula>
    </cfRule>
  </conditionalFormatting>
  <conditionalFormatting sqref="G230:H230 K230">
    <cfRule type="containsText" dxfId="0" priority="1913" operator="containsText" text="Closed">
      <formula>NOT(ISERROR(SEARCH(("Closed"),(G230))))</formula>
    </cfRule>
  </conditionalFormatting>
  <conditionalFormatting sqref="G230:H230 K230">
    <cfRule type="containsText" dxfId="3" priority="1914" operator="containsText" text="Monitor">
      <formula>NOT(ISERROR(SEARCH(("Monitor"),(G230))))</formula>
    </cfRule>
  </conditionalFormatting>
  <conditionalFormatting sqref="A229:AC230">
    <cfRule type="notContainsBlanks" dxfId="8" priority="1915">
      <formula>LEN(TRIM(A229))&gt;0</formula>
    </cfRule>
  </conditionalFormatting>
  <conditionalFormatting sqref="A230:K230">
    <cfRule type="expression" dxfId="7" priority="1916">
      <formula>if($G230="Closed",1,0)</formula>
    </cfRule>
  </conditionalFormatting>
  <conditionalFormatting sqref="G228:H228 K228">
    <cfRule type="containsText" dxfId="1" priority="1917" operator="containsText" text="Open">
      <formula>NOT(ISERROR(SEARCH(("Open"),(G228))))</formula>
    </cfRule>
  </conditionalFormatting>
  <conditionalFormatting sqref="G228:H228 K228">
    <cfRule type="containsText" dxfId="0" priority="1918" operator="containsText" text="Closed">
      <formula>NOT(ISERROR(SEARCH(("Closed"),(G228))))</formula>
    </cfRule>
  </conditionalFormatting>
  <conditionalFormatting sqref="G228:H228 K228">
    <cfRule type="containsText" dxfId="3" priority="1919" operator="containsText" text="Monitor">
      <formula>NOT(ISERROR(SEARCH(("Monitor"),(G228))))</formula>
    </cfRule>
  </conditionalFormatting>
  <conditionalFormatting sqref="A227:AC228">
    <cfRule type="notContainsBlanks" dxfId="8" priority="1920">
      <formula>LEN(TRIM(A227))&gt;0</formula>
    </cfRule>
  </conditionalFormatting>
  <conditionalFormatting sqref="A228:K228">
    <cfRule type="expression" dxfId="7" priority="1921">
      <formula>if($G228="Closed",1,0)</formula>
    </cfRule>
  </conditionalFormatting>
  <conditionalFormatting sqref="G226:H226 K226">
    <cfRule type="containsText" dxfId="1" priority="1922" operator="containsText" text="Open">
      <formula>NOT(ISERROR(SEARCH(("Open"),(G226))))</formula>
    </cfRule>
  </conditionalFormatting>
  <conditionalFormatting sqref="G226:H226 K226">
    <cfRule type="containsText" dxfId="0" priority="1923" operator="containsText" text="Closed">
      <formula>NOT(ISERROR(SEARCH(("Closed"),(G226))))</formula>
    </cfRule>
  </conditionalFormatting>
  <conditionalFormatting sqref="G226:H226 K226">
    <cfRule type="containsText" dxfId="3" priority="1924" operator="containsText" text="Monitor">
      <formula>NOT(ISERROR(SEARCH(("Monitor"),(G226))))</formula>
    </cfRule>
  </conditionalFormatting>
  <conditionalFormatting sqref="A225:AC226">
    <cfRule type="notContainsBlanks" dxfId="8" priority="1925">
      <formula>LEN(TRIM(A225))&gt;0</formula>
    </cfRule>
  </conditionalFormatting>
  <conditionalFormatting sqref="A226:K226">
    <cfRule type="expression" dxfId="7" priority="1926">
      <formula>if($G226="Closed",1,0)</formula>
    </cfRule>
  </conditionalFormatting>
  <conditionalFormatting sqref="G224:H224 K224">
    <cfRule type="containsText" dxfId="1" priority="1927" operator="containsText" text="Open">
      <formula>NOT(ISERROR(SEARCH(("Open"),(G224))))</formula>
    </cfRule>
  </conditionalFormatting>
  <conditionalFormatting sqref="G224:H224 K224">
    <cfRule type="containsText" dxfId="0" priority="1928" operator="containsText" text="Closed">
      <formula>NOT(ISERROR(SEARCH(("Closed"),(G224))))</formula>
    </cfRule>
  </conditionalFormatting>
  <conditionalFormatting sqref="G224:H224 K224">
    <cfRule type="containsText" dxfId="3" priority="1929" operator="containsText" text="Monitor">
      <formula>NOT(ISERROR(SEARCH(("Monitor"),(G224))))</formula>
    </cfRule>
  </conditionalFormatting>
  <conditionalFormatting sqref="A223:AC224">
    <cfRule type="notContainsBlanks" dxfId="8" priority="1930">
      <formula>LEN(TRIM(A223))&gt;0</formula>
    </cfRule>
  </conditionalFormatting>
  <conditionalFormatting sqref="A224:K224">
    <cfRule type="expression" dxfId="7" priority="1931">
      <formula>if($G224="Closed",1,0)</formula>
    </cfRule>
  </conditionalFormatting>
  <conditionalFormatting sqref="G222:H222 K222">
    <cfRule type="containsText" dxfId="1" priority="1932" operator="containsText" text="Open">
      <formula>NOT(ISERROR(SEARCH(("Open"),(G222))))</formula>
    </cfRule>
  </conditionalFormatting>
  <conditionalFormatting sqref="G222:H222 K222">
    <cfRule type="containsText" dxfId="0" priority="1933" operator="containsText" text="Closed">
      <formula>NOT(ISERROR(SEARCH(("Closed"),(G222))))</formula>
    </cfRule>
  </conditionalFormatting>
  <conditionalFormatting sqref="G222:H222 K222">
    <cfRule type="containsText" dxfId="3" priority="1934" operator="containsText" text="Monitor">
      <formula>NOT(ISERROR(SEARCH(("Monitor"),(G222))))</formula>
    </cfRule>
  </conditionalFormatting>
  <conditionalFormatting sqref="A221:AC222">
    <cfRule type="notContainsBlanks" dxfId="8" priority="1935">
      <formula>LEN(TRIM(A221))&gt;0</formula>
    </cfRule>
  </conditionalFormatting>
  <conditionalFormatting sqref="A222:K222">
    <cfRule type="expression" dxfId="7" priority="1936">
      <formula>if($G222="Closed",1,0)</formula>
    </cfRule>
  </conditionalFormatting>
  <conditionalFormatting sqref="G220:H220 K220">
    <cfRule type="containsText" dxfId="1" priority="1937" operator="containsText" text="Open">
      <formula>NOT(ISERROR(SEARCH(("Open"),(G220))))</formula>
    </cfRule>
  </conditionalFormatting>
  <conditionalFormatting sqref="G220:H220 K220">
    <cfRule type="containsText" dxfId="0" priority="1938" operator="containsText" text="Closed">
      <formula>NOT(ISERROR(SEARCH(("Closed"),(G220))))</formula>
    </cfRule>
  </conditionalFormatting>
  <conditionalFormatting sqref="G220:H220 K220">
    <cfRule type="containsText" dxfId="3" priority="1939" operator="containsText" text="Monitor">
      <formula>NOT(ISERROR(SEARCH(("Monitor"),(G220))))</formula>
    </cfRule>
  </conditionalFormatting>
  <conditionalFormatting sqref="A219:AC220">
    <cfRule type="notContainsBlanks" dxfId="8" priority="1940">
      <formula>LEN(TRIM(A219))&gt;0</formula>
    </cfRule>
  </conditionalFormatting>
  <conditionalFormatting sqref="A220:K220">
    <cfRule type="expression" dxfId="7" priority="1941">
      <formula>if($G220="Closed",1,0)</formula>
    </cfRule>
  </conditionalFormatting>
  <conditionalFormatting sqref="G218:H218 K218">
    <cfRule type="containsText" dxfId="1" priority="1942" operator="containsText" text="Open">
      <formula>NOT(ISERROR(SEARCH(("Open"),(G218))))</formula>
    </cfRule>
  </conditionalFormatting>
  <conditionalFormatting sqref="G218:H218 K218">
    <cfRule type="containsText" dxfId="0" priority="1943" operator="containsText" text="Closed">
      <formula>NOT(ISERROR(SEARCH(("Closed"),(G218))))</formula>
    </cfRule>
  </conditionalFormatting>
  <conditionalFormatting sqref="G218:H218 K218">
    <cfRule type="containsText" dxfId="3" priority="1944" operator="containsText" text="Monitor">
      <formula>NOT(ISERROR(SEARCH(("Monitor"),(G218))))</formula>
    </cfRule>
  </conditionalFormatting>
  <conditionalFormatting sqref="A217:AC218">
    <cfRule type="notContainsBlanks" dxfId="8" priority="1945">
      <formula>LEN(TRIM(A217))&gt;0</formula>
    </cfRule>
  </conditionalFormatting>
  <conditionalFormatting sqref="A218:K218">
    <cfRule type="expression" dxfId="7" priority="1946">
      <formula>if($G218="Closed",1,0)</formula>
    </cfRule>
  </conditionalFormatting>
  <conditionalFormatting sqref="G216:H216 K216">
    <cfRule type="containsText" dxfId="1" priority="1947" operator="containsText" text="Open">
      <formula>NOT(ISERROR(SEARCH(("Open"),(G216))))</formula>
    </cfRule>
  </conditionalFormatting>
  <conditionalFormatting sqref="G216:H216 K216">
    <cfRule type="containsText" dxfId="0" priority="1948" operator="containsText" text="Closed">
      <formula>NOT(ISERROR(SEARCH(("Closed"),(G216))))</formula>
    </cfRule>
  </conditionalFormatting>
  <conditionalFormatting sqref="G216:H216 K216">
    <cfRule type="containsText" dxfId="3" priority="1949" operator="containsText" text="Monitor">
      <formula>NOT(ISERROR(SEARCH(("Monitor"),(G216))))</formula>
    </cfRule>
  </conditionalFormatting>
  <conditionalFormatting sqref="A215:AC216">
    <cfRule type="notContainsBlanks" dxfId="8" priority="1950">
      <formula>LEN(TRIM(A215))&gt;0</formula>
    </cfRule>
  </conditionalFormatting>
  <conditionalFormatting sqref="A216:K216">
    <cfRule type="expression" dxfId="7" priority="1951">
      <formula>if($G216="Closed",1,0)</formula>
    </cfRule>
  </conditionalFormatting>
  <conditionalFormatting sqref="G214:H214 K214">
    <cfRule type="containsText" dxfId="1" priority="1952" operator="containsText" text="Open">
      <formula>NOT(ISERROR(SEARCH(("Open"),(G214))))</formula>
    </cfRule>
  </conditionalFormatting>
  <conditionalFormatting sqref="G214:H214 K214">
    <cfRule type="containsText" dxfId="0" priority="1953" operator="containsText" text="Closed">
      <formula>NOT(ISERROR(SEARCH(("Closed"),(G214))))</formula>
    </cfRule>
  </conditionalFormatting>
  <conditionalFormatting sqref="G214:H214 K214">
    <cfRule type="containsText" dxfId="3" priority="1954" operator="containsText" text="Monitor">
      <formula>NOT(ISERROR(SEARCH(("Monitor"),(G214))))</formula>
    </cfRule>
  </conditionalFormatting>
  <conditionalFormatting sqref="A213:AC214">
    <cfRule type="notContainsBlanks" dxfId="8" priority="1955">
      <formula>LEN(TRIM(A213))&gt;0</formula>
    </cfRule>
  </conditionalFormatting>
  <conditionalFormatting sqref="A214:K214">
    <cfRule type="expression" dxfId="7" priority="1956">
      <formula>if($G214="Closed",1,0)</formula>
    </cfRule>
  </conditionalFormatting>
  <conditionalFormatting sqref="G212:H212 K212">
    <cfRule type="containsText" dxfId="1" priority="1957" operator="containsText" text="Open">
      <formula>NOT(ISERROR(SEARCH(("Open"),(G212))))</formula>
    </cfRule>
  </conditionalFormatting>
  <conditionalFormatting sqref="G212:H212 K212">
    <cfRule type="containsText" dxfId="0" priority="1958" operator="containsText" text="Closed">
      <formula>NOT(ISERROR(SEARCH(("Closed"),(G212))))</formula>
    </cfRule>
  </conditionalFormatting>
  <conditionalFormatting sqref="G212:H212 K212">
    <cfRule type="containsText" dxfId="3" priority="1959" operator="containsText" text="Monitor">
      <formula>NOT(ISERROR(SEARCH(("Monitor"),(G212))))</formula>
    </cfRule>
  </conditionalFormatting>
  <conditionalFormatting sqref="A211:AC212">
    <cfRule type="notContainsBlanks" dxfId="8" priority="1960">
      <formula>LEN(TRIM(A211))&gt;0</formula>
    </cfRule>
  </conditionalFormatting>
  <conditionalFormatting sqref="A212:K212">
    <cfRule type="expression" dxfId="7" priority="1961">
      <formula>if($G212="Closed",1,0)</formula>
    </cfRule>
  </conditionalFormatting>
  <conditionalFormatting sqref="G210:H210 K210">
    <cfRule type="containsText" dxfId="1" priority="1962" operator="containsText" text="Open">
      <formula>NOT(ISERROR(SEARCH(("Open"),(G210))))</formula>
    </cfRule>
  </conditionalFormatting>
  <conditionalFormatting sqref="G210:H210 K210">
    <cfRule type="containsText" dxfId="0" priority="1963" operator="containsText" text="Closed">
      <formula>NOT(ISERROR(SEARCH(("Closed"),(G210))))</formula>
    </cfRule>
  </conditionalFormatting>
  <conditionalFormatting sqref="G210:H210 K210">
    <cfRule type="containsText" dxfId="3" priority="1964" operator="containsText" text="Monitor">
      <formula>NOT(ISERROR(SEARCH(("Monitor"),(G210))))</formula>
    </cfRule>
  </conditionalFormatting>
  <conditionalFormatting sqref="A209:AC210">
    <cfRule type="notContainsBlanks" dxfId="8" priority="1965">
      <formula>LEN(TRIM(A209))&gt;0</formula>
    </cfRule>
  </conditionalFormatting>
  <conditionalFormatting sqref="A210:K210">
    <cfRule type="expression" dxfId="7" priority="1966">
      <formula>if($G210="Closed",1,0)</formula>
    </cfRule>
  </conditionalFormatting>
  <conditionalFormatting sqref="G208:H208 K208">
    <cfRule type="containsText" dxfId="1" priority="1967" operator="containsText" text="Open">
      <formula>NOT(ISERROR(SEARCH(("Open"),(G208))))</formula>
    </cfRule>
  </conditionalFormatting>
  <conditionalFormatting sqref="G208:H208 K208">
    <cfRule type="containsText" dxfId="0" priority="1968" operator="containsText" text="Closed">
      <formula>NOT(ISERROR(SEARCH(("Closed"),(G208))))</formula>
    </cfRule>
  </conditionalFormatting>
  <conditionalFormatting sqref="G208:H208 K208">
    <cfRule type="containsText" dxfId="3" priority="1969" operator="containsText" text="Monitor">
      <formula>NOT(ISERROR(SEARCH(("Monitor"),(G208))))</formula>
    </cfRule>
  </conditionalFormatting>
  <conditionalFormatting sqref="A207:AC208">
    <cfRule type="notContainsBlanks" dxfId="8" priority="1970">
      <formula>LEN(TRIM(A207))&gt;0</formula>
    </cfRule>
  </conditionalFormatting>
  <conditionalFormatting sqref="A208:K208">
    <cfRule type="expression" dxfId="7" priority="1971">
      <formula>if($G208="Closed",1,0)</formula>
    </cfRule>
  </conditionalFormatting>
  <conditionalFormatting sqref="G206:H206 K206">
    <cfRule type="containsText" dxfId="1" priority="1972" operator="containsText" text="Open">
      <formula>NOT(ISERROR(SEARCH(("Open"),(G206))))</formula>
    </cfRule>
  </conditionalFormatting>
  <conditionalFormatting sqref="G206:H206 K206">
    <cfRule type="containsText" dxfId="0" priority="1973" operator="containsText" text="Closed">
      <formula>NOT(ISERROR(SEARCH(("Closed"),(G206))))</formula>
    </cfRule>
  </conditionalFormatting>
  <conditionalFormatting sqref="G206:H206 K206">
    <cfRule type="containsText" dxfId="3" priority="1974" operator="containsText" text="Monitor">
      <formula>NOT(ISERROR(SEARCH(("Monitor"),(G206))))</formula>
    </cfRule>
  </conditionalFormatting>
  <conditionalFormatting sqref="A205:AC206">
    <cfRule type="notContainsBlanks" dxfId="8" priority="1975">
      <formula>LEN(TRIM(A205))&gt;0</formula>
    </cfRule>
  </conditionalFormatting>
  <conditionalFormatting sqref="A206:K206">
    <cfRule type="expression" dxfId="7" priority="1976">
      <formula>if($G206="Closed",1,0)</formula>
    </cfRule>
  </conditionalFormatting>
  <conditionalFormatting sqref="G204:H204 K204">
    <cfRule type="containsText" dxfId="1" priority="1977" operator="containsText" text="Open">
      <formula>NOT(ISERROR(SEARCH(("Open"),(G204))))</formula>
    </cfRule>
  </conditionalFormatting>
  <conditionalFormatting sqref="G204:H204 K204">
    <cfRule type="containsText" dxfId="0" priority="1978" operator="containsText" text="Closed">
      <formula>NOT(ISERROR(SEARCH(("Closed"),(G204))))</formula>
    </cfRule>
  </conditionalFormatting>
  <conditionalFormatting sqref="G204:H204 K204">
    <cfRule type="containsText" dxfId="3" priority="1979" operator="containsText" text="Monitor">
      <formula>NOT(ISERROR(SEARCH(("Monitor"),(G204))))</formula>
    </cfRule>
  </conditionalFormatting>
  <conditionalFormatting sqref="A203:AC204">
    <cfRule type="notContainsBlanks" dxfId="8" priority="1980">
      <formula>LEN(TRIM(A203))&gt;0</formula>
    </cfRule>
  </conditionalFormatting>
  <conditionalFormatting sqref="A204:K204">
    <cfRule type="expression" dxfId="7" priority="1981">
      <formula>if($G204="Closed",1,0)</formula>
    </cfRule>
  </conditionalFormatting>
  <conditionalFormatting sqref="G202:H202 K202">
    <cfRule type="containsText" dxfId="1" priority="1982" operator="containsText" text="Open">
      <formula>NOT(ISERROR(SEARCH(("Open"),(G202))))</formula>
    </cfRule>
  </conditionalFormatting>
  <conditionalFormatting sqref="G202:H202 K202">
    <cfRule type="containsText" dxfId="0" priority="1983" operator="containsText" text="Closed">
      <formula>NOT(ISERROR(SEARCH(("Closed"),(G202))))</formula>
    </cfRule>
  </conditionalFormatting>
  <conditionalFormatting sqref="G202:H202 K202">
    <cfRule type="containsText" dxfId="3" priority="1984" operator="containsText" text="Monitor">
      <formula>NOT(ISERROR(SEARCH(("Monitor"),(G202))))</formula>
    </cfRule>
  </conditionalFormatting>
  <conditionalFormatting sqref="A201:AC202">
    <cfRule type="notContainsBlanks" dxfId="8" priority="1985">
      <formula>LEN(TRIM(A201))&gt;0</formula>
    </cfRule>
  </conditionalFormatting>
  <conditionalFormatting sqref="A202:K202">
    <cfRule type="expression" dxfId="7" priority="1986">
      <formula>if($G202="Closed",1,0)</formula>
    </cfRule>
  </conditionalFormatting>
  <conditionalFormatting sqref="G200:H200 K200">
    <cfRule type="containsText" dxfId="1" priority="1987" operator="containsText" text="Open">
      <formula>NOT(ISERROR(SEARCH(("Open"),(G200))))</formula>
    </cfRule>
  </conditionalFormatting>
  <conditionalFormatting sqref="G200:H200 K200">
    <cfRule type="containsText" dxfId="0" priority="1988" operator="containsText" text="Closed">
      <formula>NOT(ISERROR(SEARCH(("Closed"),(G200))))</formula>
    </cfRule>
  </conditionalFormatting>
  <conditionalFormatting sqref="G200:H200 K200">
    <cfRule type="containsText" dxfId="3" priority="1989" operator="containsText" text="Monitor">
      <formula>NOT(ISERROR(SEARCH(("Monitor"),(G200))))</formula>
    </cfRule>
  </conditionalFormatting>
  <conditionalFormatting sqref="A199:AC200">
    <cfRule type="notContainsBlanks" dxfId="8" priority="1990">
      <formula>LEN(TRIM(A199))&gt;0</formula>
    </cfRule>
  </conditionalFormatting>
  <conditionalFormatting sqref="A200:K200">
    <cfRule type="expression" dxfId="7" priority="1991">
      <formula>if($G200="Closed",1,0)</formula>
    </cfRule>
  </conditionalFormatting>
  <conditionalFormatting sqref="G198:H198 K198">
    <cfRule type="containsText" dxfId="1" priority="1992" operator="containsText" text="Open">
      <formula>NOT(ISERROR(SEARCH(("Open"),(G198))))</formula>
    </cfRule>
  </conditionalFormatting>
  <conditionalFormatting sqref="G198:H198 K198">
    <cfRule type="containsText" dxfId="0" priority="1993" operator="containsText" text="Closed">
      <formula>NOT(ISERROR(SEARCH(("Closed"),(G198))))</formula>
    </cfRule>
  </conditionalFormatting>
  <conditionalFormatting sqref="G198:H198 K198">
    <cfRule type="containsText" dxfId="3" priority="1994" operator="containsText" text="Monitor">
      <formula>NOT(ISERROR(SEARCH(("Monitor"),(G198))))</formula>
    </cfRule>
  </conditionalFormatting>
  <conditionalFormatting sqref="A197:AC198">
    <cfRule type="notContainsBlanks" dxfId="8" priority="1995">
      <formula>LEN(TRIM(A197))&gt;0</formula>
    </cfRule>
  </conditionalFormatting>
  <conditionalFormatting sqref="A198:K198">
    <cfRule type="expression" dxfId="7" priority="1996">
      <formula>if($G198="Closed",1,0)</formula>
    </cfRule>
  </conditionalFormatting>
  <conditionalFormatting sqref="G196:H196 K196">
    <cfRule type="containsText" dxfId="1" priority="1997" operator="containsText" text="Open">
      <formula>NOT(ISERROR(SEARCH(("Open"),(G196))))</formula>
    </cfRule>
  </conditionalFormatting>
  <conditionalFormatting sqref="G196:H196 K196">
    <cfRule type="containsText" dxfId="0" priority="1998" operator="containsText" text="Closed">
      <formula>NOT(ISERROR(SEARCH(("Closed"),(G196))))</formula>
    </cfRule>
  </conditionalFormatting>
  <conditionalFormatting sqref="G196:H196 K196">
    <cfRule type="containsText" dxfId="3" priority="1999" operator="containsText" text="Monitor">
      <formula>NOT(ISERROR(SEARCH(("Monitor"),(G196))))</formula>
    </cfRule>
  </conditionalFormatting>
  <conditionalFormatting sqref="A195:AC196">
    <cfRule type="notContainsBlanks" dxfId="8" priority="2000">
      <formula>LEN(TRIM(A195))&gt;0</formula>
    </cfRule>
  </conditionalFormatting>
  <conditionalFormatting sqref="A196:K196">
    <cfRule type="expression" dxfId="7" priority="2001">
      <formula>if($G196="Closed",1,0)</formula>
    </cfRule>
  </conditionalFormatting>
  <conditionalFormatting sqref="G194:H194 K194">
    <cfRule type="containsText" dxfId="1" priority="2002" operator="containsText" text="Open">
      <formula>NOT(ISERROR(SEARCH(("Open"),(G194))))</formula>
    </cfRule>
  </conditionalFormatting>
  <conditionalFormatting sqref="G194:H194 K194">
    <cfRule type="containsText" dxfId="0" priority="2003" operator="containsText" text="Closed">
      <formula>NOT(ISERROR(SEARCH(("Closed"),(G194))))</formula>
    </cfRule>
  </conditionalFormatting>
  <conditionalFormatting sqref="G194:H194 K194">
    <cfRule type="containsText" dxfId="3" priority="2004" operator="containsText" text="Monitor">
      <formula>NOT(ISERROR(SEARCH(("Monitor"),(G194))))</formula>
    </cfRule>
  </conditionalFormatting>
  <conditionalFormatting sqref="A193:AC194">
    <cfRule type="notContainsBlanks" dxfId="8" priority="2005">
      <formula>LEN(TRIM(A193))&gt;0</formula>
    </cfRule>
  </conditionalFormatting>
  <conditionalFormatting sqref="A194:K194">
    <cfRule type="expression" dxfId="7" priority="2006">
      <formula>if($G194="Closed",1,0)</formula>
    </cfRule>
  </conditionalFormatting>
  <conditionalFormatting sqref="G192:H192 K192">
    <cfRule type="containsText" dxfId="1" priority="2007" operator="containsText" text="Open">
      <formula>NOT(ISERROR(SEARCH(("Open"),(G192))))</formula>
    </cfRule>
  </conditionalFormatting>
  <conditionalFormatting sqref="G192:H192 K192">
    <cfRule type="containsText" dxfId="0" priority="2008" operator="containsText" text="Closed">
      <formula>NOT(ISERROR(SEARCH(("Closed"),(G192))))</formula>
    </cfRule>
  </conditionalFormatting>
  <conditionalFormatting sqref="G192:H192 K192">
    <cfRule type="containsText" dxfId="3" priority="2009" operator="containsText" text="Monitor">
      <formula>NOT(ISERROR(SEARCH(("Monitor"),(G192))))</formula>
    </cfRule>
  </conditionalFormatting>
  <conditionalFormatting sqref="A191:AC192">
    <cfRule type="notContainsBlanks" dxfId="8" priority="2010">
      <formula>LEN(TRIM(A191))&gt;0</formula>
    </cfRule>
  </conditionalFormatting>
  <conditionalFormatting sqref="A192:K192">
    <cfRule type="expression" dxfId="7" priority="2011">
      <formula>if($G192="Closed",1,0)</formula>
    </cfRule>
  </conditionalFormatting>
  <conditionalFormatting sqref="G190:H190 K190">
    <cfRule type="containsText" dxfId="1" priority="2012" operator="containsText" text="Open">
      <formula>NOT(ISERROR(SEARCH(("Open"),(G190))))</formula>
    </cfRule>
  </conditionalFormatting>
  <conditionalFormatting sqref="G190:H190 K190">
    <cfRule type="containsText" dxfId="0" priority="2013" operator="containsText" text="Closed">
      <formula>NOT(ISERROR(SEARCH(("Closed"),(G190))))</formula>
    </cfRule>
  </conditionalFormatting>
  <conditionalFormatting sqref="G190:H190 K190">
    <cfRule type="containsText" dxfId="3" priority="2014" operator="containsText" text="Monitor">
      <formula>NOT(ISERROR(SEARCH(("Monitor"),(G190))))</formula>
    </cfRule>
  </conditionalFormatting>
  <conditionalFormatting sqref="A189:AC190">
    <cfRule type="notContainsBlanks" dxfId="8" priority="2015">
      <formula>LEN(TRIM(A189))&gt;0</formula>
    </cfRule>
  </conditionalFormatting>
  <conditionalFormatting sqref="A190:K190">
    <cfRule type="expression" dxfId="7" priority="2016">
      <formula>if($G190="Closed",1,0)</formula>
    </cfRule>
  </conditionalFormatting>
  <conditionalFormatting sqref="G188:H188 K188">
    <cfRule type="containsText" dxfId="1" priority="2017" operator="containsText" text="Open">
      <formula>NOT(ISERROR(SEARCH(("Open"),(G188))))</formula>
    </cfRule>
  </conditionalFormatting>
  <conditionalFormatting sqref="G188:H188 K188">
    <cfRule type="containsText" dxfId="0" priority="2018" operator="containsText" text="Closed">
      <formula>NOT(ISERROR(SEARCH(("Closed"),(G188))))</formula>
    </cfRule>
  </conditionalFormatting>
  <conditionalFormatting sqref="G188:H188 K188">
    <cfRule type="containsText" dxfId="3" priority="2019" operator="containsText" text="Monitor">
      <formula>NOT(ISERROR(SEARCH(("Monitor"),(G188))))</formula>
    </cfRule>
  </conditionalFormatting>
  <conditionalFormatting sqref="A187:AC188">
    <cfRule type="notContainsBlanks" dxfId="8" priority="2020">
      <formula>LEN(TRIM(A187))&gt;0</formula>
    </cfRule>
  </conditionalFormatting>
  <conditionalFormatting sqref="A188:K188">
    <cfRule type="expression" dxfId="7" priority="2021">
      <formula>if($G188="Closed",1,0)</formula>
    </cfRule>
  </conditionalFormatting>
  <conditionalFormatting sqref="G186:H186 K186">
    <cfRule type="containsText" dxfId="1" priority="2022" operator="containsText" text="Open">
      <formula>NOT(ISERROR(SEARCH(("Open"),(G186))))</formula>
    </cfRule>
  </conditionalFormatting>
  <conditionalFormatting sqref="G186:H186 K186">
    <cfRule type="containsText" dxfId="0" priority="2023" operator="containsText" text="Closed">
      <formula>NOT(ISERROR(SEARCH(("Closed"),(G186))))</formula>
    </cfRule>
  </conditionalFormatting>
  <conditionalFormatting sqref="G186:H186 K186">
    <cfRule type="containsText" dxfId="3" priority="2024" operator="containsText" text="Monitor">
      <formula>NOT(ISERROR(SEARCH(("Monitor"),(G186))))</formula>
    </cfRule>
  </conditionalFormatting>
  <conditionalFormatting sqref="A185:AC186">
    <cfRule type="notContainsBlanks" dxfId="8" priority="2025">
      <formula>LEN(TRIM(A185))&gt;0</formula>
    </cfRule>
  </conditionalFormatting>
  <conditionalFormatting sqref="A186:K186">
    <cfRule type="expression" dxfId="7" priority="2026">
      <formula>if($G186="Closed",1,0)</formula>
    </cfRule>
  </conditionalFormatting>
  <conditionalFormatting sqref="G184:H184 K184">
    <cfRule type="containsText" dxfId="1" priority="2027" operator="containsText" text="Open">
      <formula>NOT(ISERROR(SEARCH(("Open"),(G184))))</formula>
    </cfRule>
  </conditionalFormatting>
  <conditionalFormatting sqref="G184:H184 K184">
    <cfRule type="containsText" dxfId="0" priority="2028" operator="containsText" text="Closed">
      <formula>NOT(ISERROR(SEARCH(("Closed"),(G184))))</formula>
    </cfRule>
  </conditionalFormatting>
  <conditionalFormatting sqref="G184:H184 K184">
    <cfRule type="containsText" dxfId="3" priority="2029" operator="containsText" text="Monitor">
      <formula>NOT(ISERROR(SEARCH(("Monitor"),(G184))))</formula>
    </cfRule>
  </conditionalFormatting>
  <conditionalFormatting sqref="A183:AC184">
    <cfRule type="notContainsBlanks" dxfId="8" priority="2030">
      <formula>LEN(TRIM(A183))&gt;0</formula>
    </cfRule>
  </conditionalFormatting>
  <conditionalFormatting sqref="A184:K184">
    <cfRule type="expression" dxfId="7" priority="2031">
      <formula>if($G184="Closed",1,0)</formula>
    </cfRule>
  </conditionalFormatting>
  <conditionalFormatting sqref="G182:H182 K182">
    <cfRule type="containsText" dxfId="1" priority="2032" operator="containsText" text="Open">
      <formula>NOT(ISERROR(SEARCH(("Open"),(G182))))</formula>
    </cfRule>
  </conditionalFormatting>
  <conditionalFormatting sqref="G182:H182 K182">
    <cfRule type="containsText" dxfId="0" priority="2033" operator="containsText" text="Closed">
      <formula>NOT(ISERROR(SEARCH(("Closed"),(G182))))</formula>
    </cfRule>
  </conditionalFormatting>
  <conditionalFormatting sqref="G182:H182 K182">
    <cfRule type="containsText" dxfId="3" priority="2034" operator="containsText" text="Monitor">
      <formula>NOT(ISERROR(SEARCH(("Monitor"),(G182))))</formula>
    </cfRule>
  </conditionalFormatting>
  <conditionalFormatting sqref="A181:AC182">
    <cfRule type="notContainsBlanks" dxfId="8" priority="2035">
      <formula>LEN(TRIM(A181))&gt;0</formula>
    </cfRule>
  </conditionalFormatting>
  <conditionalFormatting sqref="A182:K182">
    <cfRule type="expression" dxfId="7" priority="2036">
      <formula>if($G182="Closed",1,0)</formula>
    </cfRule>
  </conditionalFormatting>
  <conditionalFormatting sqref="G180:H180 K180">
    <cfRule type="containsText" dxfId="1" priority="2037" operator="containsText" text="Open">
      <formula>NOT(ISERROR(SEARCH(("Open"),(G180))))</formula>
    </cfRule>
  </conditionalFormatting>
  <conditionalFormatting sqref="G180:H180 K180">
    <cfRule type="containsText" dxfId="0" priority="2038" operator="containsText" text="Closed">
      <formula>NOT(ISERROR(SEARCH(("Closed"),(G180))))</formula>
    </cfRule>
  </conditionalFormatting>
  <conditionalFormatting sqref="G180:H180 K180">
    <cfRule type="containsText" dxfId="3" priority="2039" operator="containsText" text="Monitor">
      <formula>NOT(ISERROR(SEARCH(("Monitor"),(G180))))</formula>
    </cfRule>
  </conditionalFormatting>
  <conditionalFormatting sqref="A179:AC180">
    <cfRule type="notContainsBlanks" dxfId="8" priority="2040">
      <formula>LEN(TRIM(A179))&gt;0</formula>
    </cfRule>
  </conditionalFormatting>
  <conditionalFormatting sqref="A180:K180">
    <cfRule type="expression" dxfId="7" priority="2041">
      <formula>if($G180="Closed",1,0)</formula>
    </cfRule>
  </conditionalFormatting>
  <conditionalFormatting sqref="G178:H178 K178">
    <cfRule type="containsText" dxfId="1" priority="2042" operator="containsText" text="Open">
      <formula>NOT(ISERROR(SEARCH(("Open"),(G178))))</formula>
    </cfRule>
  </conditionalFormatting>
  <conditionalFormatting sqref="G178:H178 K178">
    <cfRule type="containsText" dxfId="0" priority="2043" operator="containsText" text="Closed">
      <formula>NOT(ISERROR(SEARCH(("Closed"),(G178))))</formula>
    </cfRule>
  </conditionalFormatting>
  <conditionalFormatting sqref="G178:H178 K178">
    <cfRule type="containsText" dxfId="3" priority="2044" operator="containsText" text="Monitor">
      <formula>NOT(ISERROR(SEARCH(("Monitor"),(G178))))</formula>
    </cfRule>
  </conditionalFormatting>
  <conditionalFormatting sqref="A177:AC178">
    <cfRule type="notContainsBlanks" dxfId="8" priority="2045">
      <formula>LEN(TRIM(A177))&gt;0</formula>
    </cfRule>
  </conditionalFormatting>
  <conditionalFormatting sqref="A178:K178">
    <cfRule type="expression" dxfId="7" priority="2046">
      <formula>if($G178="Closed",1,0)</formula>
    </cfRule>
  </conditionalFormatting>
  <conditionalFormatting sqref="G176:H176 K176">
    <cfRule type="containsText" dxfId="1" priority="2047" operator="containsText" text="Open">
      <formula>NOT(ISERROR(SEARCH(("Open"),(G176))))</formula>
    </cfRule>
  </conditionalFormatting>
  <conditionalFormatting sqref="G176:H176 K176">
    <cfRule type="containsText" dxfId="0" priority="2048" operator="containsText" text="Closed">
      <formula>NOT(ISERROR(SEARCH(("Closed"),(G176))))</formula>
    </cfRule>
  </conditionalFormatting>
  <conditionalFormatting sqref="G176:H176 K176">
    <cfRule type="containsText" dxfId="3" priority="2049" operator="containsText" text="Monitor">
      <formula>NOT(ISERROR(SEARCH(("Monitor"),(G176))))</formula>
    </cfRule>
  </conditionalFormatting>
  <conditionalFormatting sqref="A175:AC176">
    <cfRule type="notContainsBlanks" dxfId="8" priority="2050">
      <formula>LEN(TRIM(A175))&gt;0</formula>
    </cfRule>
  </conditionalFormatting>
  <conditionalFormatting sqref="A176:K176">
    <cfRule type="expression" dxfId="7" priority="2051">
      <formula>if($G176="Closed",1,0)</formula>
    </cfRule>
  </conditionalFormatting>
  <conditionalFormatting sqref="G174:H174 K174">
    <cfRule type="containsText" dxfId="1" priority="2052" operator="containsText" text="Open">
      <formula>NOT(ISERROR(SEARCH(("Open"),(G174))))</formula>
    </cfRule>
  </conditionalFormatting>
  <conditionalFormatting sqref="G174:H174 K174">
    <cfRule type="containsText" dxfId="0" priority="2053" operator="containsText" text="Closed">
      <formula>NOT(ISERROR(SEARCH(("Closed"),(G174))))</formula>
    </cfRule>
  </conditionalFormatting>
  <conditionalFormatting sqref="G174:H174 K174">
    <cfRule type="containsText" dxfId="3" priority="2054" operator="containsText" text="Monitor">
      <formula>NOT(ISERROR(SEARCH(("Monitor"),(G174))))</formula>
    </cfRule>
  </conditionalFormatting>
  <conditionalFormatting sqref="A173:AC174">
    <cfRule type="notContainsBlanks" dxfId="8" priority="2055">
      <formula>LEN(TRIM(A173))&gt;0</formula>
    </cfRule>
  </conditionalFormatting>
  <conditionalFormatting sqref="A174:K174">
    <cfRule type="expression" dxfId="7" priority="2056">
      <formula>if($G174="Closed",1,0)</formula>
    </cfRule>
  </conditionalFormatting>
  <conditionalFormatting sqref="G172:H172 K172">
    <cfRule type="containsText" dxfId="1" priority="2057" operator="containsText" text="Open">
      <formula>NOT(ISERROR(SEARCH(("Open"),(G172))))</formula>
    </cfRule>
  </conditionalFormatting>
  <conditionalFormatting sqref="G172:H172 K172">
    <cfRule type="containsText" dxfId="0" priority="2058" operator="containsText" text="Closed">
      <formula>NOT(ISERROR(SEARCH(("Closed"),(G172))))</formula>
    </cfRule>
  </conditionalFormatting>
  <conditionalFormatting sqref="G172:H172 K172">
    <cfRule type="containsText" dxfId="3" priority="2059" operator="containsText" text="Monitor">
      <formula>NOT(ISERROR(SEARCH(("Monitor"),(G172))))</formula>
    </cfRule>
  </conditionalFormatting>
  <conditionalFormatting sqref="A171:AC172">
    <cfRule type="notContainsBlanks" dxfId="8" priority="2060">
      <formula>LEN(TRIM(A171))&gt;0</formula>
    </cfRule>
  </conditionalFormatting>
  <conditionalFormatting sqref="A172:K172">
    <cfRule type="expression" dxfId="7" priority="2061">
      <formula>if($G172="Closed",1,0)</formula>
    </cfRule>
  </conditionalFormatting>
  <conditionalFormatting sqref="G170:H170 K170">
    <cfRule type="containsText" dxfId="1" priority="2062" operator="containsText" text="Open">
      <formula>NOT(ISERROR(SEARCH(("Open"),(G170))))</formula>
    </cfRule>
  </conditionalFormatting>
  <conditionalFormatting sqref="G170:H170 K170">
    <cfRule type="containsText" dxfId="0" priority="2063" operator="containsText" text="Closed">
      <formula>NOT(ISERROR(SEARCH(("Closed"),(G170))))</formula>
    </cfRule>
  </conditionalFormatting>
  <conditionalFormatting sqref="G170:H170 K170">
    <cfRule type="containsText" dxfId="3" priority="2064" operator="containsText" text="Monitor">
      <formula>NOT(ISERROR(SEARCH(("Monitor"),(G170))))</formula>
    </cfRule>
  </conditionalFormatting>
  <conditionalFormatting sqref="A169:AC170">
    <cfRule type="notContainsBlanks" dxfId="8" priority="2065">
      <formula>LEN(TRIM(A169))&gt;0</formula>
    </cfRule>
  </conditionalFormatting>
  <conditionalFormatting sqref="A170:K170">
    <cfRule type="expression" dxfId="7" priority="2066">
      <formula>if($G170="Closed",1,0)</formula>
    </cfRule>
  </conditionalFormatting>
  <conditionalFormatting sqref="G168:H168 K168">
    <cfRule type="containsText" dxfId="1" priority="2067" operator="containsText" text="Open">
      <formula>NOT(ISERROR(SEARCH(("Open"),(G168))))</formula>
    </cfRule>
  </conditionalFormatting>
  <conditionalFormatting sqref="G168:H168 K168">
    <cfRule type="containsText" dxfId="0" priority="2068" operator="containsText" text="Closed">
      <formula>NOT(ISERROR(SEARCH(("Closed"),(G168))))</formula>
    </cfRule>
  </conditionalFormatting>
  <conditionalFormatting sqref="G168:H168 K168">
    <cfRule type="containsText" dxfId="3" priority="2069" operator="containsText" text="Monitor">
      <formula>NOT(ISERROR(SEARCH(("Monitor"),(G168))))</formula>
    </cfRule>
  </conditionalFormatting>
  <conditionalFormatting sqref="A167:AC168">
    <cfRule type="notContainsBlanks" dxfId="8" priority="2070">
      <formula>LEN(TRIM(A167))&gt;0</formula>
    </cfRule>
  </conditionalFormatting>
  <conditionalFormatting sqref="A168:K168">
    <cfRule type="expression" dxfId="7" priority="2071">
      <formula>if($G168="Closed",1,0)</formula>
    </cfRule>
  </conditionalFormatting>
  <conditionalFormatting sqref="G166:H166 K166">
    <cfRule type="containsText" dxfId="1" priority="2072" operator="containsText" text="Open">
      <formula>NOT(ISERROR(SEARCH(("Open"),(G166))))</formula>
    </cfRule>
  </conditionalFormatting>
  <conditionalFormatting sqref="G166:H166 K166">
    <cfRule type="containsText" dxfId="0" priority="2073" operator="containsText" text="Closed">
      <formula>NOT(ISERROR(SEARCH(("Closed"),(G166))))</formula>
    </cfRule>
  </conditionalFormatting>
  <conditionalFormatting sqref="G166:H166 K166">
    <cfRule type="containsText" dxfId="3" priority="2074" operator="containsText" text="Monitor">
      <formula>NOT(ISERROR(SEARCH(("Monitor"),(G166))))</formula>
    </cfRule>
  </conditionalFormatting>
  <conditionalFormatting sqref="A165:AC166">
    <cfRule type="notContainsBlanks" dxfId="8" priority="2075">
      <formula>LEN(TRIM(A165))&gt;0</formula>
    </cfRule>
  </conditionalFormatting>
  <conditionalFormatting sqref="A166:K166">
    <cfRule type="expression" dxfId="7" priority="2076">
      <formula>if($G166="Closed",1,0)</formula>
    </cfRule>
  </conditionalFormatting>
  <conditionalFormatting sqref="G164:H164 K164">
    <cfRule type="containsText" dxfId="1" priority="2077" operator="containsText" text="Open">
      <formula>NOT(ISERROR(SEARCH(("Open"),(G164))))</formula>
    </cfRule>
  </conditionalFormatting>
  <conditionalFormatting sqref="G164:H164 K164">
    <cfRule type="containsText" dxfId="0" priority="2078" operator="containsText" text="Closed">
      <formula>NOT(ISERROR(SEARCH(("Closed"),(G164))))</formula>
    </cfRule>
  </conditionalFormatting>
  <conditionalFormatting sqref="G164:H164 K164">
    <cfRule type="containsText" dxfId="3" priority="2079" operator="containsText" text="Monitor">
      <formula>NOT(ISERROR(SEARCH(("Monitor"),(G164))))</formula>
    </cfRule>
  </conditionalFormatting>
  <conditionalFormatting sqref="A163:AC164">
    <cfRule type="notContainsBlanks" dxfId="8" priority="2080">
      <formula>LEN(TRIM(A163))&gt;0</formula>
    </cfRule>
  </conditionalFormatting>
  <conditionalFormatting sqref="A164:K164">
    <cfRule type="expression" dxfId="7" priority="2081">
      <formula>if($G164="Closed",1,0)</formula>
    </cfRule>
  </conditionalFormatting>
  <conditionalFormatting sqref="G162:H162 K162">
    <cfRule type="containsText" dxfId="1" priority="2082" operator="containsText" text="Open">
      <formula>NOT(ISERROR(SEARCH(("Open"),(G162))))</formula>
    </cfRule>
  </conditionalFormatting>
  <conditionalFormatting sqref="G162:H162 K162">
    <cfRule type="containsText" dxfId="0" priority="2083" operator="containsText" text="Closed">
      <formula>NOT(ISERROR(SEARCH(("Closed"),(G162))))</formula>
    </cfRule>
  </conditionalFormatting>
  <conditionalFormatting sqref="G162:H162 K162">
    <cfRule type="containsText" dxfId="3" priority="2084" operator="containsText" text="Monitor">
      <formula>NOT(ISERROR(SEARCH(("Monitor"),(G162))))</formula>
    </cfRule>
  </conditionalFormatting>
  <conditionalFormatting sqref="A161:AC162">
    <cfRule type="notContainsBlanks" dxfId="8" priority="2085">
      <formula>LEN(TRIM(A161))&gt;0</formula>
    </cfRule>
  </conditionalFormatting>
  <conditionalFormatting sqref="A162:K162">
    <cfRule type="expression" dxfId="7" priority="2086">
      <formula>if($G162="Closed",1,0)</formula>
    </cfRule>
  </conditionalFormatting>
  <conditionalFormatting sqref="G160:H160 K160">
    <cfRule type="containsText" dxfId="1" priority="2087" operator="containsText" text="Open">
      <formula>NOT(ISERROR(SEARCH(("Open"),(G160))))</formula>
    </cfRule>
  </conditionalFormatting>
  <conditionalFormatting sqref="G160:H160 K160">
    <cfRule type="containsText" dxfId="0" priority="2088" operator="containsText" text="Closed">
      <formula>NOT(ISERROR(SEARCH(("Closed"),(G160))))</formula>
    </cfRule>
  </conditionalFormatting>
  <conditionalFormatting sqref="G160:H160 K160">
    <cfRule type="containsText" dxfId="3" priority="2089" operator="containsText" text="Monitor">
      <formula>NOT(ISERROR(SEARCH(("Monitor"),(G160))))</formula>
    </cfRule>
  </conditionalFormatting>
  <conditionalFormatting sqref="A159:AC160">
    <cfRule type="notContainsBlanks" dxfId="8" priority="2090">
      <formula>LEN(TRIM(A159))&gt;0</formula>
    </cfRule>
  </conditionalFormatting>
  <conditionalFormatting sqref="A160:K160">
    <cfRule type="expression" dxfId="7" priority="2091">
      <formula>if($G160="Closed",1,0)</formula>
    </cfRule>
  </conditionalFormatting>
  <conditionalFormatting sqref="G158:H158 K158">
    <cfRule type="containsText" dxfId="1" priority="2092" operator="containsText" text="Open">
      <formula>NOT(ISERROR(SEARCH(("Open"),(G158))))</formula>
    </cfRule>
  </conditionalFormatting>
  <conditionalFormatting sqref="G158:H158 K158">
    <cfRule type="containsText" dxfId="0" priority="2093" operator="containsText" text="Closed">
      <formula>NOT(ISERROR(SEARCH(("Closed"),(G158))))</formula>
    </cfRule>
  </conditionalFormatting>
  <conditionalFormatting sqref="G158:H158 K158">
    <cfRule type="containsText" dxfId="3" priority="2094" operator="containsText" text="Monitor">
      <formula>NOT(ISERROR(SEARCH(("Monitor"),(G158))))</formula>
    </cfRule>
  </conditionalFormatting>
  <conditionalFormatting sqref="A157:AC158">
    <cfRule type="notContainsBlanks" dxfId="8" priority="2095">
      <formula>LEN(TRIM(A157))&gt;0</formula>
    </cfRule>
  </conditionalFormatting>
  <conditionalFormatting sqref="A158:K158">
    <cfRule type="expression" dxfId="7" priority="2096">
      <formula>if($G158="Closed",1,0)</formula>
    </cfRule>
  </conditionalFormatting>
  <conditionalFormatting sqref="G156:H156 K156">
    <cfRule type="containsText" dxfId="1" priority="2097" operator="containsText" text="Open">
      <formula>NOT(ISERROR(SEARCH(("Open"),(G156))))</formula>
    </cfRule>
  </conditionalFormatting>
  <conditionalFormatting sqref="G156:H156 K156">
    <cfRule type="containsText" dxfId="0" priority="2098" operator="containsText" text="Closed">
      <formula>NOT(ISERROR(SEARCH(("Closed"),(G156))))</formula>
    </cfRule>
  </conditionalFormatting>
  <conditionalFormatting sqref="G156:H156 K156">
    <cfRule type="containsText" dxfId="3" priority="2099" operator="containsText" text="Monitor">
      <formula>NOT(ISERROR(SEARCH(("Monitor"),(G156))))</formula>
    </cfRule>
  </conditionalFormatting>
  <conditionalFormatting sqref="A155:AC156">
    <cfRule type="notContainsBlanks" dxfId="8" priority="2100">
      <formula>LEN(TRIM(A155))&gt;0</formula>
    </cfRule>
  </conditionalFormatting>
  <conditionalFormatting sqref="A156:K156">
    <cfRule type="expression" dxfId="7" priority="2101">
      <formula>if($G156="Closed",1,0)</formula>
    </cfRule>
  </conditionalFormatting>
  <conditionalFormatting sqref="G154:H154 K154">
    <cfRule type="containsText" dxfId="1" priority="2102" operator="containsText" text="Open">
      <formula>NOT(ISERROR(SEARCH(("Open"),(G154))))</formula>
    </cfRule>
  </conditionalFormatting>
  <conditionalFormatting sqref="G154:H154 K154">
    <cfRule type="containsText" dxfId="0" priority="2103" operator="containsText" text="Closed">
      <formula>NOT(ISERROR(SEARCH(("Closed"),(G154))))</formula>
    </cfRule>
  </conditionalFormatting>
  <conditionalFormatting sqref="G154:H154 K154">
    <cfRule type="containsText" dxfId="3" priority="2104" operator="containsText" text="Monitor">
      <formula>NOT(ISERROR(SEARCH(("Monitor"),(G154))))</formula>
    </cfRule>
  </conditionalFormatting>
  <conditionalFormatting sqref="A153:AC154">
    <cfRule type="notContainsBlanks" dxfId="8" priority="2105">
      <formula>LEN(TRIM(A153))&gt;0</formula>
    </cfRule>
  </conditionalFormatting>
  <conditionalFormatting sqref="A154:K154">
    <cfRule type="expression" dxfId="7" priority="2106">
      <formula>if($G154="Closed",1,0)</formula>
    </cfRule>
  </conditionalFormatting>
  <conditionalFormatting sqref="G152:H152 K152">
    <cfRule type="containsText" dxfId="1" priority="2107" operator="containsText" text="Open">
      <formula>NOT(ISERROR(SEARCH(("Open"),(G152))))</formula>
    </cfRule>
  </conditionalFormatting>
  <conditionalFormatting sqref="G152:H152 K152">
    <cfRule type="containsText" dxfId="0" priority="2108" operator="containsText" text="Closed">
      <formula>NOT(ISERROR(SEARCH(("Closed"),(G152))))</formula>
    </cfRule>
  </conditionalFormatting>
  <conditionalFormatting sqref="G152:H152 K152">
    <cfRule type="containsText" dxfId="3" priority="2109" operator="containsText" text="Monitor">
      <formula>NOT(ISERROR(SEARCH(("Monitor"),(G152))))</formula>
    </cfRule>
  </conditionalFormatting>
  <conditionalFormatting sqref="A151:AC152">
    <cfRule type="notContainsBlanks" dxfId="8" priority="2110">
      <formula>LEN(TRIM(A151))&gt;0</formula>
    </cfRule>
  </conditionalFormatting>
  <conditionalFormatting sqref="A152:K152">
    <cfRule type="expression" dxfId="7" priority="2111">
      <formula>if($G152="Closed",1,0)</formula>
    </cfRule>
  </conditionalFormatting>
  <conditionalFormatting sqref="G150:H150 K150">
    <cfRule type="containsText" dxfId="1" priority="2112" operator="containsText" text="Open">
      <formula>NOT(ISERROR(SEARCH(("Open"),(G150))))</formula>
    </cfRule>
  </conditionalFormatting>
  <conditionalFormatting sqref="G150:H150 K150">
    <cfRule type="containsText" dxfId="0" priority="2113" operator="containsText" text="Closed">
      <formula>NOT(ISERROR(SEARCH(("Closed"),(G150))))</formula>
    </cfRule>
  </conditionalFormatting>
  <conditionalFormatting sqref="G150:H150 K150">
    <cfRule type="containsText" dxfId="3" priority="2114" operator="containsText" text="Monitor">
      <formula>NOT(ISERROR(SEARCH(("Monitor"),(G150))))</formula>
    </cfRule>
  </conditionalFormatting>
  <conditionalFormatting sqref="A149:AC150">
    <cfRule type="notContainsBlanks" dxfId="8" priority="2115">
      <formula>LEN(TRIM(A149))&gt;0</formula>
    </cfRule>
  </conditionalFormatting>
  <conditionalFormatting sqref="A150:K150">
    <cfRule type="expression" dxfId="7" priority="2116">
      <formula>if($G150="Closed",1,0)</formula>
    </cfRule>
  </conditionalFormatting>
  <conditionalFormatting sqref="G148:H148 K148">
    <cfRule type="containsText" dxfId="1" priority="2117" operator="containsText" text="Open">
      <formula>NOT(ISERROR(SEARCH(("Open"),(G148))))</formula>
    </cfRule>
  </conditionalFormatting>
  <conditionalFormatting sqref="G148:H148 K148">
    <cfRule type="containsText" dxfId="0" priority="2118" operator="containsText" text="Closed">
      <formula>NOT(ISERROR(SEARCH(("Closed"),(G148))))</formula>
    </cfRule>
  </conditionalFormatting>
  <conditionalFormatting sqref="G148:H148 K148">
    <cfRule type="containsText" dxfId="3" priority="2119" operator="containsText" text="Monitor">
      <formula>NOT(ISERROR(SEARCH(("Monitor"),(G148))))</formula>
    </cfRule>
  </conditionalFormatting>
  <conditionalFormatting sqref="A147:AC148">
    <cfRule type="notContainsBlanks" dxfId="8" priority="2120">
      <formula>LEN(TRIM(A147))&gt;0</formula>
    </cfRule>
  </conditionalFormatting>
  <conditionalFormatting sqref="A148:K148">
    <cfRule type="expression" dxfId="7" priority="2121">
      <formula>if($G148="Closed",1,0)</formula>
    </cfRule>
  </conditionalFormatting>
  <conditionalFormatting sqref="G146:H146 K146">
    <cfRule type="containsText" dxfId="1" priority="2122" operator="containsText" text="Open">
      <formula>NOT(ISERROR(SEARCH(("Open"),(G146))))</formula>
    </cfRule>
  </conditionalFormatting>
  <conditionalFormatting sqref="G146:H146 K146">
    <cfRule type="containsText" dxfId="0" priority="2123" operator="containsText" text="Closed">
      <formula>NOT(ISERROR(SEARCH(("Closed"),(G146))))</formula>
    </cfRule>
  </conditionalFormatting>
  <conditionalFormatting sqref="G146:H146 K146">
    <cfRule type="containsText" dxfId="3" priority="2124" operator="containsText" text="Monitor">
      <formula>NOT(ISERROR(SEARCH(("Monitor"),(G146))))</formula>
    </cfRule>
  </conditionalFormatting>
  <conditionalFormatting sqref="A145:AC146">
    <cfRule type="notContainsBlanks" dxfId="8" priority="2125">
      <formula>LEN(TRIM(A145))&gt;0</formula>
    </cfRule>
  </conditionalFormatting>
  <conditionalFormatting sqref="A146:K146">
    <cfRule type="expression" dxfId="7" priority="2126">
      <formula>if($G146="Closed",1,0)</formula>
    </cfRule>
  </conditionalFormatting>
  <conditionalFormatting sqref="G144:H144 K144">
    <cfRule type="containsText" dxfId="1" priority="2127" operator="containsText" text="Open">
      <formula>NOT(ISERROR(SEARCH(("Open"),(G144))))</formula>
    </cfRule>
  </conditionalFormatting>
  <conditionalFormatting sqref="G144:H144 K144">
    <cfRule type="containsText" dxfId="0" priority="2128" operator="containsText" text="Closed">
      <formula>NOT(ISERROR(SEARCH(("Closed"),(G144))))</formula>
    </cfRule>
  </conditionalFormatting>
  <conditionalFormatting sqref="G144:H144 K144">
    <cfRule type="containsText" dxfId="3" priority="2129" operator="containsText" text="Monitor">
      <formula>NOT(ISERROR(SEARCH(("Monitor"),(G144))))</formula>
    </cfRule>
  </conditionalFormatting>
  <conditionalFormatting sqref="A143:AC144">
    <cfRule type="notContainsBlanks" dxfId="8" priority="2130">
      <formula>LEN(TRIM(A143))&gt;0</formula>
    </cfRule>
  </conditionalFormatting>
  <conditionalFormatting sqref="A144:K144">
    <cfRule type="expression" dxfId="7" priority="2131">
      <formula>if($G144="Closed",1,0)</formula>
    </cfRule>
  </conditionalFormatting>
  <conditionalFormatting sqref="G142:H142 K142">
    <cfRule type="containsText" dxfId="1" priority="2132" operator="containsText" text="Open">
      <formula>NOT(ISERROR(SEARCH(("Open"),(G142))))</formula>
    </cfRule>
  </conditionalFormatting>
  <conditionalFormatting sqref="G142:H142 K142">
    <cfRule type="containsText" dxfId="0" priority="2133" operator="containsText" text="Closed">
      <formula>NOT(ISERROR(SEARCH(("Closed"),(G142))))</formula>
    </cfRule>
  </conditionalFormatting>
  <conditionalFormatting sqref="G142:H142 K142">
    <cfRule type="containsText" dxfId="3" priority="2134" operator="containsText" text="Monitor">
      <formula>NOT(ISERROR(SEARCH(("Monitor"),(G142))))</formula>
    </cfRule>
  </conditionalFormatting>
  <conditionalFormatting sqref="A141:AC142">
    <cfRule type="notContainsBlanks" dxfId="8" priority="2135">
      <formula>LEN(TRIM(A141))&gt;0</formula>
    </cfRule>
  </conditionalFormatting>
  <conditionalFormatting sqref="A142:K142">
    <cfRule type="expression" dxfId="7" priority="2136">
      <formula>if($G142="Closed",1,0)</formula>
    </cfRule>
  </conditionalFormatting>
  <conditionalFormatting sqref="G140:H140 K140">
    <cfRule type="containsText" dxfId="1" priority="2137" operator="containsText" text="Open">
      <formula>NOT(ISERROR(SEARCH(("Open"),(G140))))</formula>
    </cfRule>
  </conditionalFormatting>
  <conditionalFormatting sqref="G140:H140 K140">
    <cfRule type="containsText" dxfId="0" priority="2138" operator="containsText" text="Closed">
      <formula>NOT(ISERROR(SEARCH(("Closed"),(G140))))</formula>
    </cfRule>
  </conditionalFormatting>
  <conditionalFormatting sqref="G140:H140 K140">
    <cfRule type="containsText" dxfId="3" priority="2139" operator="containsText" text="Monitor">
      <formula>NOT(ISERROR(SEARCH(("Monitor"),(G140))))</formula>
    </cfRule>
  </conditionalFormatting>
  <conditionalFormatting sqref="A139:AC140">
    <cfRule type="notContainsBlanks" dxfId="8" priority="2140">
      <formula>LEN(TRIM(A139))&gt;0</formula>
    </cfRule>
  </conditionalFormatting>
  <conditionalFormatting sqref="A140:K140">
    <cfRule type="expression" dxfId="7" priority="2141">
      <formula>if($G140="Closed",1,0)</formula>
    </cfRule>
  </conditionalFormatting>
  <conditionalFormatting sqref="G138:H138 K138">
    <cfRule type="containsText" dxfId="1" priority="2142" operator="containsText" text="Open">
      <formula>NOT(ISERROR(SEARCH(("Open"),(G138))))</formula>
    </cfRule>
  </conditionalFormatting>
  <conditionalFormatting sqref="G138:H138 K138">
    <cfRule type="containsText" dxfId="0" priority="2143" operator="containsText" text="Closed">
      <formula>NOT(ISERROR(SEARCH(("Closed"),(G138))))</formula>
    </cfRule>
  </conditionalFormatting>
  <conditionalFormatting sqref="G138:H138 K138">
    <cfRule type="containsText" dxfId="3" priority="2144" operator="containsText" text="Monitor">
      <formula>NOT(ISERROR(SEARCH(("Monitor"),(G138))))</formula>
    </cfRule>
  </conditionalFormatting>
  <conditionalFormatting sqref="A137:AC138">
    <cfRule type="notContainsBlanks" dxfId="8" priority="2145">
      <formula>LEN(TRIM(A137))&gt;0</formula>
    </cfRule>
  </conditionalFormatting>
  <conditionalFormatting sqref="A138:K138">
    <cfRule type="expression" dxfId="7" priority="2146">
      <formula>if($G138="Closed",1,0)</formula>
    </cfRule>
  </conditionalFormatting>
  <conditionalFormatting sqref="G136:H136 K136">
    <cfRule type="containsText" dxfId="1" priority="2147" operator="containsText" text="Open">
      <formula>NOT(ISERROR(SEARCH(("Open"),(G136))))</formula>
    </cfRule>
  </conditionalFormatting>
  <conditionalFormatting sqref="G136:H136 K136">
    <cfRule type="containsText" dxfId="0" priority="2148" operator="containsText" text="Closed">
      <formula>NOT(ISERROR(SEARCH(("Closed"),(G136))))</formula>
    </cfRule>
  </conditionalFormatting>
  <conditionalFormatting sqref="G136:H136 K136">
    <cfRule type="containsText" dxfId="3" priority="2149" operator="containsText" text="Monitor">
      <formula>NOT(ISERROR(SEARCH(("Monitor"),(G136))))</formula>
    </cfRule>
  </conditionalFormatting>
  <conditionalFormatting sqref="A135:AC136">
    <cfRule type="notContainsBlanks" dxfId="8" priority="2150">
      <formula>LEN(TRIM(A135))&gt;0</formula>
    </cfRule>
  </conditionalFormatting>
  <conditionalFormatting sqref="A136:K136">
    <cfRule type="expression" dxfId="7" priority="2151">
      <formula>if($G136="Closed",1,0)</formula>
    </cfRule>
  </conditionalFormatting>
  <conditionalFormatting sqref="G134:H134 K134">
    <cfRule type="containsText" dxfId="1" priority="2152" operator="containsText" text="Open">
      <formula>NOT(ISERROR(SEARCH(("Open"),(G134))))</formula>
    </cfRule>
  </conditionalFormatting>
  <conditionalFormatting sqref="G134:H134 K134">
    <cfRule type="containsText" dxfId="0" priority="2153" operator="containsText" text="Closed">
      <formula>NOT(ISERROR(SEARCH(("Closed"),(G134))))</formula>
    </cfRule>
  </conditionalFormatting>
  <conditionalFormatting sqref="G134:H134 K134">
    <cfRule type="containsText" dxfId="3" priority="2154" operator="containsText" text="Monitor">
      <formula>NOT(ISERROR(SEARCH(("Monitor"),(G134))))</formula>
    </cfRule>
  </conditionalFormatting>
  <conditionalFormatting sqref="A133:AC134">
    <cfRule type="notContainsBlanks" dxfId="8" priority="2155">
      <formula>LEN(TRIM(A133))&gt;0</formula>
    </cfRule>
  </conditionalFormatting>
  <conditionalFormatting sqref="A134:K134">
    <cfRule type="expression" dxfId="7" priority="2156">
      <formula>if($G134="Closed",1,0)</formula>
    </cfRule>
  </conditionalFormatting>
  <conditionalFormatting sqref="G132:H132 K132">
    <cfRule type="containsText" dxfId="1" priority="2157" operator="containsText" text="Open">
      <formula>NOT(ISERROR(SEARCH(("Open"),(G132))))</formula>
    </cfRule>
  </conditionalFormatting>
  <conditionalFormatting sqref="G132:H132 K132">
    <cfRule type="containsText" dxfId="0" priority="2158" operator="containsText" text="Closed">
      <formula>NOT(ISERROR(SEARCH(("Closed"),(G132))))</formula>
    </cfRule>
  </conditionalFormatting>
  <conditionalFormatting sqref="G132:H132 K132">
    <cfRule type="containsText" dxfId="3" priority="2159" operator="containsText" text="Monitor">
      <formula>NOT(ISERROR(SEARCH(("Monitor"),(G132))))</formula>
    </cfRule>
  </conditionalFormatting>
  <conditionalFormatting sqref="A131:AC132">
    <cfRule type="notContainsBlanks" dxfId="8" priority="2160">
      <formula>LEN(TRIM(A131))&gt;0</formula>
    </cfRule>
  </conditionalFormatting>
  <conditionalFormatting sqref="A132:K132">
    <cfRule type="expression" dxfId="7" priority="2161">
      <formula>if($G132="Closed",1,0)</formula>
    </cfRule>
  </conditionalFormatting>
  <conditionalFormatting sqref="G130:H130 K130">
    <cfRule type="containsText" dxfId="1" priority="2162" operator="containsText" text="Open">
      <formula>NOT(ISERROR(SEARCH(("Open"),(G130))))</formula>
    </cfRule>
  </conditionalFormatting>
  <conditionalFormatting sqref="G130:H130 K130">
    <cfRule type="containsText" dxfId="0" priority="2163" operator="containsText" text="Closed">
      <formula>NOT(ISERROR(SEARCH(("Closed"),(G130))))</formula>
    </cfRule>
  </conditionalFormatting>
  <conditionalFormatting sqref="G130:H130 K130">
    <cfRule type="containsText" dxfId="3" priority="2164" operator="containsText" text="Monitor">
      <formula>NOT(ISERROR(SEARCH(("Monitor"),(G130))))</formula>
    </cfRule>
  </conditionalFormatting>
  <conditionalFormatting sqref="A129:AC130">
    <cfRule type="notContainsBlanks" dxfId="8" priority="2165">
      <formula>LEN(TRIM(A129))&gt;0</formula>
    </cfRule>
  </conditionalFormatting>
  <conditionalFormatting sqref="A130:K130">
    <cfRule type="expression" dxfId="7" priority="2166">
      <formula>if($G130="Closed",1,0)</formula>
    </cfRule>
  </conditionalFormatting>
  <conditionalFormatting sqref="G128:H128 K128">
    <cfRule type="containsText" dxfId="1" priority="2167" operator="containsText" text="Open">
      <formula>NOT(ISERROR(SEARCH(("Open"),(G128))))</formula>
    </cfRule>
  </conditionalFormatting>
  <conditionalFormatting sqref="G128:H128 K128">
    <cfRule type="containsText" dxfId="0" priority="2168" operator="containsText" text="Closed">
      <formula>NOT(ISERROR(SEARCH(("Closed"),(G128))))</formula>
    </cfRule>
  </conditionalFormatting>
  <conditionalFormatting sqref="G128:H128 K128">
    <cfRule type="containsText" dxfId="3" priority="2169" operator="containsText" text="Monitor">
      <formula>NOT(ISERROR(SEARCH(("Monitor"),(G128))))</formula>
    </cfRule>
  </conditionalFormatting>
  <conditionalFormatting sqref="A127:AC128">
    <cfRule type="notContainsBlanks" dxfId="8" priority="2170">
      <formula>LEN(TRIM(A127))&gt;0</formula>
    </cfRule>
  </conditionalFormatting>
  <conditionalFormatting sqref="A128:K128">
    <cfRule type="expression" dxfId="7" priority="2171">
      <formula>if($G128="Closed",1,0)</formula>
    </cfRule>
  </conditionalFormatting>
  <conditionalFormatting sqref="G126:H126 K126">
    <cfRule type="containsText" dxfId="1" priority="2172" operator="containsText" text="Open">
      <formula>NOT(ISERROR(SEARCH(("Open"),(G126))))</formula>
    </cfRule>
  </conditionalFormatting>
  <conditionalFormatting sqref="G126:H126 K126">
    <cfRule type="containsText" dxfId="0" priority="2173" operator="containsText" text="Closed">
      <formula>NOT(ISERROR(SEARCH(("Closed"),(G126))))</formula>
    </cfRule>
  </conditionalFormatting>
  <conditionalFormatting sqref="G126:H126 K126">
    <cfRule type="containsText" dxfId="3" priority="2174" operator="containsText" text="Monitor">
      <formula>NOT(ISERROR(SEARCH(("Monitor"),(G126))))</formula>
    </cfRule>
  </conditionalFormatting>
  <conditionalFormatting sqref="A125:AC126">
    <cfRule type="notContainsBlanks" dxfId="8" priority="2175">
      <formula>LEN(TRIM(A125))&gt;0</formula>
    </cfRule>
  </conditionalFormatting>
  <conditionalFormatting sqref="A126:K126">
    <cfRule type="expression" dxfId="7" priority="2176">
      <formula>if($G126="Closed",1,0)</formula>
    </cfRule>
  </conditionalFormatting>
  <conditionalFormatting sqref="G124:H124 K124">
    <cfRule type="containsText" dxfId="1" priority="2177" operator="containsText" text="Open">
      <formula>NOT(ISERROR(SEARCH(("Open"),(G124))))</formula>
    </cfRule>
  </conditionalFormatting>
  <conditionalFormatting sqref="G124:H124 K124">
    <cfRule type="containsText" dxfId="0" priority="2178" operator="containsText" text="Closed">
      <formula>NOT(ISERROR(SEARCH(("Closed"),(G124))))</formula>
    </cfRule>
  </conditionalFormatting>
  <conditionalFormatting sqref="G124:H124 K124">
    <cfRule type="containsText" dxfId="3" priority="2179" operator="containsText" text="Monitor">
      <formula>NOT(ISERROR(SEARCH(("Monitor"),(G124))))</formula>
    </cfRule>
  </conditionalFormatting>
  <conditionalFormatting sqref="A123:AC124">
    <cfRule type="notContainsBlanks" dxfId="8" priority="2180">
      <formula>LEN(TRIM(A123))&gt;0</formula>
    </cfRule>
  </conditionalFormatting>
  <conditionalFormatting sqref="A124:K124">
    <cfRule type="expression" dxfId="7" priority="2181">
      <formula>if($G124="Closed",1,0)</formula>
    </cfRule>
  </conditionalFormatting>
  <conditionalFormatting sqref="G122:H122 K122">
    <cfRule type="containsText" dxfId="1" priority="2182" operator="containsText" text="Open">
      <formula>NOT(ISERROR(SEARCH(("Open"),(G122))))</formula>
    </cfRule>
  </conditionalFormatting>
  <conditionalFormatting sqref="G122:H122 K122">
    <cfRule type="containsText" dxfId="0" priority="2183" operator="containsText" text="Closed">
      <formula>NOT(ISERROR(SEARCH(("Closed"),(G122))))</formula>
    </cfRule>
  </conditionalFormatting>
  <conditionalFormatting sqref="G122:H122 K122">
    <cfRule type="containsText" dxfId="3" priority="2184" operator="containsText" text="Monitor">
      <formula>NOT(ISERROR(SEARCH(("Monitor"),(G122))))</formula>
    </cfRule>
  </conditionalFormatting>
  <conditionalFormatting sqref="A121:AC122">
    <cfRule type="notContainsBlanks" dxfId="8" priority="2185">
      <formula>LEN(TRIM(A121))&gt;0</formula>
    </cfRule>
  </conditionalFormatting>
  <conditionalFormatting sqref="A122:K122">
    <cfRule type="expression" dxfId="7" priority="2186">
      <formula>if($G122="Closed",1,0)</formula>
    </cfRule>
  </conditionalFormatting>
  <conditionalFormatting sqref="G120:H120 K120">
    <cfRule type="containsText" dxfId="1" priority="2187" operator="containsText" text="Open">
      <formula>NOT(ISERROR(SEARCH(("Open"),(G120))))</formula>
    </cfRule>
  </conditionalFormatting>
  <conditionalFormatting sqref="G120:H120 K120">
    <cfRule type="containsText" dxfId="0" priority="2188" operator="containsText" text="Closed">
      <formula>NOT(ISERROR(SEARCH(("Closed"),(G120))))</formula>
    </cfRule>
  </conditionalFormatting>
  <conditionalFormatting sqref="G120:H120 K120">
    <cfRule type="containsText" dxfId="3" priority="2189" operator="containsText" text="Monitor">
      <formula>NOT(ISERROR(SEARCH(("Monitor"),(G120))))</formula>
    </cfRule>
  </conditionalFormatting>
  <conditionalFormatting sqref="A119:AC120">
    <cfRule type="notContainsBlanks" dxfId="8" priority="2190">
      <formula>LEN(TRIM(A119))&gt;0</formula>
    </cfRule>
  </conditionalFormatting>
  <conditionalFormatting sqref="A120:K120">
    <cfRule type="expression" dxfId="7" priority="2191">
      <formula>if($G120="Closed",1,0)</formula>
    </cfRule>
  </conditionalFormatting>
  <conditionalFormatting sqref="G118:H118 K118">
    <cfRule type="containsText" dxfId="1" priority="2192" operator="containsText" text="Open">
      <formula>NOT(ISERROR(SEARCH(("Open"),(G118))))</formula>
    </cfRule>
  </conditionalFormatting>
  <conditionalFormatting sqref="G118:H118 K118">
    <cfRule type="containsText" dxfId="0" priority="2193" operator="containsText" text="Closed">
      <formula>NOT(ISERROR(SEARCH(("Closed"),(G118))))</formula>
    </cfRule>
  </conditionalFormatting>
  <conditionalFormatting sqref="G118:H118 K118">
    <cfRule type="containsText" dxfId="3" priority="2194" operator="containsText" text="Monitor">
      <formula>NOT(ISERROR(SEARCH(("Monitor"),(G118))))</formula>
    </cfRule>
  </conditionalFormatting>
  <conditionalFormatting sqref="A117:AC118">
    <cfRule type="notContainsBlanks" dxfId="8" priority="2195">
      <formula>LEN(TRIM(A117))&gt;0</formula>
    </cfRule>
  </conditionalFormatting>
  <conditionalFormatting sqref="A118:K118">
    <cfRule type="expression" dxfId="7" priority="2196">
      <formula>if($G118="Closed",1,0)</formula>
    </cfRule>
  </conditionalFormatting>
  <conditionalFormatting sqref="G116:H116 K116">
    <cfRule type="containsText" dxfId="1" priority="2197" operator="containsText" text="Open">
      <formula>NOT(ISERROR(SEARCH(("Open"),(G116))))</formula>
    </cfRule>
  </conditionalFormatting>
  <conditionalFormatting sqref="G116:H116 K116">
    <cfRule type="containsText" dxfId="0" priority="2198" operator="containsText" text="Closed">
      <formula>NOT(ISERROR(SEARCH(("Closed"),(G116))))</formula>
    </cfRule>
  </conditionalFormatting>
  <conditionalFormatting sqref="G116:H116 K116">
    <cfRule type="containsText" dxfId="3" priority="2199" operator="containsText" text="Monitor">
      <formula>NOT(ISERROR(SEARCH(("Monitor"),(G116))))</formula>
    </cfRule>
  </conditionalFormatting>
  <conditionalFormatting sqref="A115:AC116">
    <cfRule type="notContainsBlanks" dxfId="8" priority="2200">
      <formula>LEN(TRIM(A115))&gt;0</formula>
    </cfRule>
  </conditionalFormatting>
  <conditionalFormatting sqref="A116:K116">
    <cfRule type="expression" dxfId="7" priority="2201">
      <formula>if($G116="Closed",1,0)</formula>
    </cfRule>
  </conditionalFormatting>
  <conditionalFormatting sqref="G114:H114 K114">
    <cfRule type="containsText" dxfId="1" priority="2202" operator="containsText" text="Open">
      <formula>NOT(ISERROR(SEARCH(("Open"),(G114))))</formula>
    </cfRule>
  </conditionalFormatting>
  <conditionalFormatting sqref="G114:H114 K114">
    <cfRule type="containsText" dxfId="0" priority="2203" operator="containsText" text="Closed">
      <formula>NOT(ISERROR(SEARCH(("Closed"),(G114))))</formula>
    </cfRule>
  </conditionalFormatting>
  <conditionalFormatting sqref="G114:H114 K114">
    <cfRule type="containsText" dxfId="3" priority="2204" operator="containsText" text="Monitor">
      <formula>NOT(ISERROR(SEARCH(("Monitor"),(G114))))</formula>
    </cfRule>
  </conditionalFormatting>
  <conditionalFormatting sqref="A113:AC114">
    <cfRule type="notContainsBlanks" dxfId="8" priority="2205">
      <formula>LEN(TRIM(A113))&gt;0</formula>
    </cfRule>
  </conditionalFormatting>
  <conditionalFormatting sqref="A114:K114">
    <cfRule type="expression" dxfId="7" priority="2206">
      <formula>if($G114="Closed",1,0)</formula>
    </cfRule>
  </conditionalFormatting>
  <conditionalFormatting sqref="G112:H112 K112">
    <cfRule type="containsText" dxfId="1" priority="2207" operator="containsText" text="Open">
      <formula>NOT(ISERROR(SEARCH(("Open"),(G112))))</formula>
    </cfRule>
  </conditionalFormatting>
  <conditionalFormatting sqref="G112:H112 K112">
    <cfRule type="containsText" dxfId="0" priority="2208" operator="containsText" text="Closed">
      <formula>NOT(ISERROR(SEARCH(("Closed"),(G112))))</formula>
    </cfRule>
  </conditionalFormatting>
  <conditionalFormatting sqref="G112:H112 K112">
    <cfRule type="containsText" dxfId="3" priority="2209" operator="containsText" text="Monitor">
      <formula>NOT(ISERROR(SEARCH(("Monitor"),(G112))))</formula>
    </cfRule>
  </conditionalFormatting>
  <conditionalFormatting sqref="A111:AC112">
    <cfRule type="notContainsBlanks" dxfId="8" priority="2210">
      <formula>LEN(TRIM(A111))&gt;0</formula>
    </cfRule>
  </conditionalFormatting>
  <conditionalFormatting sqref="A112:K112">
    <cfRule type="expression" dxfId="7" priority="2211">
      <formula>if($G112="Closed",1,0)</formula>
    </cfRule>
  </conditionalFormatting>
  <conditionalFormatting sqref="G110:H110 K110">
    <cfRule type="containsText" dxfId="1" priority="2212" operator="containsText" text="Open">
      <formula>NOT(ISERROR(SEARCH(("Open"),(G110))))</formula>
    </cfRule>
  </conditionalFormatting>
  <conditionalFormatting sqref="G110:H110 K110">
    <cfRule type="containsText" dxfId="0" priority="2213" operator="containsText" text="Closed">
      <formula>NOT(ISERROR(SEARCH(("Closed"),(G110))))</formula>
    </cfRule>
  </conditionalFormatting>
  <conditionalFormatting sqref="G110:H110 K110">
    <cfRule type="containsText" dxfId="3" priority="2214" operator="containsText" text="Monitor">
      <formula>NOT(ISERROR(SEARCH(("Monitor"),(G110))))</formula>
    </cfRule>
  </conditionalFormatting>
  <conditionalFormatting sqref="A109:AC110">
    <cfRule type="notContainsBlanks" dxfId="8" priority="2215">
      <formula>LEN(TRIM(A109))&gt;0</formula>
    </cfRule>
  </conditionalFormatting>
  <conditionalFormatting sqref="A110:K110">
    <cfRule type="expression" dxfId="7" priority="2216">
      <formula>if($G110="Closed",1,0)</formula>
    </cfRule>
  </conditionalFormatting>
  <conditionalFormatting sqref="G108:H108 K108">
    <cfRule type="containsText" dxfId="1" priority="2217" operator="containsText" text="Open">
      <formula>NOT(ISERROR(SEARCH(("Open"),(G108))))</formula>
    </cfRule>
  </conditionalFormatting>
  <conditionalFormatting sqref="G108:H108 K108">
    <cfRule type="containsText" dxfId="0" priority="2218" operator="containsText" text="Closed">
      <formula>NOT(ISERROR(SEARCH(("Closed"),(G108))))</formula>
    </cfRule>
  </conditionalFormatting>
  <conditionalFormatting sqref="G108:H108 K108">
    <cfRule type="containsText" dxfId="3" priority="2219" operator="containsText" text="Monitor">
      <formula>NOT(ISERROR(SEARCH(("Monitor"),(G108))))</formula>
    </cfRule>
  </conditionalFormatting>
  <conditionalFormatting sqref="A107:AC108">
    <cfRule type="notContainsBlanks" dxfId="8" priority="2220">
      <formula>LEN(TRIM(A107))&gt;0</formula>
    </cfRule>
  </conditionalFormatting>
  <conditionalFormatting sqref="A108:K108">
    <cfRule type="expression" dxfId="7" priority="2221">
      <formula>if($G108="Closed",1,0)</formula>
    </cfRule>
  </conditionalFormatting>
  <conditionalFormatting sqref="G106:H106 K106">
    <cfRule type="containsText" dxfId="1" priority="2222" operator="containsText" text="Open">
      <formula>NOT(ISERROR(SEARCH(("Open"),(G106))))</formula>
    </cfRule>
  </conditionalFormatting>
  <conditionalFormatting sqref="G106:H106 K106">
    <cfRule type="containsText" dxfId="0" priority="2223" operator="containsText" text="Closed">
      <formula>NOT(ISERROR(SEARCH(("Closed"),(G106))))</formula>
    </cfRule>
  </conditionalFormatting>
  <conditionalFormatting sqref="G106:H106 K106">
    <cfRule type="containsText" dxfId="3" priority="2224" operator="containsText" text="Monitor">
      <formula>NOT(ISERROR(SEARCH(("Monitor"),(G106))))</formula>
    </cfRule>
  </conditionalFormatting>
  <conditionalFormatting sqref="A105:AC106">
    <cfRule type="notContainsBlanks" dxfId="8" priority="2225">
      <formula>LEN(TRIM(A105))&gt;0</formula>
    </cfRule>
  </conditionalFormatting>
  <conditionalFormatting sqref="A106:K106">
    <cfRule type="expression" dxfId="7" priority="2226">
      <formula>if($G106="Closed",1,0)</formula>
    </cfRule>
  </conditionalFormatting>
  <conditionalFormatting sqref="G104:H104 K104">
    <cfRule type="containsText" dxfId="1" priority="2227" operator="containsText" text="Open">
      <formula>NOT(ISERROR(SEARCH(("Open"),(G104))))</formula>
    </cfRule>
  </conditionalFormatting>
  <conditionalFormatting sqref="G104:H104 K104">
    <cfRule type="containsText" dxfId="0" priority="2228" operator="containsText" text="Closed">
      <formula>NOT(ISERROR(SEARCH(("Closed"),(G104))))</formula>
    </cfRule>
  </conditionalFormatting>
  <conditionalFormatting sqref="G104:H104 K104">
    <cfRule type="containsText" dxfId="3" priority="2229" operator="containsText" text="Monitor">
      <formula>NOT(ISERROR(SEARCH(("Monitor"),(G104))))</formula>
    </cfRule>
  </conditionalFormatting>
  <conditionalFormatting sqref="A103:AC104">
    <cfRule type="notContainsBlanks" dxfId="8" priority="2230">
      <formula>LEN(TRIM(A103))&gt;0</formula>
    </cfRule>
  </conditionalFormatting>
  <conditionalFormatting sqref="A104:K104">
    <cfRule type="expression" dxfId="7" priority="2231">
      <formula>if($G104="Closed",1,0)</formula>
    </cfRule>
  </conditionalFormatting>
  <conditionalFormatting sqref="G102:H102 K102">
    <cfRule type="containsText" dxfId="1" priority="2232" operator="containsText" text="Open">
      <formula>NOT(ISERROR(SEARCH(("Open"),(G102))))</formula>
    </cfRule>
  </conditionalFormatting>
  <conditionalFormatting sqref="G102:H102 K102">
    <cfRule type="containsText" dxfId="0" priority="2233" operator="containsText" text="Closed">
      <formula>NOT(ISERROR(SEARCH(("Closed"),(G102))))</formula>
    </cfRule>
  </conditionalFormatting>
  <conditionalFormatting sqref="G102:H102 K102">
    <cfRule type="containsText" dxfId="3" priority="2234" operator="containsText" text="Monitor">
      <formula>NOT(ISERROR(SEARCH(("Monitor"),(G102))))</formula>
    </cfRule>
  </conditionalFormatting>
  <conditionalFormatting sqref="A101:AC102">
    <cfRule type="notContainsBlanks" dxfId="8" priority="2235">
      <formula>LEN(TRIM(A101))&gt;0</formula>
    </cfRule>
  </conditionalFormatting>
  <conditionalFormatting sqref="A102:K102">
    <cfRule type="expression" dxfId="7" priority="2236">
      <formula>if($G102="Closed",1,0)</formula>
    </cfRule>
  </conditionalFormatting>
  <conditionalFormatting sqref="G100:H100 K100">
    <cfRule type="containsText" dxfId="1" priority="2237" operator="containsText" text="Open">
      <formula>NOT(ISERROR(SEARCH(("Open"),(G100))))</formula>
    </cfRule>
  </conditionalFormatting>
  <conditionalFormatting sqref="G100:H100 K100">
    <cfRule type="containsText" dxfId="0" priority="2238" operator="containsText" text="Closed">
      <formula>NOT(ISERROR(SEARCH(("Closed"),(G100))))</formula>
    </cfRule>
  </conditionalFormatting>
  <conditionalFormatting sqref="G100:H100 K100">
    <cfRule type="containsText" dxfId="3" priority="2239" operator="containsText" text="Monitor">
      <formula>NOT(ISERROR(SEARCH(("Monitor"),(G100))))</formula>
    </cfRule>
  </conditionalFormatting>
  <conditionalFormatting sqref="A99:AC100">
    <cfRule type="notContainsBlanks" dxfId="8" priority="2240">
      <formula>LEN(TRIM(A99))&gt;0</formula>
    </cfRule>
  </conditionalFormatting>
  <conditionalFormatting sqref="A100:K100">
    <cfRule type="expression" dxfId="7" priority="2241">
      <formula>if($G100="Closed",1,0)</formula>
    </cfRule>
  </conditionalFormatting>
  <conditionalFormatting sqref="G98:H98 K98">
    <cfRule type="containsText" dxfId="1" priority="2242" operator="containsText" text="Open">
      <formula>NOT(ISERROR(SEARCH(("Open"),(G98))))</formula>
    </cfRule>
  </conditionalFormatting>
  <conditionalFormatting sqref="G98:H98 K98">
    <cfRule type="containsText" dxfId="0" priority="2243" operator="containsText" text="Closed">
      <formula>NOT(ISERROR(SEARCH(("Closed"),(G98))))</formula>
    </cfRule>
  </conditionalFormatting>
  <conditionalFormatting sqref="G98:H98 K98">
    <cfRule type="containsText" dxfId="3" priority="2244" operator="containsText" text="Monitor">
      <formula>NOT(ISERROR(SEARCH(("Monitor"),(G98))))</formula>
    </cfRule>
  </conditionalFormatting>
  <conditionalFormatting sqref="A97:AC98">
    <cfRule type="notContainsBlanks" dxfId="8" priority="2245">
      <formula>LEN(TRIM(A97))&gt;0</formula>
    </cfRule>
  </conditionalFormatting>
  <conditionalFormatting sqref="A98:K98">
    <cfRule type="expression" dxfId="7" priority="2246">
      <formula>if($G98="Closed",1,0)</formula>
    </cfRule>
  </conditionalFormatting>
  <conditionalFormatting sqref="G96:H96 K96">
    <cfRule type="containsText" dxfId="1" priority="2247" operator="containsText" text="Open">
      <formula>NOT(ISERROR(SEARCH(("Open"),(G96))))</formula>
    </cfRule>
  </conditionalFormatting>
  <conditionalFormatting sqref="G96:H96 K96">
    <cfRule type="containsText" dxfId="0" priority="2248" operator="containsText" text="Closed">
      <formula>NOT(ISERROR(SEARCH(("Closed"),(G96))))</formula>
    </cfRule>
  </conditionalFormatting>
  <conditionalFormatting sqref="G96:H96 K96">
    <cfRule type="containsText" dxfId="3" priority="2249" operator="containsText" text="Monitor">
      <formula>NOT(ISERROR(SEARCH(("Monitor"),(G96))))</formula>
    </cfRule>
  </conditionalFormatting>
  <conditionalFormatting sqref="A95:AC96">
    <cfRule type="notContainsBlanks" dxfId="8" priority="2250">
      <formula>LEN(TRIM(A95))&gt;0</formula>
    </cfRule>
  </conditionalFormatting>
  <conditionalFormatting sqref="A96:K96">
    <cfRule type="expression" dxfId="7" priority="2251">
      <formula>if($G96="Closed",1,0)</formula>
    </cfRule>
  </conditionalFormatting>
  <conditionalFormatting sqref="G94:H94 K94">
    <cfRule type="containsText" dxfId="1" priority="2252" operator="containsText" text="Open">
      <formula>NOT(ISERROR(SEARCH(("Open"),(G94))))</formula>
    </cfRule>
  </conditionalFormatting>
  <conditionalFormatting sqref="G94:H94 K94">
    <cfRule type="containsText" dxfId="0" priority="2253" operator="containsText" text="Closed">
      <formula>NOT(ISERROR(SEARCH(("Closed"),(G94))))</formula>
    </cfRule>
  </conditionalFormatting>
  <conditionalFormatting sqref="G94:H94 K94">
    <cfRule type="containsText" dxfId="3" priority="2254" operator="containsText" text="Monitor">
      <formula>NOT(ISERROR(SEARCH(("Monitor"),(G94))))</formula>
    </cfRule>
  </conditionalFormatting>
  <conditionalFormatting sqref="A93:AC94">
    <cfRule type="notContainsBlanks" dxfId="8" priority="2255">
      <formula>LEN(TRIM(A93))&gt;0</formula>
    </cfRule>
  </conditionalFormatting>
  <conditionalFormatting sqref="A94:K94">
    <cfRule type="expression" dxfId="7" priority="2256">
      <formula>if($G94="Closed",1,0)</formula>
    </cfRule>
  </conditionalFormatting>
  <conditionalFormatting sqref="G92:H92 K92">
    <cfRule type="containsText" dxfId="1" priority="2257" operator="containsText" text="Open">
      <formula>NOT(ISERROR(SEARCH(("Open"),(G92))))</formula>
    </cfRule>
  </conditionalFormatting>
  <conditionalFormatting sqref="G92:H92 K92">
    <cfRule type="containsText" dxfId="0" priority="2258" operator="containsText" text="Closed">
      <formula>NOT(ISERROR(SEARCH(("Closed"),(G92))))</formula>
    </cfRule>
  </conditionalFormatting>
  <conditionalFormatting sqref="G92:H92 K92">
    <cfRule type="containsText" dxfId="3" priority="2259" operator="containsText" text="Monitor">
      <formula>NOT(ISERROR(SEARCH(("Monitor"),(G92))))</formula>
    </cfRule>
  </conditionalFormatting>
  <conditionalFormatting sqref="A91:AC92">
    <cfRule type="notContainsBlanks" dxfId="8" priority="2260">
      <formula>LEN(TRIM(A91))&gt;0</formula>
    </cfRule>
  </conditionalFormatting>
  <conditionalFormatting sqref="A92:K92">
    <cfRule type="expression" dxfId="7" priority="2261">
      <formula>if($G92="Closed",1,0)</formula>
    </cfRule>
  </conditionalFormatting>
  <conditionalFormatting sqref="G90:H90 K90">
    <cfRule type="containsText" dxfId="1" priority="2262" operator="containsText" text="Open">
      <formula>NOT(ISERROR(SEARCH(("Open"),(G90))))</formula>
    </cfRule>
  </conditionalFormatting>
  <conditionalFormatting sqref="G90:H90 K90">
    <cfRule type="containsText" dxfId="0" priority="2263" operator="containsText" text="Closed">
      <formula>NOT(ISERROR(SEARCH(("Closed"),(G90))))</formula>
    </cfRule>
  </conditionalFormatting>
  <conditionalFormatting sqref="G90:H90 K90">
    <cfRule type="containsText" dxfId="3" priority="2264" operator="containsText" text="Monitor">
      <formula>NOT(ISERROR(SEARCH(("Monitor"),(G90))))</formula>
    </cfRule>
  </conditionalFormatting>
  <conditionalFormatting sqref="A89:AC90">
    <cfRule type="notContainsBlanks" dxfId="8" priority="2265">
      <formula>LEN(TRIM(A89))&gt;0</formula>
    </cfRule>
  </conditionalFormatting>
  <conditionalFormatting sqref="A90:K90">
    <cfRule type="expression" dxfId="7" priority="2266">
      <formula>if($G90="Closed",1,0)</formula>
    </cfRule>
  </conditionalFormatting>
  <conditionalFormatting sqref="G88:H88 K88">
    <cfRule type="containsText" dxfId="1" priority="2267" operator="containsText" text="Open">
      <formula>NOT(ISERROR(SEARCH(("Open"),(G88))))</formula>
    </cfRule>
  </conditionalFormatting>
  <conditionalFormatting sqref="G88:H88 K88">
    <cfRule type="containsText" dxfId="0" priority="2268" operator="containsText" text="Closed">
      <formula>NOT(ISERROR(SEARCH(("Closed"),(G88))))</formula>
    </cfRule>
  </conditionalFormatting>
  <conditionalFormatting sqref="G88:H88 K88">
    <cfRule type="containsText" dxfId="3" priority="2269" operator="containsText" text="Monitor">
      <formula>NOT(ISERROR(SEARCH(("Monitor"),(G88))))</formula>
    </cfRule>
  </conditionalFormatting>
  <conditionalFormatting sqref="A87:AC88">
    <cfRule type="notContainsBlanks" dxfId="8" priority="2270">
      <formula>LEN(TRIM(A87))&gt;0</formula>
    </cfRule>
  </conditionalFormatting>
  <conditionalFormatting sqref="A88:K88">
    <cfRule type="expression" dxfId="7" priority="2271">
      <formula>if($G88="Closed",1,0)</formula>
    </cfRule>
  </conditionalFormatting>
  <conditionalFormatting sqref="G86:H86 K86">
    <cfRule type="containsText" dxfId="1" priority="2272" operator="containsText" text="Open">
      <formula>NOT(ISERROR(SEARCH(("Open"),(G86))))</formula>
    </cfRule>
  </conditionalFormatting>
  <conditionalFormatting sqref="G86:H86 K86">
    <cfRule type="containsText" dxfId="0" priority="2273" operator="containsText" text="Closed">
      <formula>NOT(ISERROR(SEARCH(("Closed"),(G86))))</formula>
    </cfRule>
  </conditionalFormatting>
  <conditionalFormatting sqref="G86:H86 K86">
    <cfRule type="containsText" dxfId="3" priority="2274" operator="containsText" text="Monitor">
      <formula>NOT(ISERROR(SEARCH(("Monitor"),(G86))))</formula>
    </cfRule>
  </conditionalFormatting>
  <conditionalFormatting sqref="A85:AC86">
    <cfRule type="notContainsBlanks" dxfId="8" priority="2275">
      <formula>LEN(TRIM(A85))&gt;0</formula>
    </cfRule>
  </conditionalFormatting>
  <conditionalFormatting sqref="A86:K86">
    <cfRule type="expression" dxfId="7" priority="2276">
      <formula>if($G86="Closed",1,0)</formula>
    </cfRule>
  </conditionalFormatting>
  <conditionalFormatting sqref="G84:H84 K84">
    <cfRule type="containsText" dxfId="1" priority="2277" operator="containsText" text="Open">
      <formula>NOT(ISERROR(SEARCH(("Open"),(G84))))</formula>
    </cfRule>
  </conditionalFormatting>
  <conditionalFormatting sqref="G84:H84 K84">
    <cfRule type="containsText" dxfId="0" priority="2278" operator="containsText" text="Closed">
      <formula>NOT(ISERROR(SEARCH(("Closed"),(G84))))</formula>
    </cfRule>
  </conditionalFormatting>
  <conditionalFormatting sqref="G84:H84 K84">
    <cfRule type="containsText" dxfId="3" priority="2279" operator="containsText" text="Monitor">
      <formula>NOT(ISERROR(SEARCH(("Monitor"),(G84))))</formula>
    </cfRule>
  </conditionalFormatting>
  <conditionalFormatting sqref="A83:AC84">
    <cfRule type="notContainsBlanks" dxfId="8" priority="2280">
      <formula>LEN(TRIM(A83))&gt;0</formula>
    </cfRule>
  </conditionalFormatting>
  <conditionalFormatting sqref="A84:K84">
    <cfRule type="expression" dxfId="7" priority="2281">
      <formula>if($G84="Closed",1,0)</formula>
    </cfRule>
  </conditionalFormatting>
  <conditionalFormatting sqref="G82:H82 K82">
    <cfRule type="containsText" dxfId="1" priority="2282" operator="containsText" text="Open">
      <formula>NOT(ISERROR(SEARCH(("Open"),(G82))))</formula>
    </cfRule>
  </conditionalFormatting>
  <conditionalFormatting sqref="G82:H82 K82">
    <cfRule type="containsText" dxfId="0" priority="2283" operator="containsText" text="Closed">
      <formula>NOT(ISERROR(SEARCH(("Closed"),(G82))))</formula>
    </cfRule>
  </conditionalFormatting>
  <conditionalFormatting sqref="G82:H82 K82">
    <cfRule type="containsText" dxfId="3" priority="2284" operator="containsText" text="Monitor">
      <formula>NOT(ISERROR(SEARCH(("Monitor"),(G82))))</formula>
    </cfRule>
  </conditionalFormatting>
  <conditionalFormatting sqref="A81:AC82">
    <cfRule type="notContainsBlanks" dxfId="8" priority="2285">
      <formula>LEN(TRIM(A81))&gt;0</formula>
    </cfRule>
  </conditionalFormatting>
  <conditionalFormatting sqref="A82:K82">
    <cfRule type="expression" dxfId="7" priority="2286">
      <formula>if($G82="Closed",1,0)</formula>
    </cfRule>
  </conditionalFormatting>
  <conditionalFormatting sqref="G80:H80 K80">
    <cfRule type="containsText" dxfId="1" priority="2287" operator="containsText" text="Open">
      <formula>NOT(ISERROR(SEARCH(("Open"),(G80))))</formula>
    </cfRule>
  </conditionalFormatting>
  <conditionalFormatting sqref="G80:H80 K80">
    <cfRule type="containsText" dxfId="0" priority="2288" operator="containsText" text="Closed">
      <formula>NOT(ISERROR(SEARCH(("Closed"),(G80))))</formula>
    </cfRule>
  </conditionalFormatting>
  <conditionalFormatting sqref="G80:H80 K80">
    <cfRule type="containsText" dxfId="3" priority="2289" operator="containsText" text="Monitor">
      <formula>NOT(ISERROR(SEARCH(("Monitor"),(G80))))</formula>
    </cfRule>
  </conditionalFormatting>
  <conditionalFormatting sqref="A79:AC80">
    <cfRule type="notContainsBlanks" dxfId="8" priority="2290">
      <formula>LEN(TRIM(A79))&gt;0</formula>
    </cfRule>
  </conditionalFormatting>
  <conditionalFormatting sqref="A80:K80">
    <cfRule type="expression" dxfId="7" priority="2291">
      <formula>if($G80="Closed",1,0)</formula>
    </cfRule>
  </conditionalFormatting>
  <conditionalFormatting sqref="G78:H78 K78">
    <cfRule type="containsText" dxfId="1" priority="2292" operator="containsText" text="Open">
      <formula>NOT(ISERROR(SEARCH(("Open"),(G78))))</formula>
    </cfRule>
  </conditionalFormatting>
  <conditionalFormatting sqref="G78:H78 K78">
    <cfRule type="containsText" dxfId="0" priority="2293" operator="containsText" text="Closed">
      <formula>NOT(ISERROR(SEARCH(("Closed"),(G78))))</formula>
    </cfRule>
  </conditionalFormatting>
  <conditionalFormatting sqref="G78:H78 K78">
    <cfRule type="containsText" dxfId="3" priority="2294" operator="containsText" text="Monitor">
      <formula>NOT(ISERROR(SEARCH(("Monitor"),(G78))))</formula>
    </cfRule>
  </conditionalFormatting>
  <conditionalFormatting sqref="A77:AC78">
    <cfRule type="notContainsBlanks" dxfId="8" priority="2295">
      <formula>LEN(TRIM(A77))&gt;0</formula>
    </cfRule>
  </conditionalFormatting>
  <conditionalFormatting sqref="A78:K78">
    <cfRule type="expression" dxfId="7" priority="2296">
      <formula>if($G78="Closed",1,0)</formula>
    </cfRule>
  </conditionalFormatting>
  <conditionalFormatting sqref="G76:H76 K76">
    <cfRule type="containsText" dxfId="1" priority="2297" operator="containsText" text="Open">
      <formula>NOT(ISERROR(SEARCH(("Open"),(G76))))</formula>
    </cfRule>
  </conditionalFormatting>
  <conditionalFormatting sqref="G76:H76 K76">
    <cfRule type="containsText" dxfId="0" priority="2298" operator="containsText" text="Closed">
      <formula>NOT(ISERROR(SEARCH(("Closed"),(G76))))</formula>
    </cfRule>
  </conditionalFormatting>
  <conditionalFormatting sqref="G76:H76 K76">
    <cfRule type="containsText" dxfId="3" priority="2299" operator="containsText" text="Monitor">
      <formula>NOT(ISERROR(SEARCH(("Monitor"),(G76))))</formula>
    </cfRule>
  </conditionalFormatting>
  <conditionalFormatting sqref="A75:AC76">
    <cfRule type="notContainsBlanks" dxfId="8" priority="2300">
      <formula>LEN(TRIM(A75))&gt;0</formula>
    </cfRule>
  </conditionalFormatting>
  <conditionalFormatting sqref="A76:K76">
    <cfRule type="expression" dxfId="7" priority="2301">
      <formula>if($G76="Closed",1,0)</formula>
    </cfRule>
  </conditionalFormatting>
  <conditionalFormatting sqref="G74:H74 K74">
    <cfRule type="containsText" dxfId="1" priority="2302" operator="containsText" text="Open">
      <formula>NOT(ISERROR(SEARCH(("Open"),(G74))))</formula>
    </cfRule>
  </conditionalFormatting>
  <conditionalFormatting sqref="G74:H74 K74">
    <cfRule type="containsText" dxfId="0" priority="2303" operator="containsText" text="Closed">
      <formula>NOT(ISERROR(SEARCH(("Closed"),(G74))))</formula>
    </cfRule>
  </conditionalFormatting>
  <conditionalFormatting sqref="G74:H74 K74">
    <cfRule type="containsText" dxfId="3" priority="2304" operator="containsText" text="Monitor">
      <formula>NOT(ISERROR(SEARCH(("Monitor"),(G74))))</formula>
    </cfRule>
  </conditionalFormatting>
  <conditionalFormatting sqref="A73:AC74">
    <cfRule type="notContainsBlanks" dxfId="8" priority="2305">
      <formula>LEN(TRIM(A73))&gt;0</formula>
    </cfRule>
  </conditionalFormatting>
  <conditionalFormatting sqref="A74:K74">
    <cfRule type="expression" dxfId="7" priority="2306">
      <formula>if($G74="Closed",1,0)</formula>
    </cfRule>
  </conditionalFormatting>
  <conditionalFormatting sqref="G72:H72 K72">
    <cfRule type="containsText" dxfId="1" priority="2307" operator="containsText" text="Open">
      <formula>NOT(ISERROR(SEARCH(("Open"),(G72))))</formula>
    </cfRule>
  </conditionalFormatting>
  <conditionalFormatting sqref="G72:H72 K72">
    <cfRule type="containsText" dxfId="0" priority="2308" operator="containsText" text="Closed">
      <formula>NOT(ISERROR(SEARCH(("Closed"),(G72))))</formula>
    </cfRule>
  </conditionalFormatting>
  <conditionalFormatting sqref="G72:H72 K72">
    <cfRule type="containsText" dxfId="3" priority="2309" operator="containsText" text="Monitor">
      <formula>NOT(ISERROR(SEARCH(("Monitor"),(G72))))</formula>
    </cfRule>
  </conditionalFormatting>
  <conditionalFormatting sqref="A71:AC72">
    <cfRule type="notContainsBlanks" dxfId="8" priority="2310">
      <formula>LEN(TRIM(A71))&gt;0</formula>
    </cfRule>
  </conditionalFormatting>
  <conditionalFormatting sqref="A72:K72">
    <cfRule type="expression" dxfId="7" priority="2311">
      <formula>if($G72="Closed",1,0)</formula>
    </cfRule>
  </conditionalFormatting>
  <conditionalFormatting sqref="G70:H70 K70">
    <cfRule type="containsText" dxfId="1" priority="2312" operator="containsText" text="Open">
      <formula>NOT(ISERROR(SEARCH(("Open"),(G70))))</formula>
    </cfRule>
  </conditionalFormatting>
  <conditionalFormatting sqref="G70:H70 K70">
    <cfRule type="containsText" dxfId="0" priority="2313" operator="containsText" text="Closed">
      <formula>NOT(ISERROR(SEARCH(("Closed"),(G70))))</formula>
    </cfRule>
  </conditionalFormatting>
  <conditionalFormatting sqref="G70:H70 K70">
    <cfRule type="containsText" dxfId="3" priority="2314" operator="containsText" text="Monitor">
      <formula>NOT(ISERROR(SEARCH(("Monitor"),(G70))))</formula>
    </cfRule>
  </conditionalFormatting>
  <conditionalFormatting sqref="A69:AC70">
    <cfRule type="notContainsBlanks" dxfId="8" priority="2315">
      <formula>LEN(TRIM(A69))&gt;0</formula>
    </cfRule>
  </conditionalFormatting>
  <conditionalFormatting sqref="A70:K70">
    <cfRule type="expression" dxfId="7" priority="2316">
      <formula>if($G70="Closed",1,0)</formula>
    </cfRule>
  </conditionalFormatting>
  <conditionalFormatting sqref="G68:H68 K68">
    <cfRule type="containsText" dxfId="1" priority="2317" operator="containsText" text="Open">
      <formula>NOT(ISERROR(SEARCH(("Open"),(G68))))</formula>
    </cfRule>
  </conditionalFormatting>
  <conditionalFormatting sqref="G68:H68 K68">
    <cfRule type="containsText" dxfId="0" priority="2318" operator="containsText" text="Closed">
      <formula>NOT(ISERROR(SEARCH(("Closed"),(G68))))</formula>
    </cfRule>
  </conditionalFormatting>
  <conditionalFormatting sqref="G68:H68 K68">
    <cfRule type="containsText" dxfId="3" priority="2319" operator="containsText" text="Monitor">
      <formula>NOT(ISERROR(SEARCH(("Monitor"),(G68))))</formula>
    </cfRule>
  </conditionalFormatting>
  <conditionalFormatting sqref="A67:AC68">
    <cfRule type="notContainsBlanks" dxfId="8" priority="2320">
      <formula>LEN(TRIM(A67))&gt;0</formula>
    </cfRule>
  </conditionalFormatting>
  <conditionalFormatting sqref="A68:K68">
    <cfRule type="expression" dxfId="7" priority="2321">
      <formula>if($G68="Closed",1,0)</formula>
    </cfRule>
  </conditionalFormatting>
  <conditionalFormatting sqref="G66:H66 K66">
    <cfRule type="containsText" dxfId="1" priority="2322" operator="containsText" text="Open">
      <formula>NOT(ISERROR(SEARCH(("Open"),(G66))))</formula>
    </cfRule>
  </conditionalFormatting>
  <conditionalFormatting sqref="G66:H66 K66">
    <cfRule type="containsText" dxfId="0" priority="2323" operator="containsText" text="Closed">
      <formula>NOT(ISERROR(SEARCH(("Closed"),(G66))))</formula>
    </cfRule>
  </conditionalFormatting>
  <conditionalFormatting sqref="G66:H66 K66">
    <cfRule type="containsText" dxfId="3" priority="2324" operator="containsText" text="Monitor">
      <formula>NOT(ISERROR(SEARCH(("Monitor"),(G66))))</formula>
    </cfRule>
  </conditionalFormatting>
  <conditionalFormatting sqref="A65:AC66">
    <cfRule type="notContainsBlanks" dxfId="8" priority="2325">
      <formula>LEN(TRIM(A65))&gt;0</formula>
    </cfRule>
  </conditionalFormatting>
  <conditionalFormatting sqref="A66:K66">
    <cfRule type="expression" dxfId="7" priority="2326">
      <formula>if($G66="Closed",1,0)</formula>
    </cfRule>
  </conditionalFormatting>
  <conditionalFormatting sqref="G64:H64 K64">
    <cfRule type="containsText" dxfId="1" priority="2327" operator="containsText" text="Open">
      <formula>NOT(ISERROR(SEARCH(("Open"),(G64))))</formula>
    </cfRule>
  </conditionalFormatting>
  <conditionalFormatting sqref="G64:H64 K64">
    <cfRule type="containsText" dxfId="0" priority="2328" operator="containsText" text="Closed">
      <formula>NOT(ISERROR(SEARCH(("Closed"),(G64))))</formula>
    </cfRule>
  </conditionalFormatting>
  <conditionalFormatting sqref="G64:H64 K64">
    <cfRule type="containsText" dxfId="3" priority="2329" operator="containsText" text="Monitor">
      <formula>NOT(ISERROR(SEARCH(("Monitor"),(G64))))</formula>
    </cfRule>
  </conditionalFormatting>
  <conditionalFormatting sqref="A63:AC64">
    <cfRule type="notContainsBlanks" dxfId="8" priority="2330">
      <formula>LEN(TRIM(A63))&gt;0</formula>
    </cfRule>
  </conditionalFormatting>
  <conditionalFormatting sqref="A64:K64">
    <cfRule type="expression" dxfId="7" priority="2331">
      <formula>if($G64="Closed",1,0)</formula>
    </cfRule>
  </conditionalFormatting>
  <conditionalFormatting sqref="H62 K62">
    <cfRule type="containsText" dxfId="1" priority="2332" operator="containsText" text="Open">
      <formula>NOT(ISERROR(SEARCH(("Open"),(H62))))</formula>
    </cfRule>
  </conditionalFormatting>
  <conditionalFormatting sqref="H62 K62">
    <cfRule type="containsText" dxfId="0" priority="2333" operator="containsText" text="Closed">
      <formula>NOT(ISERROR(SEARCH(("Closed"),(H62))))</formula>
    </cfRule>
  </conditionalFormatting>
  <conditionalFormatting sqref="H62 K62">
    <cfRule type="containsText" dxfId="3" priority="2334" operator="containsText" text="Monitor">
      <formula>NOT(ISERROR(SEARCH(("Monitor"),(H62))))</formula>
    </cfRule>
  </conditionalFormatting>
  <conditionalFormatting sqref="A61:AC62">
    <cfRule type="notContainsBlanks" dxfId="8" priority="2335">
      <formula>LEN(TRIM(A61))&gt;0</formula>
    </cfRule>
  </conditionalFormatting>
  <conditionalFormatting sqref="A62:K62">
    <cfRule type="expression" dxfId="7" priority="2336">
      <formula>if($G62="Closed",1,0)</formula>
    </cfRule>
  </conditionalFormatting>
  <conditionalFormatting sqref="H60 K60">
    <cfRule type="containsText" dxfId="1" priority="2337" operator="containsText" text="Open">
      <formula>NOT(ISERROR(SEARCH(("Open"),(H60))))</formula>
    </cfRule>
  </conditionalFormatting>
  <conditionalFormatting sqref="H60 K60">
    <cfRule type="containsText" dxfId="0" priority="2338" operator="containsText" text="Closed">
      <formula>NOT(ISERROR(SEARCH(("Closed"),(H60))))</formula>
    </cfRule>
  </conditionalFormatting>
  <conditionalFormatting sqref="H60 K60">
    <cfRule type="containsText" dxfId="3" priority="2339" operator="containsText" text="Monitor">
      <formula>NOT(ISERROR(SEARCH(("Monitor"),(H60))))</formula>
    </cfRule>
  </conditionalFormatting>
  <conditionalFormatting sqref="A59:AC60">
    <cfRule type="notContainsBlanks" dxfId="8" priority="2340">
      <formula>LEN(TRIM(A59))&gt;0</formula>
    </cfRule>
  </conditionalFormatting>
  <conditionalFormatting sqref="A60:K60">
    <cfRule type="expression" dxfId="7" priority="2341">
      <formula>if($G60="Closed",1,0)</formula>
    </cfRule>
  </conditionalFormatting>
  <conditionalFormatting sqref="H58 K58">
    <cfRule type="containsText" dxfId="1" priority="2342" operator="containsText" text="Open">
      <formula>NOT(ISERROR(SEARCH(("Open"),(H58))))</formula>
    </cfRule>
  </conditionalFormatting>
  <conditionalFormatting sqref="H58 K58">
    <cfRule type="containsText" dxfId="0" priority="2343" operator="containsText" text="Closed">
      <formula>NOT(ISERROR(SEARCH(("Closed"),(H58))))</formula>
    </cfRule>
  </conditionalFormatting>
  <conditionalFormatting sqref="H58 K58">
    <cfRule type="containsText" dxfId="3" priority="2344" operator="containsText" text="Monitor">
      <formula>NOT(ISERROR(SEARCH(("Monitor"),(H58))))</formula>
    </cfRule>
  </conditionalFormatting>
  <conditionalFormatting sqref="A57:AC58">
    <cfRule type="notContainsBlanks" dxfId="8" priority="2345">
      <formula>LEN(TRIM(A57))&gt;0</formula>
    </cfRule>
  </conditionalFormatting>
  <conditionalFormatting sqref="A58:K58">
    <cfRule type="expression" dxfId="7" priority="2346">
      <formula>if($G58="Closed",1,0)</formula>
    </cfRule>
  </conditionalFormatting>
  <conditionalFormatting sqref="H56 K56">
    <cfRule type="containsText" dxfId="1" priority="2347" operator="containsText" text="Open">
      <formula>NOT(ISERROR(SEARCH(("Open"),(H56))))</formula>
    </cfRule>
  </conditionalFormatting>
  <conditionalFormatting sqref="H56 K56">
    <cfRule type="containsText" dxfId="0" priority="2348" operator="containsText" text="Closed">
      <formula>NOT(ISERROR(SEARCH(("Closed"),(H56))))</formula>
    </cfRule>
  </conditionalFormatting>
  <conditionalFormatting sqref="H56 K56">
    <cfRule type="containsText" dxfId="3" priority="2349" operator="containsText" text="Monitor">
      <formula>NOT(ISERROR(SEARCH(("Monitor"),(H56))))</formula>
    </cfRule>
  </conditionalFormatting>
  <conditionalFormatting sqref="A55:AC56">
    <cfRule type="notContainsBlanks" dxfId="8" priority="2350">
      <formula>LEN(TRIM(A55))&gt;0</formula>
    </cfRule>
  </conditionalFormatting>
  <conditionalFormatting sqref="A56:K56">
    <cfRule type="expression" dxfId="7" priority="2351">
      <formula>if($G56="Closed",1,0)</formula>
    </cfRule>
  </conditionalFormatting>
  <conditionalFormatting sqref="H54 K54">
    <cfRule type="containsText" dxfId="1" priority="2352" operator="containsText" text="Open">
      <formula>NOT(ISERROR(SEARCH(("Open"),(H54))))</formula>
    </cfRule>
  </conditionalFormatting>
  <conditionalFormatting sqref="H54 K54">
    <cfRule type="containsText" dxfId="0" priority="2353" operator="containsText" text="Closed">
      <formula>NOT(ISERROR(SEARCH(("Closed"),(H54))))</formula>
    </cfRule>
  </conditionalFormatting>
  <conditionalFormatting sqref="H54 K54">
    <cfRule type="containsText" dxfId="3" priority="2354" operator="containsText" text="Monitor">
      <formula>NOT(ISERROR(SEARCH(("Monitor"),(H54))))</formula>
    </cfRule>
  </conditionalFormatting>
  <conditionalFormatting sqref="A53:AC54">
    <cfRule type="notContainsBlanks" dxfId="8" priority="2355">
      <formula>LEN(TRIM(A53))&gt;0</formula>
    </cfRule>
  </conditionalFormatting>
  <conditionalFormatting sqref="A54:K54">
    <cfRule type="expression" dxfId="7" priority="2356">
      <formula>if($G54="Closed",1,0)</formula>
    </cfRule>
  </conditionalFormatting>
  <conditionalFormatting sqref="H52 K52">
    <cfRule type="containsText" dxfId="1" priority="2357" operator="containsText" text="Open">
      <formula>NOT(ISERROR(SEARCH(("Open"),(H52))))</formula>
    </cfRule>
  </conditionalFormatting>
  <conditionalFormatting sqref="H52 K52">
    <cfRule type="containsText" dxfId="0" priority="2358" operator="containsText" text="Closed">
      <formula>NOT(ISERROR(SEARCH(("Closed"),(H52))))</formula>
    </cfRule>
  </conditionalFormatting>
  <conditionalFormatting sqref="H52 K52">
    <cfRule type="containsText" dxfId="3" priority="2359" operator="containsText" text="Monitor">
      <formula>NOT(ISERROR(SEARCH(("Monitor"),(H52))))</formula>
    </cfRule>
  </conditionalFormatting>
  <conditionalFormatting sqref="A51:AC52">
    <cfRule type="notContainsBlanks" dxfId="8" priority="2360">
      <formula>LEN(TRIM(A51))&gt;0</formula>
    </cfRule>
  </conditionalFormatting>
  <conditionalFormatting sqref="A52:K52">
    <cfRule type="expression" dxfId="7" priority="2361">
      <formula>if($G52="Closed",1,0)</formula>
    </cfRule>
  </conditionalFormatting>
  <conditionalFormatting sqref="H50 K50">
    <cfRule type="containsText" dxfId="1" priority="2362" operator="containsText" text="Open">
      <formula>NOT(ISERROR(SEARCH(("Open"),(H50))))</formula>
    </cfRule>
  </conditionalFormatting>
  <conditionalFormatting sqref="H50 K50">
    <cfRule type="containsText" dxfId="0" priority="2363" operator="containsText" text="Closed">
      <formula>NOT(ISERROR(SEARCH(("Closed"),(H50))))</formula>
    </cfRule>
  </conditionalFormatting>
  <conditionalFormatting sqref="H50 K50">
    <cfRule type="containsText" dxfId="3" priority="2364" operator="containsText" text="Monitor">
      <formula>NOT(ISERROR(SEARCH(("Monitor"),(H50))))</formula>
    </cfRule>
  </conditionalFormatting>
  <conditionalFormatting sqref="A49:AC50">
    <cfRule type="notContainsBlanks" dxfId="8" priority="2365">
      <formula>LEN(TRIM(A49))&gt;0</formula>
    </cfRule>
  </conditionalFormatting>
  <conditionalFormatting sqref="A50:K50">
    <cfRule type="expression" dxfId="7" priority="2366">
      <formula>if($G50="Closed",1,0)</formula>
    </cfRule>
  </conditionalFormatting>
  <conditionalFormatting sqref="H48 K48">
    <cfRule type="containsText" dxfId="1" priority="2367" operator="containsText" text="Open">
      <formula>NOT(ISERROR(SEARCH(("Open"),(H48))))</formula>
    </cfRule>
  </conditionalFormatting>
  <conditionalFormatting sqref="H48 K48">
    <cfRule type="containsText" dxfId="0" priority="2368" operator="containsText" text="Closed">
      <formula>NOT(ISERROR(SEARCH(("Closed"),(H48))))</formula>
    </cfRule>
  </conditionalFormatting>
  <conditionalFormatting sqref="H48 K48">
    <cfRule type="containsText" dxfId="3" priority="2369" operator="containsText" text="Monitor">
      <formula>NOT(ISERROR(SEARCH(("Monitor"),(H48))))</formula>
    </cfRule>
  </conditionalFormatting>
  <conditionalFormatting sqref="A47:AC48">
    <cfRule type="notContainsBlanks" dxfId="8" priority="2370">
      <formula>LEN(TRIM(A47))&gt;0</formula>
    </cfRule>
  </conditionalFormatting>
  <conditionalFormatting sqref="A48:K48">
    <cfRule type="expression" dxfId="7" priority="2371">
      <formula>if($G48="Closed",1,0)</formula>
    </cfRule>
  </conditionalFormatting>
  <conditionalFormatting sqref="H46 K46">
    <cfRule type="containsText" dxfId="1" priority="2372" operator="containsText" text="Open">
      <formula>NOT(ISERROR(SEARCH(("Open"),(H46))))</formula>
    </cfRule>
  </conditionalFormatting>
  <conditionalFormatting sqref="H46 K46">
    <cfRule type="containsText" dxfId="0" priority="2373" operator="containsText" text="Closed">
      <formula>NOT(ISERROR(SEARCH(("Closed"),(H46))))</formula>
    </cfRule>
  </conditionalFormatting>
  <conditionalFormatting sqref="H46 K46">
    <cfRule type="containsText" dxfId="3" priority="2374" operator="containsText" text="Monitor">
      <formula>NOT(ISERROR(SEARCH(("Monitor"),(H46))))</formula>
    </cfRule>
  </conditionalFormatting>
  <conditionalFormatting sqref="A45:AC46">
    <cfRule type="notContainsBlanks" dxfId="8" priority="2375">
      <formula>LEN(TRIM(A45))&gt;0</formula>
    </cfRule>
  </conditionalFormatting>
  <conditionalFormatting sqref="A46:K46">
    <cfRule type="expression" dxfId="7" priority="2376">
      <formula>if($G46="Closed",1,0)</formula>
    </cfRule>
  </conditionalFormatting>
  <conditionalFormatting sqref="H44 K44">
    <cfRule type="containsText" dxfId="1" priority="2377" operator="containsText" text="Open">
      <formula>NOT(ISERROR(SEARCH(("Open"),(H44))))</formula>
    </cfRule>
  </conditionalFormatting>
  <conditionalFormatting sqref="H44 K44">
    <cfRule type="containsText" dxfId="0" priority="2378" operator="containsText" text="Closed">
      <formula>NOT(ISERROR(SEARCH(("Closed"),(H44))))</formula>
    </cfRule>
  </conditionalFormatting>
  <conditionalFormatting sqref="H44 K44">
    <cfRule type="containsText" dxfId="3" priority="2379" operator="containsText" text="Monitor">
      <formula>NOT(ISERROR(SEARCH(("Monitor"),(H44))))</formula>
    </cfRule>
  </conditionalFormatting>
  <conditionalFormatting sqref="A43:AC44">
    <cfRule type="notContainsBlanks" dxfId="8" priority="2380">
      <formula>LEN(TRIM(A43))&gt;0</formula>
    </cfRule>
  </conditionalFormatting>
  <conditionalFormatting sqref="A44:K44">
    <cfRule type="expression" dxfId="7" priority="2381">
      <formula>if($G44="Closed",1,0)</formula>
    </cfRule>
  </conditionalFormatting>
  <conditionalFormatting sqref="H42 K42">
    <cfRule type="containsText" dxfId="1" priority="2382" operator="containsText" text="Open">
      <formula>NOT(ISERROR(SEARCH(("Open"),(H42))))</formula>
    </cfRule>
  </conditionalFormatting>
  <conditionalFormatting sqref="H42 K42">
    <cfRule type="containsText" dxfId="0" priority="2383" operator="containsText" text="Closed">
      <formula>NOT(ISERROR(SEARCH(("Closed"),(H42))))</formula>
    </cfRule>
  </conditionalFormatting>
  <conditionalFormatting sqref="H42 K42">
    <cfRule type="containsText" dxfId="3" priority="2384" operator="containsText" text="Monitor">
      <formula>NOT(ISERROR(SEARCH(("Monitor"),(H42))))</formula>
    </cfRule>
  </conditionalFormatting>
  <conditionalFormatting sqref="A41:AC42">
    <cfRule type="notContainsBlanks" dxfId="8" priority="2385">
      <formula>LEN(TRIM(A41))&gt;0</formula>
    </cfRule>
  </conditionalFormatting>
  <conditionalFormatting sqref="A42:K42">
    <cfRule type="expression" dxfId="7" priority="2386">
      <formula>if($G42="Closed",1,0)</formula>
    </cfRule>
  </conditionalFormatting>
  <conditionalFormatting sqref="H40 K40">
    <cfRule type="containsText" dxfId="1" priority="2387" operator="containsText" text="Open">
      <formula>NOT(ISERROR(SEARCH(("Open"),(H40))))</formula>
    </cfRule>
  </conditionalFormatting>
  <conditionalFormatting sqref="H40 K40">
    <cfRule type="containsText" dxfId="0" priority="2388" operator="containsText" text="Closed">
      <formula>NOT(ISERROR(SEARCH(("Closed"),(H40))))</formula>
    </cfRule>
  </conditionalFormatting>
  <conditionalFormatting sqref="H40 K40">
    <cfRule type="containsText" dxfId="3" priority="2389" operator="containsText" text="Monitor">
      <formula>NOT(ISERROR(SEARCH(("Monitor"),(H40))))</formula>
    </cfRule>
  </conditionalFormatting>
  <conditionalFormatting sqref="A39:AC40">
    <cfRule type="notContainsBlanks" dxfId="8" priority="2390">
      <formula>LEN(TRIM(A39))&gt;0</formula>
    </cfRule>
  </conditionalFormatting>
  <conditionalFormatting sqref="A40:K40">
    <cfRule type="expression" dxfId="7" priority="2391">
      <formula>if($G40="Closed",1,0)</formula>
    </cfRule>
  </conditionalFormatting>
  <conditionalFormatting sqref="H38 K38">
    <cfRule type="containsText" dxfId="1" priority="2392" operator="containsText" text="Open">
      <formula>NOT(ISERROR(SEARCH(("Open"),(H38))))</formula>
    </cfRule>
  </conditionalFormatting>
  <conditionalFormatting sqref="H38 K38">
    <cfRule type="containsText" dxfId="0" priority="2393" operator="containsText" text="Closed">
      <formula>NOT(ISERROR(SEARCH(("Closed"),(H38))))</formula>
    </cfRule>
  </conditionalFormatting>
  <conditionalFormatting sqref="H38 K38">
    <cfRule type="containsText" dxfId="3" priority="2394" operator="containsText" text="Monitor">
      <formula>NOT(ISERROR(SEARCH(("Monitor"),(H38))))</formula>
    </cfRule>
  </conditionalFormatting>
  <conditionalFormatting sqref="A37:AC38">
    <cfRule type="notContainsBlanks" dxfId="8" priority="2395">
      <formula>LEN(TRIM(A37))&gt;0</formula>
    </cfRule>
  </conditionalFormatting>
  <conditionalFormatting sqref="A38:K38">
    <cfRule type="expression" dxfId="7" priority="2396">
      <formula>if($G38="Closed",1,0)</formula>
    </cfRule>
  </conditionalFormatting>
  <conditionalFormatting sqref="H36 K36">
    <cfRule type="containsText" dxfId="1" priority="2397" operator="containsText" text="Open">
      <formula>NOT(ISERROR(SEARCH(("Open"),(H36))))</formula>
    </cfRule>
  </conditionalFormatting>
  <conditionalFormatting sqref="H36 K36">
    <cfRule type="containsText" dxfId="0" priority="2398" operator="containsText" text="Closed">
      <formula>NOT(ISERROR(SEARCH(("Closed"),(H36))))</formula>
    </cfRule>
  </conditionalFormatting>
  <conditionalFormatting sqref="H36 K36">
    <cfRule type="containsText" dxfId="3" priority="2399" operator="containsText" text="Monitor">
      <formula>NOT(ISERROR(SEARCH(("Monitor"),(H36))))</formula>
    </cfRule>
  </conditionalFormatting>
  <conditionalFormatting sqref="A35:AC36">
    <cfRule type="notContainsBlanks" dxfId="8" priority="2400">
      <formula>LEN(TRIM(A35))&gt;0</formula>
    </cfRule>
  </conditionalFormatting>
  <conditionalFormatting sqref="A36:K36">
    <cfRule type="expression" dxfId="7" priority="2401">
      <formula>if($G36="Closed",1,0)</formula>
    </cfRule>
  </conditionalFormatting>
  <conditionalFormatting sqref="K34">
    <cfRule type="containsText" dxfId="1" priority="2402" operator="containsText" text="Open">
      <formula>NOT(ISERROR(SEARCH(("Open"),(K34))))</formula>
    </cfRule>
  </conditionalFormatting>
  <conditionalFormatting sqref="K34">
    <cfRule type="containsText" dxfId="0" priority="2403" operator="containsText" text="Closed">
      <formula>NOT(ISERROR(SEARCH(("Closed"),(K34))))</formula>
    </cfRule>
  </conditionalFormatting>
  <conditionalFormatting sqref="K34">
    <cfRule type="containsText" dxfId="3" priority="2404" operator="containsText" text="Monitor">
      <formula>NOT(ISERROR(SEARCH(("Monitor"),(K34))))</formula>
    </cfRule>
  </conditionalFormatting>
  <conditionalFormatting sqref="A33:AC34">
    <cfRule type="notContainsBlanks" dxfId="8" priority="2405">
      <formula>LEN(TRIM(A33))&gt;0</formula>
    </cfRule>
  </conditionalFormatting>
  <conditionalFormatting sqref="A34:K34">
    <cfRule type="expression" dxfId="7" priority="2406">
      <formula>if($G34="Closed",1,0)</formula>
    </cfRule>
  </conditionalFormatting>
  <conditionalFormatting sqref="K32">
    <cfRule type="containsText" dxfId="1" priority="2407" operator="containsText" text="Open">
      <formula>NOT(ISERROR(SEARCH(("Open"),(K32))))</formula>
    </cfRule>
  </conditionalFormatting>
  <conditionalFormatting sqref="K32">
    <cfRule type="containsText" dxfId="0" priority="2408" operator="containsText" text="Closed">
      <formula>NOT(ISERROR(SEARCH(("Closed"),(K32))))</formula>
    </cfRule>
  </conditionalFormatting>
  <conditionalFormatting sqref="K32">
    <cfRule type="containsText" dxfId="3" priority="2409" operator="containsText" text="Monitor">
      <formula>NOT(ISERROR(SEARCH(("Monitor"),(K32))))</formula>
    </cfRule>
  </conditionalFormatting>
  <conditionalFormatting sqref="A31:AC32">
    <cfRule type="notContainsBlanks" dxfId="8" priority="2410">
      <formula>LEN(TRIM(A31))&gt;0</formula>
    </cfRule>
  </conditionalFormatting>
  <conditionalFormatting sqref="A32:K32">
    <cfRule type="expression" dxfId="7" priority="2411">
      <formula>if($G32="Closed",1,0)</formula>
    </cfRule>
  </conditionalFormatting>
  <conditionalFormatting sqref="G30:H30 K30">
    <cfRule type="containsText" dxfId="1" priority="2412" operator="containsText" text="Open">
      <formula>NOT(ISERROR(SEARCH(("Open"),(G30))))</formula>
    </cfRule>
  </conditionalFormatting>
  <conditionalFormatting sqref="G30:H30 K30">
    <cfRule type="containsText" dxfId="0" priority="2413" operator="containsText" text="Closed">
      <formula>NOT(ISERROR(SEARCH(("Closed"),(G30))))</formula>
    </cfRule>
  </conditionalFormatting>
  <conditionalFormatting sqref="G30:H30 K30">
    <cfRule type="containsText" dxfId="3" priority="2414" operator="containsText" text="Monitor">
      <formula>NOT(ISERROR(SEARCH(("Monitor"),(G30))))</formula>
    </cfRule>
  </conditionalFormatting>
  <conditionalFormatting sqref="A29:AC30">
    <cfRule type="notContainsBlanks" dxfId="8" priority="2415">
      <formula>LEN(TRIM(A29))&gt;0</formula>
    </cfRule>
  </conditionalFormatting>
  <conditionalFormatting sqref="A30:K30">
    <cfRule type="expression" dxfId="7" priority="2416">
      <formula>if($G30="Closed",1,0)</formula>
    </cfRule>
  </conditionalFormatting>
  <conditionalFormatting sqref="N8 N23:O23 A27:AC28">
    <cfRule type="notContainsBlanks" dxfId="8" priority="2417">
      <formula>LEN(TRIM(N8))&gt;0</formula>
    </cfRule>
  </conditionalFormatting>
  <conditionalFormatting sqref="A28:K28">
    <cfRule type="expression" dxfId="7" priority="2418">
      <formula>if($G28="Closed",1,0)</formula>
    </cfRule>
  </conditionalFormatting>
  <conditionalFormatting sqref="N7 N22:O22 A24:B41 C24:AC26">
    <cfRule type="notContainsBlanks" dxfId="8" priority="2419">
      <formula>LEN(TRIM(N7))&gt;0</formula>
    </cfRule>
  </conditionalFormatting>
  <conditionalFormatting sqref="A26:B41 C26:K26">
    <cfRule type="expression" dxfId="7" priority="2420">
      <formula>if($G26="Closed",1,0)</formula>
    </cfRule>
  </conditionalFormatting>
  <conditionalFormatting sqref="G23:H23 K23">
    <cfRule type="containsText" dxfId="1" priority="2421" operator="containsText" text="Open">
      <formula>NOT(ISERROR(SEARCH(("Open"),(G23))))</formula>
    </cfRule>
  </conditionalFormatting>
  <conditionalFormatting sqref="G23:H23 K23">
    <cfRule type="containsText" dxfId="0" priority="2422" operator="containsText" text="Closed">
      <formula>NOT(ISERROR(SEARCH(("Closed"),(G23))))</formula>
    </cfRule>
  </conditionalFormatting>
  <conditionalFormatting sqref="G23:H23 K23">
    <cfRule type="containsText" dxfId="3" priority="2423" operator="containsText" text="Monitor">
      <formula>NOT(ISERROR(SEARCH(("Monitor"),(G23))))</formula>
    </cfRule>
  </conditionalFormatting>
  <conditionalFormatting sqref="N7:N8 A22:AC23">
    <cfRule type="notContainsBlanks" dxfId="8" priority="2424">
      <formula>LEN(TRIM(N7))&gt;0</formula>
    </cfRule>
  </conditionalFormatting>
  <conditionalFormatting sqref="A23:K23">
    <cfRule type="expression" dxfId="7" priority="2425">
      <formula>if($G23="Closed",1,0)</formula>
    </cfRule>
  </conditionalFormatting>
  <conditionalFormatting sqref="G21:H21 K21">
    <cfRule type="containsText" dxfId="1" priority="2426" operator="containsText" text="Open">
      <formula>NOT(ISERROR(SEARCH(("Open"),(G21))))</formula>
    </cfRule>
  </conditionalFormatting>
  <conditionalFormatting sqref="G21:H21 K21">
    <cfRule type="containsText" dxfId="0" priority="2427" operator="containsText" text="Closed">
      <formula>NOT(ISERROR(SEARCH(("Closed"),(G21))))</formula>
    </cfRule>
  </conditionalFormatting>
  <conditionalFormatting sqref="G21:H21 K21">
    <cfRule type="containsText" dxfId="3" priority="2428" operator="containsText" text="Monitor">
      <formula>NOT(ISERROR(SEARCH(("Monitor"),(G21))))</formula>
    </cfRule>
  </conditionalFormatting>
  <conditionalFormatting sqref="N6 A21:AC21">
    <cfRule type="notContainsBlanks" dxfId="8" priority="2429">
      <formula>LEN(TRIM(N6))&gt;0</formula>
    </cfRule>
  </conditionalFormatting>
  <conditionalFormatting sqref="A21:K21">
    <cfRule type="expression" dxfId="7" priority="2430">
      <formula>if($G21="Closed",1,0)</formula>
    </cfRule>
  </conditionalFormatting>
  <conditionalFormatting sqref="G20:H20 K20">
    <cfRule type="containsText" dxfId="1" priority="2431" operator="containsText" text="Open">
      <formula>NOT(ISERROR(SEARCH(("Open"),(G20))))</formula>
    </cfRule>
  </conditionalFormatting>
  <conditionalFormatting sqref="G20:H20 K20">
    <cfRule type="containsText" dxfId="0" priority="2432" operator="containsText" text="Closed">
      <formula>NOT(ISERROR(SEARCH(("Closed"),(G20))))</formula>
    </cfRule>
  </conditionalFormatting>
  <conditionalFormatting sqref="G20:H20 K20">
    <cfRule type="containsText" dxfId="3" priority="2433" operator="containsText" text="Monitor">
      <formula>NOT(ISERROR(SEARCH(("Monitor"),(G20))))</formula>
    </cfRule>
  </conditionalFormatting>
  <conditionalFormatting sqref="N5 A19:AC20">
    <cfRule type="notContainsBlanks" dxfId="8" priority="2434">
      <formula>LEN(TRIM(N5))&gt;0</formula>
    </cfRule>
  </conditionalFormatting>
  <conditionalFormatting sqref="A20:J20 K20">
    <cfRule type="expression" dxfId="7" priority="2435">
      <formula>if($G20="Closed",1,0)</formula>
    </cfRule>
  </conditionalFormatting>
  <conditionalFormatting sqref="G18:H18 K18">
    <cfRule type="containsText" dxfId="1" priority="2436" operator="containsText" text="Open">
      <formula>NOT(ISERROR(SEARCH(("Open"),(G18))))</formula>
    </cfRule>
  </conditionalFormatting>
  <conditionalFormatting sqref="G18:H18 K18">
    <cfRule type="containsText" dxfId="0" priority="2437" operator="containsText" text="Closed">
      <formula>NOT(ISERROR(SEARCH(("Closed"),(G18))))</formula>
    </cfRule>
  </conditionalFormatting>
  <conditionalFormatting sqref="G18:H18 K18">
    <cfRule type="containsText" dxfId="3" priority="2438" operator="containsText" text="Monitor">
      <formula>NOT(ISERROR(SEARCH(("Monitor"),(G18))))</formula>
    </cfRule>
  </conditionalFormatting>
  <conditionalFormatting sqref="A17:B18 D17:K18 M17:AC18 C18 L18">
    <cfRule type="notContainsBlanks" dxfId="8" priority="2439">
      <formula>LEN(TRIM(A17))&gt;0</formula>
    </cfRule>
  </conditionalFormatting>
  <conditionalFormatting sqref="A18:J18 K18">
    <cfRule type="expression" dxfId="7" priority="2440">
      <formula>if($G18="Closed",1,0)</formula>
    </cfRule>
  </conditionalFormatting>
  <conditionalFormatting sqref="G16:H16 K16">
    <cfRule type="containsText" dxfId="1" priority="2441" operator="containsText" text="Open">
      <formula>NOT(ISERROR(SEARCH(("Open"),(G16))))</formula>
    </cfRule>
  </conditionalFormatting>
  <conditionalFormatting sqref="G16:H16 K16">
    <cfRule type="containsText" dxfId="0" priority="2442" operator="containsText" text="Closed">
      <formula>NOT(ISERROR(SEARCH(("Closed"),(G16))))</formula>
    </cfRule>
  </conditionalFormatting>
  <conditionalFormatting sqref="G16:H16 K16">
    <cfRule type="containsText" dxfId="3" priority="2443" operator="containsText" text="Monitor">
      <formula>NOT(ISERROR(SEARCH(("Monitor"),(G16))))</formula>
    </cfRule>
  </conditionalFormatting>
  <conditionalFormatting sqref="C6:C8 A15:K16 M15:AC16">
    <cfRule type="notContainsBlanks" dxfId="8" priority="2444">
      <formula>LEN(TRIM(C6))&gt;0</formula>
    </cfRule>
  </conditionalFormatting>
  <conditionalFormatting sqref="A16:B16 D16:K16">
    <cfRule type="expression" dxfId="7" priority="2445">
      <formula>if($G16="Closed",1,0)</formula>
    </cfRule>
  </conditionalFormatting>
  <conditionalFormatting sqref="G14:H14 K14">
    <cfRule type="containsText" dxfId="1" priority="2446" operator="containsText" text="Open">
      <formula>NOT(ISERROR(SEARCH(("Open"),(G14))))</formula>
    </cfRule>
  </conditionalFormatting>
  <conditionalFormatting sqref="G14:H14 K14">
    <cfRule type="containsText" dxfId="0" priority="2447" operator="containsText" text="Closed">
      <formula>NOT(ISERROR(SEARCH(("Closed"),(G14))))</formula>
    </cfRule>
  </conditionalFormatting>
  <conditionalFormatting sqref="G14:H14 K14">
    <cfRule type="containsText" dxfId="3" priority="2448" operator="containsText" text="Monitor">
      <formula>NOT(ISERROR(SEARCH(("Monitor"),(G14))))</formula>
    </cfRule>
  </conditionalFormatting>
  <conditionalFormatting sqref="N4 A13:B14 E13:E15 F13:K14 M13:AC14 C14:D14">
    <cfRule type="notContainsBlanks" dxfId="8" priority="2449">
      <formula>LEN(TRIM(N4))&gt;0</formula>
    </cfRule>
  </conditionalFormatting>
  <conditionalFormatting sqref="A14:D14 E14:E15 F14:K14">
    <cfRule type="expression" dxfId="7" priority="2450">
      <formula>if($G14="Closed",1,0)</formula>
    </cfRule>
  </conditionalFormatting>
  <conditionalFormatting sqref="G12:H12 K12">
    <cfRule type="containsText" dxfId="1" priority="2451" operator="containsText" text="Open">
      <formula>NOT(ISERROR(SEARCH(("Open"),(G12))))</formula>
    </cfRule>
  </conditionalFormatting>
  <conditionalFormatting sqref="G12:H12 K12">
    <cfRule type="containsText" dxfId="0" priority="2452" operator="containsText" text="Closed">
      <formula>NOT(ISERROR(SEARCH(("Closed"),(G12))))</formula>
    </cfRule>
  </conditionalFormatting>
  <conditionalFormatting sqref="G12:H12 K12">
    <cfRule type="containsText" dxfId="3" priority="2453" operator="containsText" text="Monitor">
      <formula>NOT(ISERROR(SEARCH(("Monitor"),(G12))))</formula>
    </cfRule>
  </conditionalFormatting>
  <conditionalFormatting sqref="A11:B12 E11:K12 M11:AC12">
    <cfRule type="notContainsBlanks" dxfId="8" priority="2454">
      <formula>LEN(TRIM(A11))&gt;0</formula>
    </cfRule>
  </conditionalFormatting>
  <conditionalFormatting sqref="A12:B12 E12:K12">
    <cfRule type="expression" dxfId="7" priority="2455">
      <formula>if($G12="Closed",1,0)</formula>
    </cfRule>
  </conditionalFormatting>
  <conditionalFormatting sqref="G10:H10 K10">
    <cfRule type="containsText" dxfId="1" priority="2456" operator="containsText" text="Open">
      <formula>NOT(ISERROR(SEARCH(("Open"),(G10))))</formula>
    </cfRule>
  </conditionalFormatting>
  <conditionalFormatting sqref="G10:H10 K10">
    <cfRule type="containsText" dxfId="0" priority="2457" operator="containsText" text="Closed">
      <formula>NOT(ISERROR(SEARCH(("Closed"),(G10))))</formula>
    </cfRule>
  </conditionalFormatting>
  <conditionalFormatting sqref="G10:H10 K10">
    <cfRule type="containsText" dxfId="3" priority="2458" operator="containsText" text="Monitor">
      <formula>NOT(ISERROR(SEARCH(("Monitor"),(G10))))</formula>
    </cfRule>
  </conditionalFormatting>
  <conditionalFormatting sqref="M5 A9:B10 E9:K10 M9:AC10 C11:C14">
    <cfRule type="notContainsBlanks" dxfId="8" priority="2459">
      <formula>LEN(TRIM(M5))&gt;0</formula>
    </cfRule>
  </conditionalFormatting>
  <conditionalFormatting sqref="A10:B10 E10:K10">
    <cfRule type="expression" dxfId="7" priority="2460">
      <formula>if($G10="Closed",1,0)</formula>
    </cfRule>
  </conditionalFormatting>
  <conditionalFormatting sqref="G8:H8 K8">
    <cfRule type="containsText" dxfId="1" priority="2461" operator="containsText" text="Open">
      <formula>NOT(ISERROR(SEARCH(("Open"),(G8))))</formula>
    </cfRule>
  </conditionalFormatting>
  <conditionalFormatting sqref="G8:H8 K8">
    <cfRule type="containsText" dxfId="0" priority="2462" operator="containsText" text="Closed">
      <formula>NOT(ISERROR(SEARCH(("Closed"),(G8))))</formula>
    </cfRule>
  </conditionalFormatting>
  <conditionalFormatting sqref="G8:H8 K8">
    <cfRule type="containsText" dxfId="3" priority="2463" operator="containsText" text="Monitor">
      <formula>NOT(ISERROR(SEARCH(("Monitor"),(G8))))</formula>
    </cfRule>
  </conditionalFormatting>
  <conditionalFormatting sqref="N3 A7:B8 E7:K8 M7:AC8 D8:D9 C9:C11 D11:D12">
    <cfRule type="notContainsBlanks" dxfId="8" priority="2464">
      <formula>LEN(TRIM(N3))&gt;0</formula>
    </cfRule>
  </conditionalFormatting>
  <conditionalFormatting sqref="A8:B8 E8:K8">
    <cfRule type="expression" dxfId="7" priority="2465">
      <formula>if($G8="Closed",1,0)</formula>
    </cfRule>
  </conditionalFormatting>
  <conditionalFormatting sqref="G6:H6 K6">
    <cfRule type="containsText" dxfId="1" priority="2466" operator="containsText" text="Open">
      <formula>NOT(ISERROR(SEARCH(("Open"),(G6))))</formula>
    </cfRule>
  </conditionalFormatting>
  <conditionalFormatting sqref="G6:H6 K6">
    <cfRule type="containsText" dxfId="0" priority="2467" operator="containsText" text="Closed">
      <formula>NOT(ISERROR(SEARCH(("Closed"),(G6))))</formula>
    </cfRule>
  </conditionalFormatting>
  <conditionalFormatting sqref="G6:H6 K6">
    <cfRule type="containsText" dxfId="3" priority="2468" operator="containsText" text="Monitor">
      <formula>NOT(ISERROR(SEARCH(("Monitor"),(G6))))</formula>
    </cfRule>
  </conditionalFormatting>
  <conditionalFormatting sqref="G4:H6 A5:B6 E5:F6 I5:K6 N5:AC6 C6:C9 M6 D9:D13 C15:C16">
    <cfRule type="notContainsBlanks" dxfId="8" priority="2469">
      <formula>LEN(TRIM(G4))&gt;0</formula>
    </cfRule>
  </conditionalFormatting>
  <conditionalFormatting sqref="A6:B6 E6:K6">
    <cfRule type="expression" dxfId="7" priority="2470">
      <formula>if($G6="Closed",1,0)</formula>
    </cfRule>
  </conditionalFormatting>
  <conditionalFormatting sqref="G3:H4 K4">
    <cfRule type="containsText" dxfId="1" priority="2471" operator="containsText" text="Open">
      <formula>NOT(ISERROR(SEARCH(("Open"),(G3))))</formula>
    </cfRule>
  </conditionalFormatting>
  <conditionalFormatting sqref="G3:H4 K4">
    <cfRule type="containsText" dxfId="0" priority="2472" operator="containsText" text="Closed">
      <formula>NOT(ISERROR(SEARCH(("Closed"),(G3))))</formula>
    </cfRule>
  </conditionalFormatting>
  <conditionalFormatting sqref="G3:H4 K4">
    <cfRule type="containsText" dxfId="3" priority="2473" operator="containsText" text="Monitor">
      <formula>NOT(ISERROR(SEARCH(("Monitor"),(G3))))</formula>
    </cfRule>
  </conditionalFormatting>
  <conditionalFormatting sqref="G2:H4 A3:B4 E3:F4 I3 J3:K4 M3:AC4 C5:C7 D6:D8">
    <cfRule type="notContainsBlanks" dxfId="8" priority="2474">
      <formula>LEN(TRIM(G2))&gt;0</formula>
    </cfRule>
  </conditionalFormatting>
  <conditionalFormatting sqref="G3:H4 A4:B4 E4:F4 J4:K4">
    <cfRule type="expression" dxfId="7" priority="2475">
      <formula>if($G3="Closed",1,0)</formula>
    </cfRule>
  </conditionalFormatting>
  <conditionalFormatting sqref="G2:H2 K2:K13 L2:L17">
    <cfRule type="containsText" dxfId="1" priority="2476" operator="containsText" text="Open">
      <formula>NOT(ISERROR(SEARCH(("Open"),(G2))))</formula>
    </cfRule>
  </conditionalFormatting>
  <conditionalFormatting sqref="G2:H2 K2:K13 L2:L17">
    <cfRule type="containsText" dxfId="0" priority="2477" operator="containsText" text="Closed">
      <formula>NOT(ISERROR(SEARCH(("Closed"),(G2))))</formula>
    </cfRule>
  </conditionalFormatting>
  <conditionalFormatting sqref="G2:H2 K2:K13 L2:L17">
    <cfRule type="containsText" dxfId="3" priority="2478" operator="containsText" text="Monitor">
      <formula>NOT(ISERROR(SEARCH(("Monitor"),(G2))))</formula>
    </cfRule>
  </conditionalFormatting>
  <conditionalFormatting sqref="A1:B13 C1:C16 D1:D13 E1:E15 F1:H13 I1:I3 J1:K13 L1:L17 M1:AC2 I5:I13">
    <cfRule type="notContainsBlanks" dxfId="8" priority="2479">
      <formula>LEN(TRIM(A1))&gt;0</formula>
    </cfRule>
  </conditionalFormatting>
  <conditionalFormatting sqref="A2:B13 E2:E15 F2:H13 I2 J2:K13 L2:L17 I5:I13">
    <cfRule type="expression" dxfId="7" priority="2480">
      <formula>if($G2="Closed",1,0)</formula>
    </cfRule>
  </conditionalFormatting>
  <hyperlinks>
    <hyperlink r:id="rId1" ref="L5"/>
    <hyperlink r:id="rId2" ref="N5"/>
    <hyperlink r:id="rId3" ref="E15"/>
  </hyperlinks>
  <drawing r:id="rId4"/>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5.13" defaultRowHeight="15.0"/>
  <cols>
    <col customWidth="1" min="1" max="1" width="7.88"/>
    <col customWidth="1" min="2" max="2" width="8.38"/>
    <col customWidth="1" min="3" max="3" width="14.13"/>
    <col customWidth="1" min="4" max="4" width="17.5"/>
    <col customWidth="1" min="5" max="5" width="9.0"/>
    <col customWidth="1" min="6" max="6" width="10.25"/>
    <col customWidth="1" min="7" max="7" width="105.63"/>
    <col customWidth="1" min="8" max="8" width="6.13"/>
    <col customWidth="1" min="9" max="9" width="20.0"/>
    <col customWidth="1" min="10" max="10" width="6.5"/>
    <col customWidth="1" min="11" max="11" width="23.75"/>
    <col customWidth="1" min="12" max="12" width="11.25"/>
    <col customWidth="1" min="13" max="13" width="16.5"/>
  </cols>
  <sheetData>
    <row r="1">
      <c r="A1" s="47" t="s">
        <v>0</v>
      </c>
      <c r="B1" s="47" t="s">
        <v>1</v>
      </c>
      <c r="C1" s="47" t="s">
        <v>2</v>
      </c>
      <c r="D1" s="47" t="s">
        <v>3</v>
      </c>
      <c r="E1" s="47" t="s">
        <v>4</v>
      </c>
      <c r="F1" s="47" t="s">
        <v>5</v>
      </c>
      <c r="G1" s="47" t="s">
        <v>6</v>
      </c>
      <c r="H1" s="47" t="s">
        <v>7</v>
      </c>
      <c r="I1" s="47" t="s">
        <v>8</v>
      </c>
      <c r="J1" s="47" t="s">
        <v>9</v>
      </c>
      <c r="K1" s="47" t="s">
        <v>10</v>
      </c>
      <c r="L1" s="47" t="s">
        <v>11</v>
      </c>
      <c r="M1" s="47" t="s">
        <v>1218</v>
      </c>
      <c r="N1" s="327"/>
    </row>
    <row r="2">
      <c r="A2" s="328">
        <v>2.0170401E7</v>
      </c>
      <c r="B2" s="47" t="s">
        <v>12</v>
      </c>
      <c r="C2" s="47" t="s">
        <v>13</v>
      </c>
      <c r="D2" s="47" t="s">
        <v>14</v>
      </c>
      <c r="E2" s="47" t="s">
        <v>15</v>
      </c>
      <c r="F2" s="47" t="s">
        <v>16</v>
      </c>
      <c r="G2" s="47" t="s">
        <v>17</v>
      </c>
      <c r="H2" s="47" t="s">
        <v>61</v>
      </c>
      <c r="I2" s="47" t="s">
        <v>18</v>
      </c>
      <c r="M2" s="47" t="s">
        <v>1281</v>
      </c>
    </row>
    <row r="3">
      <c r="A3" s="328">
        <v>2.0161118E7</v>
      </c>
      <c r="B3" s="47" t="s">
        <v>19</v>
      </c>
      <c r="C3" s="47" t="s">
        <v>20</v>
      </c>
      <c r="D3" s="47" t="s">
        <v>21</v>
      </c>
      <c r="E3" s="47" t="s">
        <v>22</v>
      </c>
      <c r="F3" s="47" t="s">
        <v>16</v>
      </c>
      <c r="G3" s="47" t="s">
        <v>23</v>
      </c>
      <c r="H3" s="47" t="s">
        <v>61</v>
      </c>
      <c r="I3" s="47" t="s">
        <v>24</v>
      </c>
      <c r="M3" s="47" t="s">
        <v>1281</v>
      </c>
    </row>
    <row r="4">
      <c r="A4" s="328">
        <v>2.0170113E7</v>
      </c>
      <c r="B4" s="47" t="s">
        <v>25</v>
      </c>
      <c r="C4" s="47" t="s">
        <v>26</v>
      </c>
      <c r="D4" s="47" t="s">
        <v>27</v>
      </c>
      <c r="E4" s="47" t="s">
        <v>15</v>
      </c>
      <c r="F4" s="47" t="s">
        <v>16</v>
      </c>
      <c r="G4" s="47" t="s">
        <v>28</v>
      </c>
      <c r="H4" s="47" t="s">
        <v>61</v>
      </c>
      <c r="I4" s="47" t="s">
        <v>29</v>
      </c>
      <c r="M4" s="47" t="s">
        <v>1281</v>
      </c>
    </row>
    <row r="5">
      <c r="A5" s="328">
        <v>2.0161101E7</v>
      </c>
      <c r="B5" s="47" t="s">
        <v>19</v>
      </c>
      <c r="C5" s="47" t="s">
        <v>30</v>
      </c>
      <c r="D5" s="47" t="s">
        <v>27</v>
      </c>
      <c r="E5" s="47" t="s">
        <v>15</v>
      </c>
      <c r="F5" s="47" t="s">
        <v>16</v>
      </c>
      <c r="G5" s="47" t="s">
        <v>31</v>
      </c>
      <c r="H5" s="47" t="s">
        <v>61</v>
      </c>
      <c r="I5" s="47" t="s">
        <v>32</v>
      </c>
      <c r="M5" s="47" t="s">
        <v>1281</v>
      </c>
    </row>
    <row r="6">
      <c r="A6" s="328">
        <v>2.0161118E7</v>
      </c>
      <c r="B6" s="47" t="s">
        <v>19</v>
      </c>
      <c r="C6" s="47" t="s">
        <v>33</v>
      </c>
      <c r="D6" s="47" t="s">
        <v>21</v>
      </c>
      <c r="E6" s="47" t="s">
        <v>22</v>
      </c>
      <c r="F6" s="47" t="s">
        <v>16</v>
      </c>
      <c r="G6" s="47" t="s">
        <v>34</v>
      </c>
      <c r="H6" s="47" t="s">
        <v>61</v>
      </c>
      <c r="I6" s="47" t="s">
        <v>35</v>
      </c>
      <c r="M6" s="47" t="s">
        <v>1281</v>
      </c>
    </row>
    <row r="7">
      <c r="A7" s="328">
        <v>2.0161118E7</v>
      </c>
      <c r="B7" s="47" t="s">
        <v>19</v>
      </c>
      <c r="C7" s="47" t="s">
        <v>36</v>
      </c>
      <c r="D7" s="47" t="s">
        <v>21</v>
      </c>
      <c r="E7" s="47" t="s">
        <v>22</v>
      </c>
      <c r="F7" s="47" t="s">
        <v>16</v>
      </c>
      <c r="G7" s="47" t="s">
        <v>37</v>
      </c>
      <c r="H7" s="47" t="s">
        <v>61</v>
      </c>
      <c r="I7" s="47" t="s">
        <v>38</v>
      </c>
      <c r="M7" s="47" t="s">
        <v>1281</v>
      </c>
    </row>
    <row r="8">
      <c r="A8" s="328">
        <v>2.0161208E7</v>
      </c>
      <c r="B8" s="47" t="s">
        <v>19</v>
      </c>
      <c r="C8" s="47" t="s">
        <v>36</v>
      </c>
      <c r="D8" s="47" t="s">
        <v>14</v>
      </c>
      <c r="E8" s="47" t="s">
        <v>15</v>
      </c>
      <c r="F8" s="47" t="s">
        <v>16</v>
      </c>
      <c r="G8" s="47" t="s">
        <v>39</v>
      </c>
      <c r="H8" s="47" t="s">
        <v>61</v>
      </c>
      <c r="I8" s="47" t="s">
        <v>40</v>
      </c>
      <c r="M8" s="47" t="s">
        <v>1281</v>
      </c>
    </row>
    <row r="9">
      <c r="A9" s="328">
        <v>2.0161118E7</v>
      </c>
      <c r="B9" s="47" t="s">
        <v>19</v>
      </c>
      <c r="C9" s="47" t="s">
        <v>20</v>
      </c>
      <c r="D9" s="47" t="s">
        <v>21</v>
      </c>
      <c r="E9" s="47" t="s">
        <v>15</v>
      </c>
      <c r="F9" s="47" t="s">
        <v>16</v>
      </c>
      <c r="G9" s="47" t="s">
        <v>41</v>
      </c>
      <c r="I9" s="47" t="s">
        <v>42</v>
      </c>
      <c r="M9" s="47" t="s">
        <v>1281</v>
      </c>
    </row>
    <row r="10">
      <c r="A10" s="328">
        <v>2.0160901E7</v>
      </c>
      <c r="B10" s="47" t="s">
        <v>43</v>
      </c>
      <c r="C10" s="47" t="s">
        <v>36</v>
      </c>
      <c r="D10" s="47" t="s">
        <v>44</v>
      </c>
      <c r="E10" s="47" t="s">
        <v>15</v>
      </c>
      <c r="F10" s="47" t="s">
        <v>16</v>
      </c>
      <c r="G10" s="47" t="s">
        <v>45</v>
      </c>
      <c r="H10" s="47" t="s">
        <v>97</v>
      </c>
      <c r="I10" s="47" t="s">
        <v>42</v>
      </c>
      <c r="M10" s="47" t="s">
        <v>1281</v>
      </c>
    </row>
    <row r="11">
      <c r="A11" s="328">
        <v>2.0161101E7</v>
      </c>
      <c r="B11" s="47" t="s">
        <v>19</v>
      </c>
      <c r="C11" s="47" t="s">
        <v>26</v>
      </c>
      <c r="D11" s="47" t="s">
        <v>21</v>
      </c>
      <c r="E11" s="47" t="s">
        <v>46</v>
      </c>
      <c r="F11" s="47" t="s">
        <v>16</v>
      </c>
      <c r="G11" s="47" t="s">
        <v>47</v>
      </c>
      <c r="H11" s="47" t="s">
        <v>61</v>
      </c>
      <c r="I11" s="47" t="s">
        <v>48</v>
      </c>
      <c r="M11" s="47" t="s">
        <v>1281</v>
      </c>
    </row>
    <row r="12">
      <c r="A12" s="328">
        <v>2.0161208E7</v>
      </c>
      <c r="B12" s="47" t="s">
        <v>25</v>
      </c>
      <c r="C12" s="47" t="s">
        <v>49</v>
      </c>
      <c r="D12" s="47" t="s">
        <v>27</v>
      </c>
      <c r="E12" s="47" t="s">
        <v>15</v>
      </c>
      <c r="F12" s="47" t="s">
        <v>16</v>
      </c>
      <c r="G12" s="47" t="s">
        <v>50</v>
      </c>
      <c r="H12" s="47" t="s">
        <v>61</v>
      </c>
      <c r="I12" s="47" t="s">
        <v>51</v>
      </c>
      <c r="M12" s="47" t="s">
        <v>1281</v>
      </c>
    </row>
    <row r="13">
      <c r="A13" s="328">
        <v>46151.0</v>
      </c>
      <c r="B13" s="47" t="s">
        <v>56</v>
      </c>
      <c r="C13" s="47" t="s">
        <v>57</v>
      </c>
      <c r="D13" s="47" t="s">
        <v>58</v>
      </c>
      <c r="E13" s="47" t="s">
        <v>15</v>
      </c>
      <c r="F13" s="47" t="s">
        <v>59</v>
      </c>
      <c r="G13" s="47" t="s">
        <v>1282</v>
      </c>
      <c r="H13" s="47" t="s">
        <v>61</v>
      </c>
      <c r="I13" s="47" t="s">
        <v>62</v>
      </c>
      <c r="J13" s="327"/>
      <c r="K13" s="327"/>
      <c r="L13" s="47" t="s">
        <v>63</v>
      </c>
      <c r="M13" s="47" t="e">
        <v>#N/A</v>
      </c>
    </row>
    <row r="14">
      <c r="A14" s="328">
        <v>46153.0</v>
      </c>
      <c r="B14" s="47" t="s">
        <v>56</v>
      </c>
      <c r="C14" s="47" t="s">
        <v>26</v>
      </c>
      <c r="D14" s="47" t="s">
        <v>27</v>
      </c>
      <c r="E14" s="47" t="s">
        <v>64</v>
      </c>
      <c r="F14" s="47" t="s">
        <v>16</v>
      </c>
      <c r="G14" s="47" t="s">
        <v>65</v>
      </c>
      <c r="H14" s="327"/>
      <c r="I14" s="47" t="s">
        <v>66</v>
      </c>
      <c r="J14" s="47" t="s">
        <v>67</v>
      </c>
      <c r="K14" s="327"/>
      <c r="L14" s="47" t="s">
        <v>68</v>
      </c>
      <c r="M14" s="47" t="e">
        <v>#N/A</v>
      </c>
    </row>
    <row r="15">
      <c r="A15" s="328">
        <v>46153.0</v>
      </c>
      <c r="B15" s="47" t="s">
        <v>56</v>
      </c>
      <c r="C15" s="47" t="s">
        <v>26</v>
      </c>
      <c r="D15" s="47" t="s">
        <v>58</v>
      </c>
      <c r="E15" s="47" t="s">
        <v>22</v>
      </c>
      <c r="F15" s="47" t="s">
        <v>16</v>
      </c>
      <c r="G15" s="47" t="s">
        <v>69</v>
      </c>
      <c r="H15" s="327"/>
      <c r="I15" s="47" t="s">
        <v>70</v>
      </c>
      <c r="J15" s="327"/>
      <c r="K15" s="327"/>
      <c r="L15" s="47" t="s">
        <v>71</v>
      </c>
      <c r="M15" s="47" t="e">
        <v>#N/A</v>
      </c>
    </row>
    <row r="16">
      <c r="A16" s="328">
        <v>46141.0</v>
      </c>
      <c r="B16" s="47" t="s">
        <v>56</v>
      </c>
      <c r="C16" s="47" t="s">
        <v>72</v>
      </c>
      <c r="D16" s="47" t="s">
        <v>27</v>
      </c>
      <c r="E16" s="47" t="s">
        <v>22</v>
      </c>
      <c r="F16" s="47" t="s">
        <v>16</v>
      </c>
      <c r="G16" s="47" t="s">
        <v>1283</v>
      </c>
      <c r="H16" s="327"/>
      <c r="I16" s="47" t="s">
        <v>74</v>
      </c>
      <c r="J16" s="327"/>
      <c r="K16" s="327"/>
      <c r="L16" s="47" t="s">
        <v>71</v>
      </c>
      <c r="M16" s="47" t="e">
        <v>#N/A</v>
      </c>
    </row>
    <row r="17">
      <c r="A17" s="328">
        <v>46115.0</v>
      </c>
      <c r="B17" s="47" t="s">
        <v>75</v>
      </c>
      <c r="C17" s="47" t="s">
        <v>76</v>
      </c>
      <c r="D17" s="47" t="s">
        <v>77</v>
      </c>
      <c r="E17" s="47" t="s">
        <v>22</v>
      </c>
      <c r="F17" s="47" t="s">
        <v>16</v>
      </c>
      <c r="G17" s="47" t="s">
        <v>78</v>
      </c>
      <c r="H17" s="327"/>
      <c r="I17" s="47" t="s">
        <v>79</v>
      </c>
      <c r="J17" s="327"/>
      <c r="K17" s="327"/>
      <c r="L17" s="47" t="s">
        <v>63</v>
      </c>
      <c r="M17" s="47" t="e">
        <v>#N/A</v>
      </c>
    </row>
    <row r="18">
      <c r="A18" s="328">
        <v>46115.0</v>
      </c>
      <c r="B18" s="47" t="s">
        <v>75</v>
      </c>
      <c r="C18" s="47" t="s">
        <v>20</v>
      </c>
      <c r="D18" s="47" t="s">
        <v>77</v>
      </c>
      <c r="E18" s="47" t="s">
        <v>22</v>
      </c>
      <c r="F18" s="47" t="s">
        <v>16</v>
      </c>
      <c r="G18" s="47" t="s">
        <v>80</v>
      </c>
      <c r="H18" s="327"/>
      <c r="I18" s="47" t="s">
        <v>67</v>
      </c>
      <c r="J18" s="47" t="s">
        <v>79</v>
      </c>
      <c r="K18" s="327"/>
      <c r="L18" s="47" t="s">
        <v>63</v>
      </c>
      <c r="M18" s="47" t="e">
        <v>#N/A</v>
      </c>
    </row>
    <row r="19">
      <c r="A19" s="328">
        <v>46115.0</v>
      </c>
      <c r="B19" s="47" t="s">
        <v>75</v>
      </c>
      <c r="C19" s="47" t="s">
        <v>20</v>
      </c>
      <c r="D19" s="47" t="s">
        <v>81</v>
      </c>
      <c r="E19" s="47" t="s">
        <v>22</v>
      </c>
      <c r="F19" s="47" t="s">
        <v>16</v>
      </c>
      <c r="G19" s="47" t="s">
        <v>82</v>
      </c>
      <c r="H19" s="327"/>
      <c r="I19" s="47" t="s">
        <v>79</v>
      </c>
      <c r="J19" s="327"/>
      <c r="K19" s="327"/>
      <c r="L19" s="47" t="s">
        <v>63</v>
      </c>
      <c r="M19" s="47" t="e">
        <v>#N/A</v>
      </c>
    </row>
    <row r="20">
      <c r="A20" s="328">
        <v>46115.0</v>
      </c>
      <c r="B20" s="47" t="s">
        <v>75</v>
      </c>
      <c r="C20" s="47" t="s">
        <v>83</v>
      </c>
      <c r="D20" s="47" t="s">
        <v>81</v>
      </c>
      <c r="E20" s="47" t="s">
        <v>22</v>
      </c>
      <c r="F20" s="47" t="s">
        <v>16</v>
      </c>
      <c r="G20" s="47" t="s">
        <v>84</v>
      </c>
      <c r="H20" s="327"/>
      <c r="I20" s="47" t="s">
        <v>66</v>
      </c>
      <c r="J20" s="47" t="s">
        <v>79</v>
      </c>
      <c r="K20" s="327"/>
      <c r="L20" s="47" t="s">
        <v>63</v>
      </c>
      <c r="M20" s="47" t="e">
        <v>#N/A</v>
      </c>
    </row>
    <row r="21">
      <c r="A21" s="328">
        <v>46160.0</v>
      </c>
      <c r="B21" s="47" t="s">
        <v>25</v>
      </c>
      <c r="C21" s="47" t="s">
        <v>36</v>
      </c>
      <c r="D21" s="47" t="s">
        <v>14</v>
      </c>
      <c r="E21" s="47" t="s">
        <v>64</v>
      </c>
      <c r="F21" s="47" t="s">
        <v>86</v>
      </c>
      <c r="G21" s="47" t="s">
        <v>87</v>
      </c>
      <c r="H21" s="47" t="s">
        <v>61</v>
      </c>
      <c r="I21" s="47" t="s">
        <v>66</v>
      </c>
      <c r="J21" s="327"/>
      <c r="K21" s="327"/>
      <c r="L21" s="47" t="s">
        <v>71</v>
      </c>
      <c r="M21" s="47" t="e">
        <v>#N/A</v>
      </c>
    </row>
    <row r="22">
      <c r="A22" s="328">
        <v>46150.0</v>
      </c>
      <c r="B22" s="47" t="s">
        <v>25</v>
      </c>
      <c r="C22" s="47" t="s">
        <v>36</v>
      </c>
      <c r="D22" s="47" t="s">
        <v>27</v>
      </c>
      <c r="E22" s="47" t="s">
        <v>64</v>
      </c>
      <c r="F22" s="47" t="s">
        <v>16</v>
      </c>
      <c r="G22" s="47" t="s">
        <v>88</v>
      </c>
      <c r="H22" s="327"/>
      <c r="I22" s="47" t="s">
        <v>66</v>
      </c>
      <c r="J22" s="327"/>
      <c r="K22" s="327"/>
      <c r="L22" s="47" t="s">
        <v>71</v>
      </c>
      <c r="M22" s="47" t="e">
        <v>#N/A</v>
      </c>
    </row>
    <row r="23">
      <c r="A23" s="328">
        <v>46150.0</v>
      </c>
      <c r="B23" s="47" t="s">
        <v>19</v>
      </c>
      <c r="C23" s="47" t="s">
        <v>36</v>
      </c>
      <c r="D23" s="47" t="s">
        <v>89</v>
      </c>
      <c r="E23" s="47" t="s">
        <v>15</v>
      </c>
      <c r="F23" s="47" t="s">
        <v>59</v>
      </c>
      <c r="G23" s="47" t="s">
        <v>90</v>
      </c>
      <c r="H23" s="47" t="s">
        <v>61</v>
      </c>
      <c r="I23" s="47" t="s">
        <v>66</v>
      </c>
      <c r="J23" s="327"/>
      <c r="K23" s="327"/>
      <c r="L23" s="327"/>
      <c r="M23" s="47" t="e">
        <v>#N/A</v>
      </c>
    </row>
    <row r="24">
      <c r="A24" s="328">
        <v>46149.0</v>
      </c>
      <c r="B24" s="47" t="s">
        <v>25</v>
      </c>
      <c r="C24" s="47" t="s">
        <v>36</v>
      </c>
      <c r="D24" s="47" t="s">
        <v>27</v>
      </c>
      <c r="E24" s="47" t="s">
        <v>64</v>
      </c>
      <c r="F24" s="47" t="s">
        <v>64</v>
      </c>
      <c r="G24" s="47" t="s">
        <v>1284</v>
      </c>
      <c r="H24" s="327"/>
      <c r="I24" s="47" t="s">
        <v>66</v>
      </c>
      <c r="J24" s="327"/>
      <c r="K24" s="327"/>
      <c r="L24" s="327"/>
      <c r="M24" s="47" t="e">
        <v>#N/A</v>
      </c>
    </row>
    <row r="25">
      <c r="A25" s="328">
        <v>46149.0</v>
      </c>
      <c r="B25" s="47" t="s">
        <v>25</v>
      </c>
      <c r="C25" s="47" t="s">
        <v>36</v>
      </c>
      <c r="D25" s="47" t="s">
        <v>27</v>
      </c>
      <c r="E25" s="47" t="s">
        <v>64</v>
      </c>
      <c r="F25" s="47" t="s">
        <v>64</v>
      </c>
      <c r="G25" s="47" t="s">
        <v>92</v>
      </c>
      <c r="H25" s="327"/>
      <c r="I25" s="47" t="s">
        <v>66</v>
      </c>
      <c r="J25" s="327"/>
      <c r="K25" s="327"/>
      <c r="L25" s="327"/>
      <c r="M25" s="47" t="e">
        <v>#N/A</v>
      </c>
    </row>
    <row r="26">
      <c r="A26" s="328">
        <v>46149.0</v>
      </c>
      <c r="B26" s="47" t="s">
        <v>25</v>
      </c>
      <c r="C26" s="47" t="s">
        <v>36</v>
      </c>
      <c r="D26" s="47" t="s">
        <v>27</v>
      </c>
      <c r="E26" s="47" t="s">
        <v>22</v>
      </c>
      <c r="F26" s="47" t="s">
        <v>86</v>
      </c>
      <c r="G26" s="47" t="s">
        <v>93</v>
      </c>
      <c r="H26" s="47" t="s">
        <v>61</v>
      </c>
      <c r="I26" s="47" t="s">
        <v>66</v>
      </c>
      <c r="J26" s="327"/>
      <c r="K26" s="327"/>
      <c r="L26" s="327"/>
      <c r="M26" s="47" t="e">
        <v>#N/A</v>
      </c>
    </row>
    <row r="27">
      <c r="A27" s="328">
        <v>46135.0</v>
      </c>
      <c r="B27" s="47" t="s">
        <v>19</v>
      </c>
      <c r="C27" s="47" t="s">
        <v>94</v>
      </c>
      <c r="D27" s="47" t="s">
        <v>95</v>
      </c>
      <c r="E27" s="47" t="s">
        <v>15</v>
      </c>
      <c r="F27" s="47" t="s">
        <v>86</v>
      </c>
      <c r="G27" s="47" t="s">
        <v>96</v>
      </c>
      <c r="H27" s="47" t="s">
        <v>97</v>
      </c>
      <c r="I27" s="47" t="s">
        <v>70</v>
      </c>
      <c r="J27" s="47" t="s">
        <v>67</v>
      </c>
      <c r="K27" s="327"/>
      <c r="L27" s="327"/>
      <c r="M27" s="47" t="e">
        <v>#N/A</v>
      </c>
    </row>
    <row r="28">
      <c r="A28" s="329"/>
      <c r="B28" s="47" t="s">
        <v>19</v>
      </c>
      <c r="C28" s="47" t="s">
        <v>26</v>
      </c>
      <c r="D28" s="47" t="s">
        <v>21</v>
      </c>
      <c r="E28" s="47" t="s">
        <v>15</v>
      </c>
      <c r="F28" s="47" t="s">
        <v>59</v>
      </c>
      <c r="G28" s="47" t="s">
        <v>98</v>
      </c>
      <c r="H28" s="327"/>
      <c r="I28" s="327"/>
      <c r="J28" s="327"/>
      <c r="K28" s="327"/>
      <c r="L28" s="327"/>
      <c r="M28" s="47" t="e">
        <v>#N/A</v>
      </c>
    </row>
    <row r="29">
      <c r="A29" s="47" t="s">
        <v>99</v>
      </c>
      <c r="B29" s="47" t="s">
        <v>19</v>
      </c>
      <c r="C29" s="47" t="s">
        <v>26</v>
      </c>
      <c r="D29" s="47" t="s">
        <v>27</v>
      </c>
      <c r="E29" s="47" t="s">
        <v>15</v>
      </c>
      <c r="F29" s="47" t="s">
        <v>59</v>
      </c>
      <c r="G29" s="47" t="s">
        <v>100</v>
      </c>
      <c r="H29" s="47" t="s">
        <v>61</v>
      </c>
      <c r="I29" s="47" t="s">
        <v>101</v>
      </c>
      <c r="J29" s="327"/>
      <c r="K29" s="327"/>
      <c r="L29" s="327"/>
      <c r="M29" s="47" t="e">
        <v>#N/A</v>
      </c>
    </row>
    <row r="30">
      <c r="A30" s="328">
        <v>46094.0</v>
      </c>
      <c r="B30" s="47" t="s">
        <v>43</v>
      </c>
      <c r="C30" s="47" t="s">
        <v>26</v>
      </c>
      <c r="D30" s="47" t="s">
        <v>58</v>
      </c>
      <c r="E30" s="47" t="s">
        <v>15</v>
      </c>
      <c r="F30" s="47" t="s">
        <v>59</v>
      </c>
      <c r="G30" s="47" t="s">
        <v>102</v>
      </c>
      <c r="H30" s="47" t="s">
        <v>97</v>
      </c>
      <c r="I30" s="47" t="s">
        <v>67</v>
      </c>
      <c r="J30" s="327"/>
      <c r="K30" s="327"/>
      <c r="L30" s="327"/>
      <c r="M30" s="47" t="e">
        <v>#N/A</v>
      </c>
    </row>
    <row r="31">
      <c r="A31" s="328">
        <v>46094.0</v>
      </c>
      <c r="B31" s="47" t="s">
        <v>43</v>
      </c>
      <c r="C31" s="47" t="s">
        <v>57</v>
      </c>
      <c r="D31" s="47" t="s">
        <v>58</v>
      </c>
      <c r="E31" s="47" t="s">
        <v>15</v>
      </c>
      <c r="F31" s="47" t="s">
        <v>59</v>
      </c>
      <c r="G31" s="47" t="s">
        <v>1285</v>
      </c>
      <c r="H31" s="327"/>
      <c r="I31" s="47" t="s">
        <v>62</v>
      </c>
      <c r="J31" s="47" t="s">
        <v>66</v>
      </c>
      <c r="K31" s="327"/>
      <c r="L31" s="327"/>
      <c r="M31" s="47" t="e">
        <v>#N/A</v>
      </c>
    </row>
    <row r="32">
      <c r="A32" s="328">
        <v>46093.0</v>
      </c>
      <c r="B32" s="47" t="s">
        <v>43</v>
      </c>
      <c r="C32" s="47" t="s">
        <v>36</v>
      </c>
      <c r="D32" s="47" t="s">
        <v>44</v>
      </c>
      <c r="E32" s="47" t="s">
        <v>22</v>
      </c>
      <c r="F32" s="47" t="s">
        <v>86</v>
      </c>
      <c r="G32" s="47" t="s">
        <v>104</v>
      </c>
      <c r="H32" s="47" t="s">
        <v>61</v>
      </c>
      <c r="I32" s="47" t="s">
        <v>66</v>
      </c>
      <c r="J32" s="327"/>
      <c r="K32" s="327"/>
      <c r="L32" s="327"/>
      <c r="M32" s="47" t="e">
        <v>#N/A</v>
      </c>
    </row>
    <row r="33">
      <c r="A33" s="328">
        <v>46084.0</v>
      </c>
      <c r="B33" s="47" t="s">
        <v>43</v>
      </c>
      <c r="C33" s="47" t="s">
        <v>26</v>
      </c>
      <c r="D33" s="47" t="s">
        <v>58</v>
      </c>
      <c r="E33" s="47" t="s">
        <v>15</v>
      </c>
      <c r="F33" s="47" t="s">
        <v>16</v>
      </c>
      <c r="G33" s="47" t="s">
        <v>105</v>
      </c>
      <c r="H33" s="327"/>
      <c r="I33" s="47" t="s">
        <v>66</v>
      </c>
      <c r="J33" s="327"/>
      <c r="K33" s="327"/>
      <c r="L33" s="47" t="s">
        <v>71</v>
      </c>
      <c r="M33" s="47" t="e">
        <v>#N/A</v>
      </c>
    </row>
    <row r="34">
      <c r="A34" s="328">
        <v>46064.0</v>
      </c>
      <c r="B34" s="47" t="s">
        <v>43</v>
      </c>
      <c r="C34" s="47" t="s">
        <v>57</v>
      </c>
      <c r="D34" s="47" t="s">
        <v>21</v>
      </c>
      <c r="E34" s="47" t="s">
        <v>15</v>
      </c>
      <c r="F34" s="47" t="s">
        <v>59</v>
      </c>
      <c r="G34" s="47" t="s">
        <v>1286</v>
      </c>
      <c r="H34" s="47" t="s">
        <v>61</v>
      </c>
      <c r="I34" s="47" t="s">
        <v>62</v>
      </c>
      <c r="J34" s="327"/>
      <c r="K34" s="327"/>
      <c r="L34" s="327"/>
      <c r="M34" s="47" t="e">
        <v>#N/A</v>
      </c>
    </row>
    <row r="35">
      <c r="A35" s="328">
        <v>46058.0</v>
      </c>
      <c r="B35" s="47" t="s">
        <v>56</v>
      </c>
      <c r="C35" s="47" t="s">
        <v>36</v>
      </c>
      <c r="D35" s="47" t="s">
        <v>44</v>
      </c>
      <c r="E35" s="47" t="s">
        <v>64</v>
      </c>
      <c r="F35" s="47" t="s">
        <v>64</v>
      </c>
      <c r="G35" s="47" t="s">
        <v>107</v>
      </c>
      <c r="H35" s="327"/>
      <c r="I35" s="47" t="s">
        <v>66</v>
      </c>
      <c r="J35" s="327"/>
      <c r="K35" s="327"/>
      <c r="L35" s="327"/>
      <c r="M35" s="47" t="e">
        <v>#N/A</v>
      </c>
    </row>
    <row r="36">
      <c r="A36" s="328">
        <v>46052.0</v>
      </c>
      <c r="B36" s="47" t="s">
        <v>56</v>
      </c>
      <c r="C36" s="47" t="s">
        <v>36</v>
      </c>
      <c r="D36" s="47" t="s">
        <v>44</v>
      </c>
      <c r="E36" s="47" t="s">
        <v>64</v>
      </c>
      <c r="F36" s="47" t="s">
        <v>16</v>
      </c>
      <c r="G36" s="47" t="s">
        <v>108</v>
      </c>
      <c r="H36" s="327"/>
      <c r="I36" s="47" t="s">
        <v>66</v>
      </c>
      <c r="J36" s="327"/>
      <c r="K36" s="327"/>
      <c r="L36" s="47" t="s">
        <v>63</v>
      </c>
      <c r="M36" s="47" t="e">
        <v>#N/A</v>
      </c>
    </row>
    <row r="37">
      <c r="A37" s="328">
        <v>46050.0</v>
      </c>
      <c r="B37" s="47" t="s">
        <v>56</v>
      </c>
      <c r="C37" s="47" t="s">
        <v>36</v>
      </c>
      <c r="D37" s="47" t="s">
        <v>44</v>
      </c>
      <c r="E37" s="47" t="s">
        <v>64</v>
      </c>
      <c r="F37" s="47" t="s">
        <v>16</v>
      </c>
      <c r="G37" s="47" t="s">
        <v>109</v>
      </c>
      <c r="H37" s="327"/>
      <c r="I37" s="47" t="s">
        <v>66</v>
      </c>
      <c r="J37" s="327"/>
      <c r="K37" s="327"/>
      <c r="L37" s="47" t="s">
        <v>71</v>
      </c>
      <c r="M37" s="47" t="e">
        <v>#N/A</v>
      </c>
    </row>
    <row r="38">
      <c r="A38" s="328">
        <v>46050.0</v>
      </c>
      <c r="B38" s="47" t="s">
        <v>56</v>
      </c>
      <c r="C38" s="47" t="s">
        <v>36</v>
      </c>
      <c r="D38" s="47" t="s">
        <v>44</v>
      </c>
      <c r="E38" s="47" t="s">
        <v>64</v>
      </c>
      <c r="F38" s="47" t="s">
        <v>16</v>
      </c>
      <c r="G38" s="47" t="s">
        <v>110</v>
      </c>
      <c r="H38" s="327"/>
      <c r="I38" s="327"/>
      <c r="J38" s="327"/>
      <c r="K38" s="327"/>
      <c r="L38" s="327"/>
      <c r="M38" s="47" t="e">
        <v>#N/A</v>
      </c>
    </row>
    <row r="39">
      <c r="A39" s="328">
        <v>46038.0</v>
      </c>
      <c r="B39" s="47" t="s">
        <v>56</v>
      </c>
      <c r="C39" s="47" t="s">
        <v>76</v>
      </c>
      <c r="D39" s="47" t="s">
        <v>44</v>
      </c>
      <c r="E39" s="47" t="s">
        <v>15</v>
      </c>
      <c r="F39" s="47" t="s">
        <v>59</v>
      </c>
      <c r="G39" s="47" t="s">
        <v>111</v>
      </c>
      <c r="H39" s="47" t="s">
        <v>112</v>
      </c>
      <c r="I39" s="47" t="s">
        <v>79</v>
      </c>
      <c r="J39" s="327"/>
      <c r="K39" s="327"/>
      <c r="L39" s="327"/>
      <c r="M39" s="47" t="e">
        <v>#N/A</v>
      </c>
    </row>
    <row r="40">
      <c r="A40" s="328">
        <v>46037.0</v>
      </c>
      <c r="B40" s="47" t="s">
        <v>56</v>
      </c>
      <c r="C40" s="47" t="s">
        <v>36</v>
      </c>
      <c r="D40" s="47" t="s">
        <v>77</v>
      </c>
      <c r="E40" s="47" t="s">
        <v>22</v>
      </c>
      <c r="F40" s="47" t="s">
        <v>16</v>
      </c>
      <c r="G40" s="47" t="s">
        <v>113</v>
      </c>
      <c r="H40" s="327"/>
      <c r="I40" s="47" t="s">
        <v>66</v>
      </c>
      <c r="J40" s="327"/>
      <c r="K40" s="327"/>
      <c r="L40" s="47" t="s">
        <v>63</v>
      </c>
      <c r="M40" s="47" t="e">
        <v>#N/A</v>
      </c>
    </row>
    <row r="41">
      <c r="A41" s="328">
        <v>46037.0</v>
      </c>
      <c r="B41" s="47" t="s">
        <v>56</v>
      </c>
      <c r="C41" s="47" t="s">
        <v>49</v>
      </c>
      <c r="D41" s="47" t="s">
        <v>58</v>
      </c>
      <c r="E41" s="47" t="s">
        <v>22</v>
      </c>
      <c r="F41" s="47" t="s">
        <v>86</v>
      </c>
      <c r="G41" s="47" t="s">
        <v>114</v>
      </c>
      <c r="H41" s="327"/>
      <c r="I41" s="47" t="s">
        <v>115</v>
      </c>
      <c r="J41" s="327"/>
      <c r="K41" s="327"/>
      <c r="L41" s="327"/>
      <c r="M41" s="47" t="e">
        <v>#N/A</v>
      </c>
    </row>
    <row r="42">
      <c r="A42" s="328">
        <v>46037.0</v>
      </c>
      <c r="B42" s="47" t="s">
        <v>56</v>
      </c>
      <c r="C42" s="47" t="s">
        <v>49</v>
      </c>
      <c r="D42" s="47" t="s">
        <v>58</v>
      </c>
      <c r="E42" s="47" t="s">
        <v>15</v>
      </c>
      <c r="F42" s="47" t="s">
        <v>59</v>
      </c>
      <c r="G42" s="47" t="s">
        <v>116</v>
      </c>
      <c r="H42" s="327"/>
      <c r="I42" s="327"/>
      <c r="J42" s="327"/>
      <c r="K42" s="327"/>
      <c r="L42" s="327"/>
      <c r="M42" s="47" t="e">
        <v>#N/A</v>
      </c>
    </row>
    <row r="43">
      <c r="A43" s="328">
        <v>46032.0</v>
      </c>
      <c r="B43" s="47" t="s">
        <v>56</v>
      </c>
      <c r="C43" s="47" t="s">
        <v>57</v>
      </c>
      <c r="D43" s="47" t="s">
        <v>44</v>
      </c>
      <c r="E43" s="47" t="s">
        <v>15</v>
      </c>
      <c r="F43" s="47" t="s">
        <v>86</v>
      </c>
      <c r="G43" s="47" t="s">
        <v>117</v>
      </c>
      <c r="H43" s="47" t="s">
        <v>61</v>
      </c>
      <c r="I43" s="47" t="s">
        <v>62</v>
      </c>
      <c r="J43" s="47" t="s">
        <v>66</v>
      </c>
      <c r="K43" s="327"/>
      <c r="L43" s="327"/>
      <c r="M43" s="47" t="e">
        <v>#N/A</v>
      </c>
    </row>
    <row r="44">
      <c r="A44" s="328">
        <v>46032.0</v>
      </c>
      <c r="B44" s="47" t="s">
        <v>56</v>
      </c>
      <c r="C44" s="47" t="s">
        <v>57</v>
      </c>
      <c r="D44" s="47" t="s">
        <v>44</v>
      </c>
      <c r="E44" s="47" t="s">
        <v>15</v>
      </c>
      <c r="F44" s="47" t="s">
        <v>86</v>
      </c>
      <c r="G44" s="47" t="s">
        <v>1287</v>
      </c>
      <c r="H44" s="47" t="s">
        <v>61</v>
      </c>
      <c r="I44" s="47" t="s">
        <v>62</v>
      </c>
      <c r="J44" s="327"/>
      <c r="K44" s="327"/>
      <c r="L44" s="327"/>
      <c r="M44" s="47" t="e">
        <v>#N/A</v>
      </c>
    </row>
    <row r="45">
      <c r="A45" s="328">
        <v>46030.0</v>
      </c>
      <c r="B45" s="47" t="s">
        <v>56</v>
      </c>
      <c r="C45" s="47" t="s">
        <v>57</v>
      </c>
      <c r="D45" s="47" t="s">
        <v>27</v>
      </c>
      <c r="E45" s="47" t="s">
        <v>15</v>
      </c>
      <c r="F45" s="47" t="s">
        <v>59</v>
      </c>
      <c r="G45" s="47" t="s">
        <v>119</v>
      </c>
      <c r="H45" s="47" t="s">
        <v>61</v>
      </c>
      <c r="I45" s="47" t="s">
        <v>62</v>
      </c>
      <c r="J45" s="327"/>
      <c r="K45" s="327"/>
      <c r="L45" s="327"/>
      <c r="M45" s="47" t="e">
        <v>#N/A</v>
      </c>
    </row>
    <row r="46">
      <c r="A46" s="328">
        <v>46030.0</v>
      </c>
      <c r="B46" s="47" t="s">
        <v>56</v>
      </c>
      <c r="C46" s="47" t="s">
        <v>36</v>
      </c>
      <c r="D46" s="47" t="s">
        <v>58</v>
      </c>
      <c r="E46" s="47" t="s">
        <v>15</v>
      </c>
      <c r="F46" s="47" t="s">
        <v>86</v>
      </c>
      <c r="G46" s="47" t="s">
        <v>120</v>
      </c>
      <c r="H46" s="327"/>
      <c r="I46" s="47" t="s">
        <v>79</v>
      </c>
      <c r="J46" s="47" t="s">
        <v>66</v>
      </c>
      <c r="K46" s="327"/>
      <c r="L46" s="47" t="s">
        <v>71</v>
      </c>
      <c r="M46" s="47" t="e">
        <v>#N/A</v>
      </c>
    </row>
    <row r="47">
      <c r="A47" s="328">
        <v>46010.0</v>
      </c>
      <c r="B47" s="47" t="s">
        <v>121</v>
      </c>
      <c r="C47" s="47" t="s">
        <v>76</v>
      </c>
      <c r="D47" s="47" t="s">
        <v>77</v>
      </c>
      <c r="E47" s="47" t="s">
        <v>46</v>
      </c>
      <c r="F47" s="47" t="s">
        <v>16</v>
      </c>
      <c r="G47" s="47" t="s">
        <v>122</v>
      </c>
      <c r="H47" s="327"/>
      <c r="I47" s="47" t="s">
        <v>79</v>
      </c>
      <c r="J47" s="327"/>
      <c r="K47" s="327"/>
      <c r="L47" s="47" t="s">
        <v>71</v>
      </c>
      <c r="M47" s="47" t="e">
        <v>#N/A</v>
      </c>
    </row>
    <row r="48">
      <c r="A48" s="328">
        <v>46003.0</v>
      </c>
      <c r="B48" s="47" t="s">
        <v>75</v>
      </c>
      <c r="C48" s="47" t="s">
        <v>76</v>
      </c>
      <c r="D48" s="47" t="s">
        <v>77</v>
      </c>
      <c r="E48" s="47" t="s">
        <v>22</v>
      </c>
      <c r="F48" s="47" t="s">
        <v>16</v>
      </c>
      <c r="G48" s="47" t="s">
        <v>123</v>
      </c>
      <c r="H48" s="47" t="s">
        <v>61</v>
      </c>
      <c r="I48" s="47" t="s">
        <v>79</v>
      </c>
      <c r="J48" s="327"/>
      <c r="K48" s="327"/>
      <c r="L48" s="47" t="s">
        <v>71</v>
      </c>
      <c r="M48" s="47" t="e">
        <v>#N/A</v>
      </c>
    </row>
    <row r="49">
      <c r="A49" s="328">
        <v>45973.0</v>
      </c>
      <c r="B49" s="47" t="s">
        <v>75</v>
      </c>
      <c r="C49" s="47" t="s">
        <v>36</v>
      </c>
      <c r="D49" s="47" t="s">
        <v>77</v>
      </c>
      <c r="E49" s="47" t="s">
        <v>22</v>
      </c>
      <c r="F49" s="47" t="s">
        <v>16</v>
      </c>
      <c r="G49" s="47" t="s">
        <v>124</v>
      </c>
      <c r="H49" s="327"/>
      <c r="I49" s="47" t="s">
        <v>66</v>
      </c>
      <c r="J49" s="327"/>
      <c r="K49" s="327"/>
      <c r="L49" s="47" t="s">
        <v>63</v>
      </c>
      <c r="M49" s="47" t="e">
        <v>#N/A</v>
      </c>
    </row>
    <row r="50">
      <c r="A50" s="328">
        <v>46090.0</v>
      </c>
      <c r="B50" s="47" t="s">
        <v>12</v>
      </c>
      <c r="C50" s="47" t="s">
        <v>125</v>
      </c>
      <c r="D50" s="47" t="s">
        <v>27</v>
      </c>
      <c r="E50" s="327"/>
      <c r="F50" s="47" t="s">
        <v>86</v>
      </c>
      <c r="G50" s="47" t="s">
        <v>126</v>
      </c>
      <c r="H50" s="47" t="s">
        <v>97</v>
      </c>
      <c r="I50" s="47" t="s">
        <v>127</v>
      </c>
      <c r="J50" s="47" t="s">
        <v>67</v>
      </c>
      <c r="K50" s="327"/>
      <c r="L50" s="327"/>
      <c r="M50" s="47" t="e">
        <v>#N/A</v>
      </c>
    </row>
    <row r="51">
      <c r="A51" s="328">
        <v>46081.0</v>
      </c>
      <c r="B51" s="47" t="s">
        <v>19</v>
      </c>
      <c r="C51" s="47" t="s">
        <v>36</v>
      </c>
      <c r="D51" s="47" t="s">
        <v>89</v>
      </c>
      <c r="E51" s="47" t="s">
        <v>64</v>
      </c>
      <c r="F51" s="47" t="s">
        <v>86</v>
      </c>
      <c r="G51" s="47" t="s">
        <v>1288</v>
      </c>
      <c r="H51" s="47" t="s">
        <v>129</v>
      </c>
      <c r="I51" s="47" t="s">
        <v>66</v>
      </c>
      <c r="J51" s="327"/>
      <c r="K51" s="327"/>
      <c r="L51" s="327"/>
      <c r="M51" s="47" t="e">
        <v>#N/A</v>
      </c>
    </row>
    <row r="52">
      <c r="A52" s="328">
        <v>46062.0</v>
      </c>
      <c r="B52" s="47" t="s">
        <v>19</v>
      </c>
      <c r="C52" s="47" t="s">
        <v>36</v>
      </c>
      <c r="D52" s="47" t="s">
        <v>44</v>
      </c>
      <c r="E52" s="47" t="s">
        <v>64</v>
      </c>
      <c r="F52" s="47" t="s">
        <v>64</v>
      </c>
      <c r="G52" s="47" t="s">
        <v>130</v>
      </c>
      <c r="H52" s="327"/>
      <c r="I52" s="47" t="s">
        <v>66</v>
      </c>
      <c r="J52" s="327"/>
      <c r="K52" s="327"/>
      <c r="L52" s="327"/>
      <c r="M52" s="47" t="e">
        <v>#N/A</v>
      </c>
    </row>
    <row r="53">
      <c r="A53" s="328">
        <v>46056.0</v>
      </c>
      <c r="B53" s="47" t="s">
        <v>19</v>
      </c>
      <c r="C53" s="47" t="s">
        <v>26</v>
      </c>
      <c r="D53" s="47" t="s">
        <v>44</v>
      </c>
      <c r="E53" s="47" t="s">
        <v>64</v>
      </c>
      <c r="F53" s="47" t="s">
        <v>64</v>
      </c>
      <c r="G53" s="47" t="s">
        <v>131</v>
      </c>
      <c r="H53" s="47" t="s">
        <v>61</v>
      </c>
      <c r="I53" s="47" t="s">
        <v>66</v>
      </c>
      <c r="J53" s="47" t="s">
        <v>132</v>
      </c>
      <c r="K53" s="327"/>
      <c r="L53" s="327"/>
      <c r="M53" s="47" t="e">
        <v>#N/A</v>
      </c>
    </row>
    <row r="54">
      <c r="A54" s="328">
        <v>46036.0</v>
      </c>
      <c r="B54" s="47" t="s">
        <v>43</v>
      </c>
      <c r="C54" s="47" t="s">
        <v>36</v>
      </c>
      <c r="D54" s="47" t="s">
        <v>44</v>
      </c>
      <c r="E54" s="47" t="s">
        <v>15</v>
      </c>
      <c r="F54" s="47" t="s">
        <v>16</v>
      </c>
      <c r="G54" s="47" t="s">
        <v>133</v>
      </c>
      <c r="H54" s="47" t="s">
        <v>61</v>
      </c>
      <c r="I54" s="47" t="s">
        <v>66</v>
      </c>
      <c r="J54" s="327"/>
      <c r="K54" s="327"/>
      <c r="L54" s="47" t="s">
        <v>71</v>
      </c>
      <c r="M54" s="47" t="e">
        <v>#N/A</v>
      </c>
    </row>
    <row r="55">
      <c r="A55" s="328">
        <v>46013.0</v>
      </c>
      <c r="B55" s="47" t="s">
        <v>43</v>
      </c>
      <c r="C55" s="47" t="s">
        <v>76</v>
      </c>
      <c r="D55" s="47" t="s">
        <v>14</v>
      </c>
      <c r="E55" s="47" t="s">
        <v>15</v>
      </c>
      <c r="F55" s="47" t="s">
        <v>59</v>
      </c>
      <c r="G55" s="47" t="s">
        <v>134</v>
      </c>
      <c r="H55" s="47" t="s">
        <v>112</v>
      </c>
      <c r="I55" s="47" t="s">
        <v>79</v>
      </c>
      <c r="J55" s="327"/>
      <c r="K55" s="327"/>
      <c r="L55" s="327"/>
      <c r="M55" s="47" t="e">
        <v>#N/A</v>
      </c>
    </row>
    <row r="56">
      <c r="A56" s="328">
        <v>46013.0</v>
      </c>
      <c r="B56" s="47" t="s">
        <v>43</v>
      </c>
      <c r="C56" s="47" t="s">
        <v>57</v>
      </c>
      <c r="D56" s="47" t="s">
        <v>58</v>
      </c>
      <c r="E56" s="47" t="s">
        <v>15</v>
      </c>
      <c r="F56" s="47" t="s">
        <v>86</v>
      </c>
      <c r="G56" s="47" t="s">
        <v>135</v>
      </c>
      <c r="H56" s="47" t="s">
        <v>97</v>
      </c>
      <c r="I56" s="47" t="s">
        <v>62</v>
      </c>
      <c r="J56" s="327"/>
      <c r="K56" s="327"/>
      <c r="L56" s="327"/>
      <c r="M56" s="47" t="e">
        <v>#N/A</v>
      </c>
    </row>
    <row r="57">
      <c r="A57" s="329"/>
      <c r="B57" s="47" t="s">
        <v>43</v>
      </c>
      <c r="C57" s="47" t="s">
        <v>94</v>
      </c>
      <c r="D57" s="47" t="s">
        <v>27</v>
      </c>
      <c r="E57" s="47" t="s">
        <v>46</v>
      </c>
      <c r="F57" s="47" t="s">
        <v>86</v>
      </c>
      <c r="G57" s="47" t="s">
        <v>136</v>
      </c>
      <c r="H57" s="47" t="s">
        <v>97</v>
      </c>
      <c r="I57" s="47" t="s">
        <v>70</v>
      </c>
      <c r="J57" s="47" t="s">
        <v>127</v>
      </c>
      <c r="K57" s="327"/>
      <c r="L57" s="327"/>
      <c r="M57" s="47" t="e">
        <v>#N/A</v>
      </c>
    </row>
    <row r="58">
      <c r="A58" s="328">
        <v>46000.0</v>
      </c>
      <c r="B58" s="47" t="s">
        <v>43</v>
      </c>
      <c r="C58" s="47" t="s">
        <v>36</v>
      </c>
      <c r="D58" s="47" t="s">
        <v>27</v>
      </c>
      <c r="E58" s="47" t="s">
        <v>22</v>
      </c>
      <c r="F58" s="47" t="s">
        <v>16</v>
      </c>
      <c r="G58" s="47" t="s">
        <v>137</v>
      </c>
      <c r="H58" s="327"/>
      <c r="I58" s="47" t="s">
        <v>66</v>
      </c>
      <c r="J58" s="327"/>
      <c r="K58" s="327"/>
      <c r="L58" s="47" t="s">
        <v>68</v>
      </c>
      <c r="M58" s="47" t="e">
        <v>#N/A</v>
      </c>
    </row>
    <row r="59">
      <c r="A59" s="328">
        <v>45986.0</v>
      </c>
      <c r="B59" s="47" t="s">
        <v>56</v>
      </c>
      <c r="C59" s="47" t="s">
        <v>76</v>
      </c>
      <c r="D59" s="47" t="s">
        <v>44</v>
      </c>
      <c r="E59" s="47" t="s">
        <v>46</v>
      </c>
      <c r="F59" s="47" t="s">
        <v>59</v>
      </c>
      <c r="G59" s="47" t="s">
        <v>138</v>
      </c>
      <c r="H59" s="47" t="s">
        <v>61</v>
      </c>
      <c r="I59" s="47" t="s">
        <v>79</v>
      </c>
      <c r="J59" s="47" t="s">
        <v>127</v>
      </c>
      <c r="K59" s="327"/>
      <c r="L59" s="327"/>
      <c r="M59" s="47" t="e">
        <v>#N/A</v>
      </c>
    </row>
    <row r="60">
      <c r="A60" s="328">
        <v>45986.0</v>
      </c>
      <c r="B60" s="47" t="s">
        <v>56</v>
      </c>
      <c r="C60" s="47" t="s">
        <v>76</v>
      </c>
      <c r="D60" s="47" t="s">
        <v>44</v>
      </c>
      <c r="E60" s="47" t="s">
        <v>64</v>
      </c>
      <c r="F60" s="47" t="s">
        <v>64</v>
      </c>
      <c r="G60" s="47" t="s">
        <v>139</v>
      </c>
      <c r="H60" s="47" t="s">
        <v>61</v>
      </c>
      <c r="I60" s="47" t="s">
        <v>79</v>
      </c>
      <c r="J60" s="47" t="s">
        <v>127</v>
      </c>
      <c r="K60" s="327"/>
      <c r="L60" s="327"/>
      <c r="M60" s="47" t="e">
        <v>#N/A</v>
      </c>
    </row>
    <row r="61">
      <c r="A61" s="328">
        <v>45968.0</v>
      </c>
      <c r="B61" s="47" t="s">
        <v>56</v>
      </c>
      <c r="C61" s="47" t="s">
        <v>76</v>
      </c>
      <c r="D61" s="47" t="s">
        <v>44</v>
      </c>
      <c r="E61" s="47" t="s">
        <v>46</v>
      </c>
      <c r="F61" s="47" t="s">
        <v>86</v>
      </c>
      <c r="G61" s="47" t="s">
        <v>140</v>
      </c>
      <c r="H61" s="47" t="s">
        <v>61</v>
      </c>
      <c r="I61" s="47" t="s">
        <v>79</v>
      </c>
      <c r="J61" s="47" t="s">
        <v>127</v>
      </c>
      <c r="K61" s="327"/>
      <c r="L61" s="327"/>
      <c r="M61" s="47" t="e">
        <v>#N/A</v>
      </c>
    </row>
    <row r="62">
      <c r="A62" s="328">
        <v>45967.0</v>
      </c>
      <c r="B62" s="47" t="s">
        <v>56</v>
      </c>
      <c r="C62" s="47" t="s">
        <v>13</v>
      </c>
      <c r="D62" s="47" t="s">
        <v>27</v>
      </c>
      <c r="E62" s="47" t="s">
        <v>15</v>
      </c>
      <c r="F62" s="47" t="s">
        <v>86</v>
      </c>
      <c r="G62" s="47" t="s">
        <v>1289</v>
      </c>
      <c r="H62" s="47" t="s">
        <v>97</v>
      </c>
      <c r="I62" s="47" t="s">
        <v>62</v>
      </c>
      <c r="J62" s="327"/>
      <c r="K62" s="327"/>
      <c r="L62" s="327"/>
      <c r="M62" s="47" t="e">
        <v>#N/A</v>
      </c>
    </row>
    <row r="63">
      <c r="A63" s="328">
        <v>45973.0</v>
      </c>
      <c r="B63" s="47" t="s">
        <v>56</v>
      </c>
      <c r="C63" s="47" t="s">
        <v>57</v>
      </c>
      <c r="D63" s="47" t="s">
        <v>21</v>
      </c>
      <c r="E63" s="47" t="s">
        <v>15</v>
      </c>
      <c r="F63" s="47" t="s">
        <v>16</v>
      </c>
      <c r="G63" s="47" t="s">
        <v>1290</v>
      </c>
      <c r="H63" s="47" t="s">
        <v>143</v>
      </c>
      <c r="I63" s="47" t="s">
        <v>62</v>
      </c>
      <c r="J63" s="47" t="s">
        <v>66</v>
      </c>
      <c r="K63" s="327"/>
      <c r="L63" s="47" t="s">
        <v>144</v>
      </c>
      <c r="M63" s="47" t="e">
        <v>#N/A</v>
      </c>
    </row>
    <row r="64">
      <c r="A64" s="328">
        <v>45973.0</v>
      </c>
      <c r="B64" s="47" t="s">
        <v>56</v>
      </c>
      <c r="C64" s="47" t="s">
        <v>36</v>
      </c>
      <c r="D64" s="47" t="s">
        <v>44</v>
      </c>
      <c r="E64" s="47" t="s">
        <v>15</v>
      </c>
      <c r="F64" s="47" t="s">
        <v>16</v>
      </c>
      <c r="G64" s="47" t="s">
        <v>145</v>
      </c>
      <c r="H64" s="47" t="s">
        <v>61</v>
      </c>
      <c r="I64" s="47" t="s">
        <v>66</v>
      </c>
      <c r="J64" s="327"/>
      <c r="K64" s="47" t="s">
        <v>146</v>
      </c>
      <c r="L64" s="47" t="s">
        <v>71</v>
      </c>
      <c r="M64" s="47" t="e">
        <v>#N/A</v>
      </c>
    </row>
    <row r="65">
      <c r="A65" s="328">
        <v>45973.0</v>
      </c>
      <c r="B65" s="47" t="s">
        <v>56</v>
      </c>
      <c r="C65" s="47" t="s">
        <v>36</v>
      </c>
      <c r="D65" s="47" t="s">
        <v>27</v>
      </c>
      <c r="E65" s="47" t="s">
        <v>22</v>
      </c>
      <c r="F65" s="47" t="s">
        <v>16</v>
      </c>
      <c r="G65" s="47" t="s">
        <v>147</v>
      </c>
      <c r="H65" s="47" t="s">
        <v>61</v>
      </c>
      <c r="I65" s="47" t="s">
        <v>66</v>
      </c>
      <c r="J65" s="327"/>
      <c r="K65" s="47" t="s">
        <v>146</v>
      </c>
      <c r="L65" s="47" t="s">
        <v>71</v>
      </c>
      <c r="M65" s="47" t="e">
        <v>#N/A</v>
      </c>
    </row>
    <row r="66">
      <c r="A66" s="328">
        <v>45967.0</v>
      </c>
      <c r="B66" s="47" t="s">
        <v>56</v>
      </c>
      <c r="C66" s="47" t="s">
        <v>13</v>
      </c>
      <c r="D66" s="47" t="s">
        <v>27</v>
      </c>
      <c r="E66" s="47" t="s">
        <v>15</v>
      </c>
      <c r="F66" s="47" t="s">
        <v>86</v>
      </c>
      <c r="G66" s="47" t="s">
        <v>1291</v>
      </c>
      <c r="H66" s="47" t="s">
        <v>97</v>
      </c>
      <c r="I66" s="47" t="s">
        <v>62</v>
      </c>
      <c r="J66" s="327"/>
      <c r="K66" s="327"/>
      <c r="L66" s="47" t="s">
        <v>71</v>
      </c>
      <c r="M66" s="47" t="e">
        <v>#N/A</v>
      </c>
    </row>
    <row r="67">
      <c r="A67" s="328">
        <v>45964.0</v>
      </c>
      <c r="B67" s="47" t="s">
        <v>56</v>
      </c>
      <c r="C67" s="47" t="s">
        <v>57</v>
      </c>
      <c r="D67" s="47" t="s">
        <v>77</v>
      </c>
      <c r="E67" s="47" t="s">
        <v>15</v>
      </c>
      <c r="F67" s="47" t="s">
        <v>16</v>
      </c>
      <c r="G67" s="47" t="s">
        <v>149</v>
      </c>
      <c r="H67" s="327"/>
      <c r="I67" s="47" t="s">
        <v>127</v>
      </c>
      <c r="J67" s="47" t="s">
        <v>66</v>
      </c>
      <c r="K67" s="327"/>
      <c r="L67" s="47" t="s">
        <v>71</v>
      </c>
      <c r="M67" s="47" t="e">
        <v>#N/A</v>
      </c>
    </row>
    <row r="68">
      <c r="A68" s="328">
        <v>45950.0</v>
      </c>
      <c r="B68" s="47" t="s">
        <v>75</v>
      </c>
      <c r="C68" s="47" t="s">
        <v>33</v>
      </c>
      <c r="D68" s="47" t="s">
        <v>77</v>
      </c>
      <c r="E68" s="47" t="s">
        <v>22</v>
      </c>
      <c r="F68" s="47" t="s">
        <v>16</v>
      </c>
      <c r="G68" s="47" t="s">
        <v>150</v>
      </c>
      <c r="H68" s="327"/>
      <c r="I68" s="47" t="s">
        <v>151</v>
      </c>
      <c r="J68" s="327"/>
      <c r="K68" s="327"/>
      <c r="L68" s="47" t="s">
        <v>63</v>
      </c>
      <c r="M68" s="47" t="e">
        <v>#N/A</v>
      </c>
    </row>
    <row r="69">
      <c r="A69" s="328">
        <v>46027.0</v>
      </c>
      <c r="B69" s="47" t="s">
        <v>25</v>
      </c>
      <c r="C69" s="47" t="s">
        <v>72</v>
      </c>
      <c r="D69" s="47" t="s">
        <v>14</v>
      </c>
      <c r="E69" s="47" t="s">
        <v>15</v>
      </c>
      <c r="F69" s="47" t="s">
        <v>86</v>
      </c>
      <c r="G69" s="47" t="s">
        <v>152</v>
      </c>
      <c r="H69" s="47" t="s">
        <v>97</v>
      </c>
      <c r="I69" s="47" t="s">
        <v>74</v>
      </c>
      <c r="J69" s="47" t="s">
        <v>67</v>
      </c>
      <c r="K69" s="47" t="s">
        <v>153</v>
      </c>
      <c r="L69" s="47" t="s">
        <v>71</v>
      </c>
      <c r="M69" s="47" t="e">
        <v>#N/A</v>
      </c>
    </row>
    <row r="70">
      <c r="A70" s="328">
        <v>45985.0</v>
      </c>
      <c r="B70" s="47" t="s">
        <v>25</v>
      </c>
      <c r="C70" s="47" t="s">
        <v>36</v>
      </c>
      <c r="D70" s="47" t="s">
        <v>27</v>
      </c>
      <c r="E70" s="47" t="s">
        <v>22</v>
      </c>
      <c r="F70" s="47" t="s">
        <v>16</v>
      </c>
      <c r="G70" s="47" t="s">
        <v>154</v>
      </c>
      <c r="H70" s="47" t="s">
        <v>61</v>
      </c>
      <c r="I70" s="47" t="s">
        <v>66</v>
      </c>
      <c r="J70" s="327"/>
      <c r="K70" s="327"/>
      <c r="L70" s="47" t="s">
        <v>71</v>
      </c>
      <c r="M70" s="47" t="e">
        <v>#N/A</v>
      </c>
    </row>
    <row r="71">
      <c r="A71" s="328">
        <v>45951.0</v>
      </c>
      <c r="B71" s="47" t="s">
        <v>43</v>
      </c>
      <c r="C71" s="47" t="s">
        <v>94</v>
      </c>
      <c r="D71" s="47" t="s">
        <v>27</v>
      </c>
      <c r="E71" s="47" t="s">
        <v>15</v>
      </c>
      <c r="F71" s="47" t="s">
        <v>16</v>
      </c>
      <c r="G71" s="47" t="s">
        <v>155</v>
      </c>
      <c r="H71" s="47" t="s">
        <v>61</v>
      </c>
      <c r="I71" s="47" t="s">
        <v>70</v>
      </c>
      <c r="J71" s="327"/>
      <c r="K71" s="327"/>
      <c r="L71" s="47" t="s">
        <v>63</v>
      </c>
      <c r="M71" s="47" t="e">
        <v>#N/A</v>
      </c>
    </row>
    <row r="72">
      <c r="A72" s="328">
        <v>45941.0</v>
      </c>
      <c r="B72" s="47" t="s">
        <v>43</v>
      </c>
      <c r="C72" s="47" t="s">
        <v>36</v>
      </c>
      <c r="D72" s="47" t="s">
        <v>27</v>
      </c>
      <c r="E72" s="47" t="s">
        <v>22</v>
      </c>
      <c r="F72" s="47" t="s">
        <v>16</v>
      </c>
      <c r="G72" s="47" t="s">
        <v>156</v>
      </c>
      <c r="H72" s="47" t="s">
        <v>61</v>
      </c>
      <c r="I72" s="47" t="s">
        <v>66</v>
      </c>
      <c r="J72" s="327"/>
      <c r="K72" s="47" t="s">
        <v>1292</v>
      </c>
      <c r="L72" s="47" t="s">
        <v>71</v>
      </c>
      <c r="M72" s="47" t="e">
        <v>#N/A</v>
      </c>
    </row>
    <row r="73">
      <c r="A73" s="328">
        <v>45925.0</v>
      </c>
      <c r="B73" s="47" t="s">
        <v>43</v>
      </c>
      <c r="C73" s="47" t="s">
        <v>20</v>
      </c>
      <c r="D73" s="47" t="s">
        <v>27</v>
      </c>
      <c r="E73" s="47" t="s">
        <v>22</v>
      </c>
      <c r="F73" s="47" t="s">
        <v>16</v>
      </c>
      <c r="G73" s="47" t="s">
        <v>158</v>
      </c>
      <c r="H73" s="47" t="s">
        <v>61</v>
      </c>
      <c r="I73" s="47" t="s">
        <v>67</v>
      </c>
      <c r="J73" s="47" t="s">
        <v>66</v>
      </c>
      <c r="K73" s="47" t="s">
        <v>159</v>
      </c>
      <c r="L73" s="47" t="s">
        <v>71</v>
      </c>
      <c r="M73" s="47" t="e">
        <v>#N/A</v>
      </c>
    </row>
    <row r="74">
      <c r="A74" s="328">
        <v>45941.0</v>
      </c>
      <c r="B74" s="47" t="s">
        <v>43</v>
      </c>
      <c r="C74" s="47" t="s">
        <v>76</v>
      </c>
      <c r="D74" s="47" t="s">
        <v>27</v>
      </c>
      <c r="E74" s="47" t="s">
        <v>15</v>
      </c>
      <c r="F74" s="47" t="s">
        <v>16</v>
      </c>
      <c r="G74" s="47" t="s">
        <v>1293</v>
      </c>
      <c r="H74" s="47" t="s">
        <v>61</v>
      </c>
      <c r="I74" s="47" t="s">
        <v>79</v>
      </c>
      <c r="J74" s="327"/>
      <c r="K74" s="327"/>
      <c r="L74" s="47" t="s">
        <v>71</v>
      </c>
      <c r="M74" s="47" t="e">
        <v>#N/A</v>
      </c>
    </row>
    <row r="75">
      <c r="A75" s="328">
        <v>45941.0</v>
      </c>
      <c r="B75" s="47" t="s">
        <v>43</v>
      </c>
      <c r="C75" s="47" t="s">
        <v>49</v>
      </c>
      <c r="D75" s="47" t="s">
        <v>44</v>
      </c>
      <c r="E75" s="47" t="s">
        <v>15</v>
      </c>
      <c r="F75" s="47" t="s">
        <v>16</v>
      </c>
      <c r="G75" s="47" t="s">
        <v>161</v>
      </c>
      <c r="H75" s="327"/>
      <c r="I75" s="47" t="s">
        <v>115</v>
      </c>
      <c r="J75" s="327"/>
      <c r="K75" s="327"/>
      <c r="L75" s="47" t="s">
        <v>162</v>
      </c>
      <c r="M75" s="47" t="e">
        <v>#N/A</v>
      </c>
    </row>
    <row r="76">
      <c r="A76" s="328">
        <v>45940.0</v>
      </c>
      <c r="B76" s="47" t="s">
        <v>56</v>
      </c>
      <c r="C76" s="47" t="s">
        <v>36</v>
      </c>
      <c r="D76" s="47" t="s">
        <v>27</v>
      </c>
      <c r="E76" s="47" t="s">
        <v>64</v>
      </c>
      <c r="F76" s="47" t="s">
        <v>16</v>
      </c>
      <c r="G76" s="47" t="s">
        <v>163</v>
      </c>
      <c r="H76" s="327"/>
      <c r="I76" s="47" t="s">
        <v>66</v>
      </c>
      <c r="J76" s="327"/>
      <c r="K76" s="327"/>
      <c r="L76" s="47" t="s">
        <v>71</v>
      </c>
      <c r="M76" s="47" t="e">
        <v>#N/A</v>
      </c>
    </row>
    <row r="77">
      <c r="A77" s="328">
        <v>45925.0</v>
      </c>
      <c r="B77" s="47" t="s">
        <v>56</v>
      </c>
      <c r="C77" s="47" t="s">
        <v>20</v>
      </c>
      <c r="D77" s="47" t="s">
        <v>27</v>
      </c>
      <c r="E77" s="47" t="s">
        <v>64</v>
      </c>
      <c r="F77" s="47" t="s">
        <v>64</v>
      </c>
      <c r="G77" s="47" t="s">
        <v>164</v>
      </c>
      <c r="H77" s="327"/>
      <c r="I77" s="47" t="s">
        <v>66</v>
      </c>
      <c r="J77" s="327"/>
      <c r="K77" s="327"/>
      <c r="L77" s="47" t="s">
        <v>68</v>
      </c>
      <c r="M77" s="47" t="e">
        <v>#N/A</v>
      </c>
    </row>
    <row r="78">
      <c r="A78" s="328">
        <v>45901.0</v>
      </c>
      <c r="B78" s="47" t="s">
        <v>56</v>
      </c>
      <c r="C78" s="47" t="s">
        <v>49</v>
      </c>
      <c r="D78" s="47" t="s">
        <v>58</v>
      </c>
      <c r="E78" s="47" t="s">
        <v>15</v>
      </c>
      <c r="F78" s="47" t="s">
        <v>16</v>
      </c>
      <c r="G78" s="47" t="s">
        <v>1294</v>
      </c>
      <c r="H78" s="327"/>
      <c r="I78" s="47" t="s">
        <v>115</v>
      </c>
      <c r="J78" s="327"/>
      <c r="K78" s="47" t="s">
        <v>166</v>
      </c>
      <c r="L78" s="47" t="s">
        <v>167</v>
      </c>
      <c r="M78" s="47" t="e">
        <v>#N/A</v>
      </c>
    </row>
    <row r="79">
      <c r="A79" s="328">
        <v>45916.0</v>
      </c>
      <c r="B79" s="47" t="s">
        <v>56</v>
      </c>
      <c r="C79" s="47" t="s">
        <v>36</v>
      </c>
      <c r="D79" s="47" t="s">
        <v>44</v>
      </c>
      <c r="E79" s="47" t="s">
        <v>22</v>
      </c>
      <c r="F79" s="47" t="s">
        <v>16</v>
      </c>
      <c r="G79" s="47" t="s">
        <v>168</v>
      </c>
      <c r="H79" s="47" t="s">
        <v>61</v>
      </c>
      <c r="I79" s="47" t="s">
        <v>66</v>
      </c>
      <c r="J79" s="327"/>
      <c r="K79" s="327"/>
      <c r="L79" s="47" t="s">
        <v>71</v>
      </c>
      <c r="M79" s="47" t="e">
        <v>#N/A</v>
      </c>
    </row>
    <row r="80">
      <c r="A80" s="328">
        <v>45873.0</v>
      </c>
      <c r="B80" s="47" t="s">
        <v>56</v>
      </c>
      <c r="C80" s="47" t="s">
        <v>36</v>
      </c>
      <c r="D80" s="47" t="s">
        <v>27</v>
      </c>
      <c r="E80" s="47" t="s">
        <v>64</v>
      </c>
      <c r="F80" s="47" t="s">
        <v>16</v>
      </c>
      <c r="G80" s="47" t="s">
        <v>169</v>
      </c>
      <c r="H80" s="47" t="s">
        <v>61</v>
      </c>
      <c r="I80" s="47" t="s">
        <v>66</v>
      </c>
      <c r="J80" s="47" t="s">
        <v>79</v>
      </c>
      <c r="K80" s="327"/>
      <c r="L80" s="47" t="s">
        <v>71</v>
      </c>
      <c r="M80" s="47" t="e">
        <v>#N/A</v>
      </c>
    </row>
    <row r="81">
      <c r="A81" s="328">
        <v>45873.0</v>
      </c>
      <c r="B81" s="47" t="s">
        <v>121</v>
      </c>
      <c r="C81" s="47" t="s">
        <v>57</v>
      </c>
      <c r="D81" s="47" t="s">
        <v>81</v>
      </c>
      <c r="E81" s="47" t="s">
        <v>15</v>
      </c>
      <c r="F81" s="47" t="s">
        <v>16</v>
      </c>
      <c r="G81" s="47" t="s">
        <v>170</v>
      </c>
      <c r="H81" s="327"/>
      <c r="I81" s="47" t="s">
        <v>62</v>
      </c>
      <c r="J81" s="47" t="s">
        <v>66</v>
      </c>
      <c r="K81" s="327"/>
      <c r="L81" s="47" t="s">
        <v>68</v>
      </c>
      <c r="M81" s="47" t="e">
        <v>#N/A</v>
      </c>
    </row>
    <row r="82">
      <c r="A82" s="328">
        <v>45873.0</v>
      </c>
      <c r="B82" s="47" t="s">
        <v>121</v>
      </c>
      <c r="C82" s="47" t="s">
        <v>57</v>
      </c>
      <c r="D82" s="47" t="s">
        <v>81</v>
      </c>
      <c r="E82" s="47" t="s">
        <v>22</v>
      </c>
      <c r="F82" s="47" t="s">
        <v>16</v>
      </c>
      <c r="G82" s="47" t="s">
        <v>171</v>
      </c>
      <c r="H82" s="47" t="s">
        <v>61</v>
      </c>
      <c r="I82" s="47" t="s">
        <v>62</v>
      </c>
      <c r="J82" s="47" t="s">
        <v>66</v>
      </c>
      <c r="K82" s="327"/>
      <c r="L82" s="47" t="s">
        <v>68</v>
      </c>
      <c r="M82" s="47" t="e">
        <v>#N/A</v>
      </c>
    </row>
    <row r="83">
      <c r="A83" s="328">
        <v>45972.0</v>
      </c>
      <c r="B83" s="47" t="s">
        <v>172</v>
      </c>
      <c r="C83" s="47" t="s">
        <v>36</v>
      </c>
      <c r="D83" s="47" t="s">
        <v>14</v>
      </c>
      <c r="E83" s="47" t="s">
        <v>64</v>
      </c>
      <c r="F83" s="47" t="s">
        <v>64</v>
      </c>
      <c r="G83" s="47" t="s">
        <v>173</v>
      </c>
      <c r="H83" s="327"/>
      <c r="I83" s="47" t="s">
        <v>66</v>
      </c>
      <c r="J83" s="327"/>
      <c r="K83" s="327"/>
      <c r="L83" s="327"/>
      <c r="M83" s="47" t="e">
        <v>#N/A</v>
      </c>
    </row>
    <row r="84">
      <c r="A84" s="328">
        <v>45972.0</v>
      </c>
      <c r="B84" s="47" t="s">
        <v>172</v>
      </c>
      <c r="C84" s="47" t="s">
        <v>36</v>
      </c>
      <c r="D84" s="47" t="s">
        <v>14</v>
      </c>
      <c r="E84" s="47" t="s">
        <v>64</v>
      </c>
      <c r="F84" s="47" t="s">
        <v>59</v>
      </c>
      <c r="G84" s="47" t="s">
        <v>174</v>
      </c>
      <c r="H84" s="47" t="s">
        <v>61</v>
      </c>
      <c r="I84" s="47" t="s">
        <v>66</v>
      </c>
      <c r="J84" s="327"/>
      <c r="K84" s="327"/>
      <c r="L84" s="327"/>
      <c r="M84" s="47" t="e">
        <v>#N/A</v>
      </c>
    </row>
    <row r="85">
      <c r="A85" s="328">
        <v>45928.0</v>
      </c>
      <c r="B85" s="47" t="s">
        <v>25</v>
      </c>
      <c r="C85" s="47" t="s">
        <v>36</v>
      </c>
      <c r="D85" s="47" t="s">
        <v>89</v>
      </c>
      <c r="E85" s="47" t="s">
        <v>64</v>
      </c>
      <c r="F85" s="47" t="s">
        <v>64</v>
      </c>
      <c r="G85" s="47" t="s">
        <v>175</v>
      </c>
      <c r="H85" s="47" t="s">
        <v>61</v>
      </c>
      <c r="I85" s="47" t="s">
        <v>66</v>
      </c>
      <c r="J85" s="47" t="s">
        <v>70</v>
      </c>
      <c r="K85" s="327"/>
      <c r="L85" s="327"/>
      <c r="M85" s="47" t="e">
        <v>#N/A</v>
      </c>
    </row>
    <row r="86">
      <c r="A86" s="328">
        <v>45926.0</v>
      </c>
      <c r="B86" s="47" t="s">
        <v>25</v>
      </c>
      <c r="C86" s="47" t="s">
        <v>36</v>
      </c>
      <c r="D86" s="47" t="s">
        <v>14</v>
      </c>
      <c r="E86" s="47" t="s">
        <v>64</v>
      </c>
      <c r="F86" s="47" t="s">
        <v>64</v>
      </c>
      <c r="G86" s="47" t="s">
        <v>176</v>
      </c>
      <c r="H86" s="47" t="s">
        <v>61</v>
      </c>
      <c r="I86" s="47" t="s">
        <v>66</v>
      </c>
      <c r="J86" s="327"/>
      <c r="K86" s="327"/>
      <c r="L86" s="327"/>
      <c r="M86" s="47" t="e">
        <v>#N/A</v>
      </c>
    </row>
    <row r="87">
      <c r="A87" s="328">
        <v>45912.0</v>
      </c>
      <c r="B87" s="47" t="s">
        <v>25</v>
      </c>
      <c r="C87" s="47" t="s">
        <v>83</v>
      </c>
      <c r="D87" s="47" t="s">
        <v>27</v>
      </c>
      <c r="E87" s="47" t="s">
        <v>15</v>
      </c>
      <c r="F87" s="47" t="s">
        <v>86</v>
      </c>
      <c r="G87" s="47" t="s">
        <v>177</v>
      </c>
      <c r="H87" s="47" t="s">
        <v>61</v>
      </c>
      <c r="I87" s="47" t="s">
        <v>66</v>
      </c>
      <c r="J87" s="327"/>
      <c r="K87" s="327"/>
      <c r="L87" s="327"/>
      <c r="M87" s="47" t="e">
        <v>#N/A</v>
      </c>
    </row>
    <row r="88">
      <c r="A88" s="328">
        <v>45908.0</v>
      </c>
      <c r="B88" s="47" t="s">
        <v>25</v>
      </c>
      <c r="C88" s="47" t="s">
        <v>26</v>
      </c>
      <c r="D88" s="47" t="s">
        <v>58</v>
      </c>
      <c r="E88" s="47" t="s">
        <v>46</v>
      </c>
      <c r="F88" s="47" t="s">
        <v>59</v>
      </c>
      <c r="G88" s="47" t="s">
        <v>178</v>
      </c>
      <c r="H88" s="47" t="s">
        <v>61</v>
      </c>
      <c r="I88" s="47" t="s">
        <v>70</v>
      </c>
      <c r="J88" s="327"/>
      <c r="K88" s="327"/>
      <c r="L88" s="327"/>
      <c r="M88" s="47" t="e">
        <v>#N/A</v>
      </c>
    </row>
    <row r="89">
      <c r="A89" s="328">
        <v>45880.0</v>
      </c>
      <c r="B89" s="47" t="s">
        <v>19</v>
      </c>
      <c r="C89" s="47" t="s">
        <v>76</v>
      </c>
      <c r="D89" s="47" t="s">
        <v>27</v>
      </c>
      <c r="E89" s="47" t="s">
        <v>22</v>
      </c>
      <c r="F89" s="47" t="s">
        <v>86</v>
      </c>
      <c r="G89" s="47" t="s">
        <v>179</v>
      </c>
      <c r="H89" s="47" t="s">
        <v>61</v>
      </c>
      <c r="I89" s="47" t="s">
        <v>79</v>
      </c>
      <c r="J89" s="327"/>
      <c r="K89" s="327"/>
      <c r="L89" s="327"/>
      <c r="M89" s="47" t="e">
        <v>#N/A</v>
      </c>
    </row>
    <row r="90">
      <c r="A90" s="328">
        <v>45876.0</v>
      </c>
      <c r="B90" s="47" t="s">
        <v>19</v>
      </c>
      <c r="C90" s="47" t="s">
        <v>49</v>
      </c>
      <c r="D90" s="47" t="s">
        <v>44</v>
      </c>
      <c r="E90" s="47" t="s">
        <v>22</v>
      </c>
      <c r="F90" s="47" t="s">
        <v>86</v>
      </c>
      <c r="G90" s="47" t="s">
        <v>180</v>
      </c>
      <c r="H90" s="327"/>
      <c r="I90" s="47" t="s">
        <v>115</v>
      </c>
      <c r="J90" s="327"/>
      <c r="K90" s="327"/>
      <c r="L90" s="327"/>
      <c r="M90" s="47" t="e">
        <v>#N/A</v>
      </c>
    </row>
    <row r="91">
      <c r="A91" s="328">
        <v>45876.0</v>
      </c>
      <c r="B91" s="47" t="s">
        <v>19</v>
      </c>
      <c r="C91" s="47" t="s">
        <v>49</v>
      </c>
      <c r="D91" s="47" t="s">
        <v>27</v>
      </c>
      <c r="E91" s="47" t="s">
        <v>15</v>
      </c>
      <c r="F91" s="47" t="s">
        <v>86</v>
      </c>
      <c r="G91" s="47" t="s">
        <v>181</v>
      </c>
      <c r="H91" s="327"/>
      <c r="I91" s="327"/>
      <c r="J91" s="327"/>
      <c r="K91" s="327"/>
      <c r="L91" s="327"/>
      <c r="M91" s="47" t="e">
        <v>#N/A</v>
      </c>
    </row>
    <row r="92">
      <c r="A92" s="328">
        <v>45876.0</v>
      </c>
      <c r="B92" s="47" t="s">
        <v>19</v>
      </c>
      <c r="C92" s="47" t="s">
        <v>20</v>
      </c>
      <c r="D92" s="47" t="s">
        <v>58</v>
      </c>
      <c r="E92" s="47" t="s">
        <v>15</v>
      </c>
      <c r="F92" s="47" t="s">
        <v>86</v>
      </c>
      <c r="G92" s="47" t="s">
        <v>182</v>
      </c>
      <c r="H92" s="47" t="s">
        <v>61</v>
      </c>
      <c r="I92" s="47" t="s">
        <v>67</v>
      </c>
      <c r="J92" s="327"/>
      <c r="K92" s="327"/>
      <c r="L92" s="327"/>
      <c r="M92" s="47" t="e">
        <v>#N/A</v>
      </c>
    </row>
    <row r="93">
      <c r="A93" s="328">
        <v>45873.0</v>
      </c>
      <c r="B93" s="47" t="s">
        <v>19</v>
      </c>
      <c r="C93" s="47" t="s">
        <v>83</v>
      </c>
      <c r="D93" s="47" t="s">
        <v>27</v>
      </c>
      <c r="E93" s="47" t="s">
        <v>22</v>
      </c>
      <c r="F93" s="47" t="s">
        <v>86</v>
      </c>
      <c r="G93" s="47" t="s">
        <v>183</v>
      </c>
      <c r="H93" s="47" t="s">
        <v>61</v>
      </c>
      <c r="I93" s="47" t="s">
        <v>66</v>
      </c>
      <c r="J93" s="327"/>
      <c r="K93" s="47" t="s">
        <v>184</v>
      </c>
      <c r="L93" s="327"/>
      <c r="M93" s="47" t="e">
        <v>#N/A</v>
      </c>
    </row>
    <row r="94">
      <c r="A94" s="328">
        <v>45873.0</v>
      </c>
      <c r="B94" s="47" t="s">
        <v>19</v>
      </c>
      <c r="C94" s="47" t="s">
        <v>83</v>
      </c>
      <c r="D94" s="47" t="s">
        <v>27</v>
      </c>
      <c r="E94" s="47" t="s">
        <v>22</v>
      </c>
      <c r="F94" s="47" t="s">
        <v>16</v>
      </c>
      <c r="G94" s="47" t="s">
        <v>185</v>
      </c>
      <c r="H94" s="327"/>
      <c r="I94" s="47" t="s">
        <v>66</v>
      </c>
      <c r="J94" s="327"/>
      <c r="K94" s="327"/>
      <c r="L94" s="47" t="s">
        <v>71</v>
      </c>
      <c r="M94" s="47" t="e">
        <v>#N/A</v>
      </c>
    </row>
    <row r="95">
      <c r="A95" s="328">
        <v>45866.0</v>
      </c>
      <c r="B95" s="47" t="s">
        <v>43</v>
      </c>
      <c r="C95" s="47" t="s">
        <v>83</v>
      </c>
      <c r="D95" s="47" t="s">
        <v>58</v>
      </c>
      <c r="E95" s="47" t="s">
        <v>22</v>
      </c>
      <c r="F95" s="47" t="s">
        <v>59</v>
      </c>
      <c r="G95" s="47" t="s">
        <v>186</v>
      </c>
      <c r="H95" s="327"/>
      <c r="I95" s="327"/>
      <c r="J95" s="327"/>
      <c r="K95" s="327"/>
      <c r="L95" s="327"/>
      <c r="M95" s="47" t="e">
        <v>#N/A</v>
      </c>
    </row>
    <row r="96">
      <c r="A96" s="328">
        <v>45866.0</v>
      </c>
      <c r="B96" s="47" t="s">
        <v>43</v>
      </c>
      <c r="C96" s="47" t="s">
        <v>36</v>
      </c>
      <c r="D96" s="47" t="s">
        <v>21</v>
      </c>
      <c r="E96" s="47" t="s">
        <v>15</v>
      </c>
      <c r="F96" s="47" t="s">
        <v>59</v>
      </c>
      <c r="G96" s="47" t="s">
        <v>1295</v>
      </c>
      <c r="H96" s="327"/>
      <c r="I96" s="47" t="s">
        <v>66</v>
      </c>
      <c r="J96" s="327"/>
      <c r="K96" s="47" t="s">
        <v>188</v>
      </c>
      <c r="L96" s="327"/>
      <c r="M96" s="47" t="e">
        <v>#N/A</v>
      </c>
    </row>
    <row r="97">
      <c r="A97" s="328">
        <v>45861.0</v>
      </c>
      <c r="B97" s="47" t="s">
        <v>43</v>
      </c>
      <c r="C97" s="47" t="s">
        <v>30</v>
      </c>
      <c r="D97" s="47" t="s">
        <v>58</v>
      </c>
      <c r="E97" s="47" t="s">
        <v>22</v>
      </c>
      <c r="F97" s="47" t="s">
        <v>86</v>
      </c>
      <c r="G97" s="47" t="s">
        <v>189</v>
      </c>
      <c r="H97" s="47" t="s">
        <v>61</v>
      </c>
      <c r="I97" s="47" t="s">
        <v>127</v>
      </c>
      <c r="J97" s="327"/>
      <c r="K97" s="327"/>
      <c r="L97" s="327"/>
      <c r="M97" s="47" t="e">
        <v>#N/A</v>
      </c>
    </row>
    <row r="98">
      <c r="A98" s="328">
        <v>45861.0</v>
      </c>
      <c r="B98" s="47" t="s">
        <v>43</v>
      </c>
      <c r="C98" s="47" t="s">
        <v>13</v>
      </c>
      <c r="D98" s="47" t="s">
        <v>21</v>
      </c>
      <c r="E98" s="47" t="s">
        <v>46</v>
      </c>
      <c r="F98" s="47" t="s">
        <v>59</v>
      </c>
      <c r="G98" s="47" t="s">
        <v>190</v>
      </c>
      <c r="H98" s="47" t="s">
        <v>61</v>
      </c>
      <c r="I98" s="327"/>
      <c r="J98" s="327"/>
      <c r="K98" s="47" t="s">
        <v>188</v>
      </c>
      <c r="L98" s="327"/>
      <c r="M98" s="47" t="e">
        <v>#N/A</v>
      </c>
    </row>
    <row r="99">
      <c r="A99" s="328">
        <v>45857.0</v>
      </c>
      <c r="B99" s="47" t="s">
        <v>43</v>
      </c>
      <c r="C99" s="47" t="s">
        <v>57</v>
      </c>
      <c r="D99" s="47" t="s">
        <v>21</v>
      </c>
      <c r="E99" s="47" t="s">
        <v>46</v>
      </c>
      <c r="F99" s="47" t="s">
        <v>59</v>
      </c>
      <c r="G99" s="47" t="s">
        <v>191</v>
      </c>
      <c r="H99" s="47" t="s">
        <v>61</v>
      </c>
      <c r="I99" s="47" t="s">
        <v>62</v>
      </c>
      <c r="J99" s="327"/>
      <c r="K99" s="327"/>
      <c r="L99" s="327"/>
      <c r="M99" s="47" t="e">
        <v>#N/A</v>
      </c>
    </row>
    <row r="100">
      <c r="A100" s="328">
        <v>45857.0</v>
      </c>
      <c r="B100" s="47" t="s">
        <v>43</v>
      </c>
      <c r="C100" s="47" t="s">
        <v>57</v>
      </c>
      <c r="D100" s="47" t="s">
        <v>21</v>
      </c>
      <c r="E100" s="47" t="s">
        <v>46</v>
      </c>
      <c r="F100" s="47" t="s">
        <v>59</v>
      </c>
      <c r="G100" s="47" t="s">
        <v>192</v>
      </c>
      <c r="H100" s="47" t="s">
        <v>61</v>
      </c>
      <c r="I100" s="47" t="s">
        <v>62</v>
      </c>
      <c r="J100" s="47" t="s">
        <v>115</v>
      </c>
      <c r="K100" s="327"/>
      <c r="L100" s="327"/>
      <c r="M100" s="47" t="e">
        <v>#N/A</v>
      </c>
    </row>
    <row r="101">
      <c r="A101" s="328">
        <v>45855.0</v>
      </c>
      <c r="B101" s="47" t="s">
        <v>43</v>
      </c>
      <c r="C101" s="47" t="s">
        <v>83</v>
      </c>
      <c r="D101" s="47" t="s">
        <v>21</v>
      </c>
      <c r="E101" s="47" t="s">
        <v>15</v>
      </c>
      <c r="F101" s="47" t="s">
        <v>16</v>
      </c>
      <c r="G101" s="47" t="s">
        <v>193</v>
      </c>
      <c r="H101" s="47" t="s">
        <v>97</v>
      </c>
      <c r="I101" s="47" t="s">
        <v>66</v>
      </c>
      <c r="J101" s="327"/>
      <c r="K101" s="47" t="s">
        <v>194</v>
      </c>
      <c r="L101" s="47" t="s">
        <v>71</v>
      </c>
      <c r="M101" s="47" t="e">
        <v>#N/A</v>
      </c>
    </row>
    <row r="102">
      <c r="A102" s="328">
        <v>45855.0</v>
      </c>
      <c r="B102" s="47" t="s">
        <v>43</v>
      </c>
      <c r="C102" s="47" t="s">
        <v>83</v>
      </c>
      <c r="D102" s="47" t="s">
        <v>21</v>
      </c>
      <c r="E102" s="47" t="s">
        <v>22</v>
      </c>
      <c r="F102" s="47" t="s">
        <v>16</v>
      </c>
      <c r="G102" s="47" t="s">
        <v>1296</v>
      </c>
      <c r="H102" s="327"/>
      <c r="I102" s="47" t="s">
        <v>66</v>
      </c>
      <c r="J102" s="47" t="s">
        <v>79</v>
      </c>
      <c r="K102" s="47" t="s">
        <v>194</v>
      </c>
      <c r="L102" s="327"/>
      <c r="M102" s="47" t="e">
        <v>#N/A</v>
      </c>
    </row>
    <row r="103">
      <c r="A103" s="328">
        <v>45852.0</v>
      </c>
      <c r="B103" s="47" t="s">
        <v>56</v>
      </c>
      <c r="C103" s="47" t="s">
        <v>30</v>
      </c>
      <c r="D103" s="47" t="s">
        <v>27</v>
      </c>
      <c r="E103" s="47" t="s">
        <v>22</v>
      </c>
      <c r="F103" s="47" t="s">
        <v>86</v>
      </c>
      <c r="G103" s="47" t="s">
        <v>196</v>
      </c>
      <c r="H103" s="47" t="s">
        <v>61</v>
      </c>
      <c r="I103" s="47" t="s">
        <v>127</v>
      </c>
      <c r="J103" s="47" t="s">
        <v>197</v>
      </c>
      <c r="K103" s="327"/>
      <c r="L103" s="327"/>
      <c r="M103" s="47" t="e">
        <v>#N/A</v>
      </c>
    </row>
    <row r="104">
      <c r="A104" s="328">
        <v>45851.0</v>
      </c>
      <c r="B104" s="47" t="s">
        <v>43</v>
      </c>
      <c r="C104" s="47" t="s">
        <v>57</v>
      </c>
      <c r="D104" s="47" t="s">
        <v>44</v>
      </c>
      <c r="E104" s="47" t="s">
        <v>22</v>
      </c>
      <c r="F104" s="47" t="s">
        <v>86</v>
      </c>
      <c r="G104" s="47" t="s">
        <v>198</v>
      </c>
      <c r="H104" s="47" t="s">
        <v>61</v>
      </c>
      <c r="I104" s="47" t="s">
        <v>62</v>
      </c>
      <c r="J104" s="47" t="s">
        <v>66</v>
      </c>
      <c r="K104" s="327"/>
      <c r="L104" s="327"/>
      <c r="M104" s="47" t="e">
        <v>#N/A</v>
      </c>
    </row>
    <row r="105">
      <c r="A105" s="328">
        <v>45849.0</v>
      </c>
      <c r="B105" s="47" t="s">
        <v>43</v>
      </c>
      <c r="C105" s="47" t="s">
        <v>36</v>
      </c>
      <c r="D105" s="47" t="s">
        <v>44</v>
      </c>
      <c r="E105" s="47" t="s">
        <v>22</v>
      </c>
      <c r="F105" s="47" t="s">
        <v>16</v>
      </c>
      <c r="G105" s="47" t="s">
        <v>1297</v>
      </c>
      <c r="H105" s="47" t="s">
        <v>61</v>
      </c>
      <c r="I105" s="47" t="s">
        <v>66</v>
      </c>
      <c r="J105" s="327"/>
      <c r="K105" s="47" t="s">
        <v>1298</v>
      </c>
      <c r="L105" s="327"/>
      <c r="M105" s="47" t="e">
        <v>#N/A</v>
      </c>
    </row>
    <row r="106">
      <c r="A106" s="328">
        <v>45848.0</v>
      </c>
      <c r="B106" s="47" t="s">
        <v>43</v>
      </c>
      <c r="C106" s="47" t="s">
        <v>49</v>
      </c>
      <c r="D106" s="47" t="s">
        <v>27</v>
      </c>
      <c r="E106" s="47" t="s">
        <v>15</v>
      </c>
      <c r="F106" s="47" t="s">
        <v>59</v>
      </c>
      <c r="G106" s="47" t="s">
        <v>201</v>
      </c>
      <c r="H106" s="47" t="s">
        <v>61</v>
      </c>
      <c r="I106" s="47" t="s">
        <v>115</v>
      </c>
      <c r="J106" s="327"/>
      <c r="K106" s="327"/>
      <c r="L106" s="327"/>
      <c r="M106" s="47" t="e">
        <v>#N/A</v>
      </c>
    </row>
    <row r="107">
      <c r="A107" s="328">
        <v>45848.0</v>
      </c>
      <c r="B107" s="47" t="s">
        <v>43</v>
      </c>
      <c r="C107" s="47" t="s">
        <v>49</v>
      </c>
      <c r="D107" s="47" t="s">
        <v>44</v>
      </c>
      <c r="E107" s="47" t="s">
        <v>22</v>
      </c>
      <c r="F107" s="47" t="s">
        <v>59</v>
      </c>
      <c r="G107" s="47" t="s">
        <v>202</v>
      </c>
      <c r="H107" s="47" t="s">
        <v>61</v>
      </c>
      <c r="I107" s="47" t="s">
        <v>115</v>
      </c>
      <c r="J107" s="327"/>
      <c r="K107" s="327"/>
      <c r="L107" s="327"/>
      <c r="M107" s="47" t="e">
        <v>#N/A</v>
      </c>
    </row>
    <row r="108">
      <c r="A108" s="328">
        <v>45846.0</v>
      </c>
      <c r="B108" s="47" t="s">
        <v>43</v>
      </c>
      <c r="C108" s="47" t="s">
        <v>57</v>
      </c>
      <c r="D108" s="47" t="s">
        <v>58</v>
      </c>
      <c r="E108" s="47" t="s">
        <v>46</v>
      </c>
      <c r="F108" s="47" t="s">
        <v>59</v>
      </c>
      <c r="G108" s="47" t="s">
        <v>203</v>
      </c>
      <c r="H108" s="47" t="s">
        <v>61</v>
      </c>
      <c r="I108" s="47" t="s">
        <v>62</v>
      </c>
      <c r="J108" s="47" t="s">
        <v>115</v>
      </c>
      <c r="K108" s="327"/>
      <c r="L108" s="327"/>
      <c r="M108" s="47" t="e">
        <v>#N/A</v>
      </c>
    </row>
    <row r="109">
      <c r="A109" s="328">
        <v>45842.0</v>
      </c>
      <c r="B109" s="47" t="s">
        <v>43</v>
      </c>
      <c r="C109" s="47" t="s">
        <v>83</v>
      </c>
      <c r="D109" s="47" t="s">
        <v>27</v>
      </c>
      <c r="E109" s="47" t="s">
        <v>22</v>
      </c>
      <c r="F109" s="47" t="s">
        <v>86</v>
      </c>
      <c r="G109" s="47" t="s">
        <v>1299</v>
      </c>
      <c r="H109" s="47" t="s">
        <v>61</v>
      </c>
      <c r="I109" s="47" t="s">
        <v>66</v>
      </c>
      <c r="J109" s="327"/>
      <c r="K109" s="327"/>
      <c r="L109" s="47" t="s">
        <v>167</v>
      </c>
      <c r="M109" s="47" t="e">
        <v>#N/A</v>
      </c>
    </row>
    <row r="110">
      <c r="A110" s="328">
        <v>45842.0</v>
      </c>
      <c r="B110" s="47" t="s">
        <v>43</v>
      </c>
      <c r="C110" s="47" t="s">
        <v>83</v>
      </c>
      <c r="D110" s="47" t="s">
        <v>27</v>
      </c>
      <c r="E110" s="47" t="s">
        <v>22</v>
      </c>
      <c r="F110" s="47" t="s">
        <v>86</v>
      </c>
      <c r="G110" s="47" t="s">
        <v>205</v>
      </c>
      <c r="H110" s="47" t="s">
        <v>61</v>
      </c>
      <c r="I110" s="47" t="s">
        <v>66</v>
      </c>
      <c r="J110" s="327"/>
      <c r="K110" s="47" t="s">
        <v>1300</v>
      </c>
      <c r="L110" s="47" t="s">
        <v>167</v>
      </c>
      <c r="M110" s="47" t="e">
        <v>#N/A</v>
      </c>
    </row>
    <row r="111">
      <c r="A111" s="328">
        <v>45842.0</v>
      </c>
      <c r="B111" s="47" t="s">
        <v>43</v>
      </c>
      <c r="C111" s="47" t="s">
        <v>83</v>
      </c>
      <c r="D111" s="47" t="s">
        <v>27</v>
      </c>
      <c r="E111" s="47" t="s">
        <v>15</v>
      </c>
      <c r="F111" s="47" t="s">
        <v>86</v>
      </c>
      <c r="G111" s="47" t="s">
        <v>1301</v>
      </c>
      <c r="H111" s="47" t="s">
        <v>61</v>
      </c>
      <c r="I111" s="47" t="s">
        <v>66</v>
      </c>
      <c r="J111" s="327"/>
      <c r="K111" s="47" t="s">
        <v>208</v>
      </c>
      <c r="L111" s="47" t="s">
        <v>162</v>
      </c>
      <c r="M111" s="47" t="e">
        <v>#N/A</v>
      </c>
    </row>
    <row r="112">
      <c r="A112" s="328">
        <v>45842.0</v>
      </c>
      <c r="B112" s="47" t="s">
        <v>43</v>
      </c>
      <c r="C112" s="47" t="s">
        <v>83</v>
      </c>
      <c r="D112" s="47" t="s">
        <v>27</v>
      </c>
      <c r="E112" s="47" t="s">
        <v>64</v>
      </c>
      <c r="F112" s="47" t="s">
        <v>16</v>
      </c>
      <c r="G112" s="47" t="s">
        <v>209</v>
      </c>
      <c r="H112" s="327"/>
      <c r="I112" s="47" t="s">
        <v>66</v>
      </c>
      <c r="J112" s="327"/>
      <c r="K112" s="327"/>
      <c r="L112" s="47" t="s">
        <v>162</v>
      </c>
      <c r="M112" s="47" t="e">
        <v>#N/A</v>
      </c>
    </row>
    <row r="113">
      <c r="A113" s="328">
        <v>45833.0</v>
      </c>
      <c r="B113" s="47" t="s">
        <v>56</v>
      </c>
      <c r="C113" s="47" t="s">
        <v>83</v>
      </c>
      <c r="D113" s="47" t="s">
        <v>27</v>
      </c>
      <c r="E113" s="47" t="s">
        <v>64</v>
      </c>
      <c r="F113" s="47" t="s">
        <v>16</v>
      </c>
      <c r="G113" s="47" t="s">
        <v>210</v>
      </c>
      <c r="H113" s="47" t="s">
        <v>61</v>
      </c>
      <c r="I113" s="47" t="s">
        <v>66</v>
      </c>
      <c r="J113" s="327"/>
      <c r="K113" s="327"/>
      <c r="L113" s="47" t="s">
        <v>71</v>
      </c>
      <c r="M113" s="47" t="e">
        <v>#N/A</v>
      </c>
    </row>
    <row r="114">
      <c r="A114" s="328">
        <v>45842.0</v>
      </c>
      <c r="B114" s="47" t="s">
        <v>56</v>
      </c>
      <c r="C114" s="47" t="s">
        <v>57</v>
      </c>
      <c r="D114" s="47" t="s">
        <v>81</v>
      </c>
      <c r="E114" s="47" t="s">
        <v>64</v>
      </c>
      <c r="F114" s="47" t="s">
        <v>16</v>
      </c>
      <c r="G114" s="47" t="s">
        <v>211</v>
      </c>
      <c r="H114" s="47" t="s">
        <v>61</v>
      </c>
      <c r="I114" s="47" t="s">
        <v>62</v>
      </c>
      <c r="J114" s="327"/>
      <c r="K114" s="327"/>
      <c r="L114" s="47" t="s">
        <v>71</v>
      </c>
      <c r="M114" s="47" t="e">
        <v>#N/A</v>
      </c>
    </row>
    <row r="115">
      <c r="A115" s="328">
        <v>45840.0</v>
      </c>
      <c r="B115" s="47" t="s">
        <v>56</v>
      </c>
      <c r="C115" s="47" t="s">
        <v>72</v>
      </c>
      <c r="D115" s="47" t="s">
        <v>44</v>
      </c>
      <c r="E115" s="47" t="s">
        <v>64</v>
      </c>
      <c r="F115" s="47" t="s">
        <v>16</v>
      </c>
      <c r="G115" s="47" t="s">
        <v>212</v>
      </c>
      <c r="H115" s="47" t="s">
        <v>61</v>
      </c>
      <c r="I115" s="47" t="s">
        <v>74</v>
      </c>
      <c r="J115" s="327"/>
      <c r="K115" s="327"/>
      <c r="L115" s="327"/>
      <c r="M115" s="47" t="e">
        <v>#N/A</v>
      </c>
    </row>
    <row r="116">
      <c r="A116" s="328">
        <v>45826.0</v>
      </c>
      <c r="B116" s="47" t="s">
        <v>56</v>
      </c>
      <c r="C116" s="47" t="s">
        <v>83</v>
      </c>
      <c r="D116" s="47" t="s">
        <v>44</v>
      </c>
      <c r="E116" s="47" t="s">
        <v>64</v>
      </c>
      <c r="F116" s="47" t="s">
        <v>16</v>
      </c>
      <c r="G116" s="47" t="s">
        <v>213</v>
      </c>
      <c r="H116" s="47" t="s">
        <v>61</v>
      </c>
      <c r="I116" s="47" t="s">
        <v>66</v>
      </c>
      <c r="J116" s="327"/>
      <c r="K116" s="327"/>
      <c r="L116" s="47" t="s">
        <v>71</v>
      </c>
      <c r="M116" s="47" t="e">
        <v>#N/A</v>
      </c>
    </row>
    <row r="117">
      <c r="A117" s="328">
        <v>45824.0</v>
      </c>
      <c r="B117" s="47" t="s">
        <v>56</v>
      </c>
      <c r="C117" s="47" t="s">
        <v>36</v>
      </c>
      <c r="D117" s="47" t="s">
        <v>27</v>
      </c>
      <c r="E117" s="47" t="s">
        <v>64</v>
      </c>
      <c r="F117" s="47" t="s">
        <v>16</v>
      </c>
      <c r="G117" s="47" t="s">
        <v>214</v>
      </c>
      <c r="H117" s="47" t="s">
        <v>215</v>
      </c>
      <c r="I117" s="47" t="s">
        <v>66</v>
      </c>
      <c r="J117" s="327"/>
      <c r="K117" s="327"/>
      <c r="L117" s="47" t="s">
        <v>71</v>
      </c>
      <c r="M117" s="47" t="e">
        <v>#N/A</v>
      </c>
    </row>
    <row r="118">
      <c r="A118" s="328">
        <v>45819.0</v>
      </c>
      <c r="B118" s="47" t="s">
        <v>56</v>
      </c>
      <c r="C118" s="47" t="s">
        <v>57</v>
      </c>
      <c r="D118" s="47" t="s">
        <v>58</v>
      </c>
      <c r="E118" s="47" t="s">
        <v>22</v>
      </c>
      <c r="F118" s="47" t="s">
        <v>86</v>
      </c>
      <c r="G118" s="47" t="s">
        <v>1302</v>
      </c>
      <c r="H118" s="327"/>
      <c r="I118" s="47" t="s">
        <v>62</v>
      </c>
      <c r="J118" s="47" t="s">
        <v>115</v>
      </c>
      <c r="K118" s="327"/>
      <c r="L118" s="327"/>
      <c r="M118" s="47" t="e">
        <v>#N/A</v>
      </c>
    </row>
    <row r="119">
      <c r="A119" s="328">
        <v>45818.0</v>
      </c>
      <c r="B119" s="47" t="s">
        <v>56</v>
      </c>
      <c r="C119" s="47" t="s">
        <v>57</v>
      </c>
      <c r="D119" s="47" t="s">
        <v>58</v>
      </c>
      <c r="E119" s="47" t="s">
        <v>22</v>
      </c>
      <c r="F119" s="47" t="s">
        <v>16</v>
      </c>
      <c r="G119" s="47" t="s">
        <v>1303</v>
      </c>
      <c r="H119" s="327"/>
      <c r="I119" s="47" t="s">
        <v>62</v>
      </c>
      <c r="J119" s="47" t="s">
        <v>115</v>
      </c>
      <c r="K119" s="327"/>
      <c r="L119" s="327"/>
      <c r="M119" s="47" t="e">
        <v>#N/A</v>
      </c>
    </row>
    <row r="120">
      <c r="A120" s="328">
        <v>45818.0</v>
      </c>
      <c r="B120" s="47" t="s">
        <v>56</v>
      </c>
      <c r="C120" s="47" t="s">
        <v>57</v>
      </c>
      <c r="D120" s="47" t="s">
        <v>58</v>
      </c>
      <c r="E120" s="47" t="s">
        <v>22</v>
      </c>
      <c r="F120" s="47" t="s">
        <v>16</v>
      </c>
      <c r="G120" s="47" t="s">
        <v>1304</v>
      </c>
      <c r="H120" s="47" t="s">
        <v>61</v>
      </c>
      <c r="I120" s="47" t="s">
        <v>62</v>
      </c>
      <c r="J120" s="327"/>
      <c r="K120" s="327"/>
      <c r="L120" s="327"/>
      <c r="M120" s="47" t="e">
        <v>#N/A</v>
      </c>
    </row>
    <row r="121">
      <c r="A121" s="328">
        <v>45817.0</v>
      </c>
      <c r="B121" s="47" t="s">
        <v>56</v>
      </c>
      <c r="C121" s="47" t="s">
        <v>13</v>
      </c>
      <c r="D121" s="47" t="s">
        <v>27</v>
      </c>
      <c r="E121" s="47" t="s">
        <v>22</v>
      </c>
      <c r="F121" s="47" t="s">
        <v>16</v>
      </c>
      <c r="G121" s="47" t="s">
        <v>1305</v>
      </c>
      <c r="H121" s="327"/>
      <c r="I121" s="47" t="s">
        <v>62</v>
      </c>
      <c r="J121" s="327"/>
      <c r="K121" s="327"/>
      <c r="L121" s="327"/>
      <c r="M121" s="47" t="e">
        <v>#N/A</v>
      </c>
    </row>
    <row r="122">
      <c r="A122" s="328">
        <v>45814.0</v>
      </c>
      <c r="B122" s="47" t="s">
        <v>56</v>
      </c>
      <c r="C122" s="47" t="s">
        <v>76</v>
      </c>
      <c r="D122" s="47" t="s">
        <v>58</v>
      </c>
      <c r="E122" s="47" t="s">
        <v>22</v>
      </c>
      <c r="F122" s="47" t="s">
        <v>16</v>
      </c>
      <c r="G122" s="47" t="s">
        <v>222</v>
      </c>
      <c r="H122" s="327"/>
      <c r="I122" s="47" t="s">
        <v>79</v>
      </c>
      <c r="J122" s="327"/>
      <c r="K122" s="327"/>
      <c r="L122" s="47" t="s">
        <v>71</v>
      </c>
      <c r="M122" s="47" t="e">
        <v>#N/A</v>
      </c>
    </row>
    <row r="123">
      <c r="A123" s="328">
        <v>45814.0</v>
      </c>
      <c r="B123" s="47" t="s">
        <v>56</v>
      </c>
      <c r="C123" s="47" t="s">
        <v>13</v>
      </c>
      <c r="D123" s="47" t="s">
        <v>58</v>
      </c>
      <c r="E123" s="47" t="s">
        <v>22</v>
      </c>
      <c r="F123" s="47" t="s">
        <v>16</v>
      </c>
      <c r="G123" s="47" t="s">
        <v>223</v>
      </c>
      <c r="H123" s="327"/>
      <c r="I123" s="327"/>
      <c r="J123" s="327"/>
      <c r="K123" s="327"/>
      <c r="L123" s="47" t="s">
        <v>71</v>
      </c>
      <c r="M123" s="47" t="e">
        <v>#N/A</v>
      </c>
    </row>
    <row r="124">
      <c r="A124" s="328">
        <v>45814.0</v>
      </c>
      <c r="B124" s="47" t="s">
        <v>56</v>
      </c>
      <c r="C124" s="47" t="s">
        <v>26</v>
      </c>
      <c r="D124" s="47" t="s">
        <v>58</v>
      </c>
      <c r="E124" s="47" t="s">
        <v>22</v>
      </c>
      <c r="F124" s="47" t="s">
        <v>16</v>
      </c>
      <c r="G124" s="47" t="s">
        <v>224</v>
      </c>
      <c r="H124" s="327"/>
      <c r="I124" s="47" t="s">
        <v>66</v>
      </c>
      <c r="J124" s="327"/>
      <c r="K124" s="327"/>
      <c r="L124" s="47" t="s">
        <v>71</v>
      </c>
      <c r="M124" s="47" t="e">
        <v>#N/A</v>
      </c>
    </row>
    <row r="125">
      <c r="A125" s="328">
        <v>45814.0</v>
      </c>
      <c r="B125" s="47" t="s">
        <v>56</v>
      </c>
      <c r="C125" s="47" t="s">
        <v>26</v>
      </c>
      <c r="D125" s="47" t="s">
        <v>58</v>
      </c>
      <c r="E125" s="47" t="s">
        <v>22</v>
      </c>
      <c r="F125" s="47" t="s">
        <v>16</v>
      </c>
      <c r="G125" s="47" t="s">
        <v>225</v>
      </c>
      <c r="H125" s="327"/>
      <c r="I125" s="47" t="s">
        <v>66</v>
      </c>
      <c r="J125" s="327"/>
      <c r="K125" s="327"/>
      <c r="L125" s="47" t="s">
        <v>71</v>
      </c>
      <c r="M125" s="47" t="e">
        <v>#N/A</v>
      </c>
    </row>
    <row r="126">
      <c r="A126" s="328">
        <v>45814.0</v>
      </c>
      <c r="B126" s="47" t="s">
        <v>56</v>
      </c>
      <c r="C126" s="47" t="s">
        <v>26</v>
      </c>
      <c r="D126" s="47" t="s">
        <v>58</v>
      </c>
      <c r="E126" s="47" t="s">
        <v>22</v>
      </c>
      <c r="F126" s="47" t="s">
        <v>16</v>
      </c>
      <c r="G126" s="47" t="s">
        <v>226</v>
      </c>
      <c r="H126" s="327"/>
      <c r="I126" s="47" t="s">
        <v>66</v>
      </c>
      <c r="J126" s="327"/>
      <c r="K126" s="327"/>
      <c r="L126" s="47" t="s">
        <v>71</v>
      </c>
      <c r="M126" s="47" t="e">
        <v>#N/A</v>
      </c>
    </row>
    <row r="127">
      <c r="A127" s="328">
        <v>45814.0</v>
      </c>
      <c r="B127" s="47" t="s">
        <v>56</v>
      </c>
      <c r="C127" s="47" t="s">
        <v>57</v>
      </c>
      <c r="D127" s="47" t="s">
        <v>58</v>
      </c>
      <c r="E127" s="47" t="s">
        <v>22</v>
      </c>
      <c r="F127" s="47" t="s">
        <v>16</v>
      </c>
      <c r="G127" s="47" t="s">
        <v>1306</v>
      </c>
      <c r="H127" s="47" t="s">
        <v>61</v>
      </c>
      <c r="I127" s="47" t="s">
        <v>62</v>
      </c>
      <c r="J127" s="327"/>
      <c r="K127" s="327"/>
      <c r="L127" s="327"/>
      <c r="M127" s="47" t="e">
        <v>#N/A</v>
      </c>
    </row>
    <row r="128">
      <c r="A128" s="328">
        <v>45812.0</v>
      </c>
      <c r="B128" s="47" t="s">
        <v>56</v>
      </c>
      <c r="C128" s="47" t="s">
        <v>76</v>
      </c>
      <c r="D128" s="47" t="s">
        <v>44</v>
      </c>
      <c r="E128" s="47" t="s">
        <v>15</v>
      </c>
      <c r="F128" s="47" t="s">
        <v>86</v>
      </c>
      <c r="G128" s="47" t="s">
        <v>228</v>
      </c>
      <c r="H128" s="47" t="s">
        <v>61</v>
      </c>
      <c r="I128" s="47" t="s">
        <v>79</v>
      </c>
      <c r="J128" s="47" t="s">
        <v>67</v>
      </c>
      <c r="K128" s="327"/>
      <c r="L128" s="327"/>
      <c r="M128" s="47" t="e">
        <v>#N/A</v>
      </c>
    </row>
    <row r="129">
      <c r="A129" s="328">
        <v>45813.0</v>
      </c>
      <c r="B129" s="47" t="s">
        <v>56</v>
      </c>
      <c r="C129" s="47" t="s">
        <v>36</v>
      </c>
      <c r="D129" s="47" t="s">
        <v>27</v>
      </c>
      <c r="E129" s="47" t="s">
        <v>64</v>
      </c>
      <c r="F129" s="47" t="s">
        <v>16</v>
      </c>
      <c r="G129" s="47" t="s">
        <v>229</v>
      </c>
      <c r="H129" s="327"/>
      <c r="I129" s="47" t="s">
        <v>66</v>
      </c>
      <c r="J129" s="327"/>
      <c r="K129" s="47" t="s">
        <v>1307</v>
      </c>
      <c r="L129" s="47" t="s">
        <v>71</v>
      </c>
      <c r="M129" s="47" t="e">
        <v>#N/A</v>
      </c>
    </row>
    <row r="130">
      <c r="A130" s="328">
        <v>45813.0</v>
      </c>
      <c r="B130" s="47" t="s">
        <v>56</v>
      </c>
      <c r="C130" s="47" t="s">
        <v>36</v>
      </c>
      <c r="D130" s="47" t="s">
        <v>44</v>
      </c>
      <c r="E130" s="47" t="s">
        <v>22</v>
      </c>
      <c r="F130" s="47" t="s">
        <v>16</v>
      </c>
      <c r="G130" s="47" t="s">
        <v>231</v>
      </c>
      <c r="H130" s="47" t="s">
        <v>61</v>
      </c>
      <c r="I130" s="47" t="s">
        <v>66</v>
      </c>
      <c r="J130" s="327"/>
      <c r="K130" s="47" t="s">
        <v>232</v>
      </c>
      <c r="L130" s="47" t="s">
        <v>71</v>
      </c>
      <c r="M130" s="47" t="e">
        <v>#N/A</v>
      </c>
    </row>
    <row r="131">
      <c r="A131" s="328">
        <v>45812.0</v>
      </c>
      <c r="B131" s="47" t="s">
        <v>56</v>
      </c>
      <c r="C131" s="47" t="s">
        <v>36</v>
      </c>
      <c r="D131" s="47" t="s">
        <v>27</v>
      </c>
      <c r="E131" s="47" t="s">
        <v>15</v>
      </c>
      <c r="F131" s="47" t="s">
        <v>16</v>
      </c>
      <c r="G131" s="47" t="s">
        <v>1308</v>
      </c>
      <c r="H131" s="327"/>
      <c r="I131" s="47" t="s">
        <v>66</v>
      </c>
      <c r="J131" s="327"/>
      <c r="K131" s="47" t="s">
        <v>1309</v>
      </c>
      <c r="L131" s="47" t="s">
        <v>71</v>
      </c>
      <c r="M131" s="47" t="e">
        <v>#N/A</v>
      </c>
    </row>
    <row r="132">
      <c r="A132" s="328">
        <v>45811.0</v>
      </c>
      <c r="B132" s="47" t="s">
        <v>56</v>
      </c>
      <c r="C132" s="47" t="s">
        <v>13</v>
      </c>
      <c r="D132" s="47" t="s">
        <v>58</v>
      </c>
      <c r="E132" s="47" t="s">
        <v>46</v>
      </c>
      <c r="F132" s="47" t="s">
        <v>16</v>
      </c>
      <c r="G132" s="47" t="s">
        <v>1310</v>
      </c>
      <c r="H132" s="47" t="s">
        <v>61</v>
      </c>
      <c r="I132" s="47" t="s">
        <v>62</v>
      </c>
      <c r="J132" s="47" t="s">
        <v>79</v>
      </c>
      <c r="K132" s="327"/>
      <c r="L132" s="327"/>
      <c r="M132" s="47" t="e">
        <v>#N/A</v>
      </c>
    </row>
    <row r="133">
      <c r="A133" s="328">
        <v>45808.0</v>
      </c>
      <c r="B133" s="47" t="s">
        <v>56</v>
      </c>
      <c r="C133" s="47" t="s">
        <v>26</v>
      </c>
      <c r="D133" s="47" t="s">
        <v>27</v>
      </c>
      <c r="E133" s="47" t="s">
        <v>22</v>
      </c>
      <c r="F133" s="47" t="s">
        <v>16</v>
      </c>
      <c r="G133" s="47" t="s">
        <v>237</v>
      </c>
      <c r="H133" s="327"/>
      <c r="I133" s="47" t="s">
        <v>66</v>
      </c>
      <c r="J133" s="327"/>
      <c r="K133" s="327"/>
      <c r="L133" s="47" t="s">
        <v>71</v>
      </c>
      <c r="M133" s="47" t="e">
        <v>#N/A</v>
      </c>
    </row>
    <row r="134">
      <c r="A134" s="328">
        <v>45808.0</v>
      </c>
      <c r="B134" s="47" t="s">
        <v>56</v>
      </c>
      <c r="C134" s="47" t="s">
        <v>33</v>
      </c>
      <c r="D134" s="47" t="s">
        <v>27</v>
      </c>
      <c r="E134" s="47" t="s">
        <v>22</v>
      </c>
      <c r="F134" s="47" t="s">
        <v>16</v>
      </c>
      <c r="G134" s="47" t="s">
        <v>1311</v>
      </c>
      <c r="H134" s="327"/>
      <c r="I134" s="47" t="s">
        <v>151</v>
      </c>
      <c r="J134" s="47" t="s">
        <v>66</v>
      </c>
      <c r="K134" s="47" t="s">
        <v>239</v>
      </c>
      <c r="L134" s="47" t="s">
        <v>71</v>
      </c>
      <c r="M134" s="47" t="e">
        <v>#N/A</v>
      </c>
    </row>
    <row r="135">
      <c r="A135" s="328">
        <v>45807.0</v>
      </c>
      <c r="B135" s="47" t="s">
        <v>121</v>
      </c>
      <c r="C135" s="47" t="s">
        <v>36</v>
      </c>
      <c r="D135" s="47" t="s">
        <v>44</v>
      </c>
      <c r="E135" s="47" t="s">
        <v>22</v>
      </c>
      <c r="F135" s="47" t="s">
        <v>16</v>
      </c>
      <c r="G135" s="47" t="s">
        <v>240</v>
      </c>
      <c r="H135" s="327"/>
      <c r="I135" s="47" t="s">
        <v>66</v>
      </c>
      <c r="J135" s="47" t="s">
        <v>66</v>
      </c>
      <c r="K135" s="327"/>
      <c r="L135" s="47" t="s">
        <v>71</v>
      </c>
      <c r="M135" s="47" t="e">
        <v>#N/A</v>
      </c>
    </row>
    <row r="136">
      <c r="A136" s="328">
        <v>45786.0</v>
      </c>
      <c r="B136" s="47" t="s">
        <v>121</v>
      </c>
      <c r="C136" s="47" t="s">
        <v>36</v>
      </c>
      <c r="D136" s="47" t="s">
        <v>44</v>
      </c>
      <c r="E136" s="47" t="s">
        <v>22</v>
      </c>
      <c r="F136" s="47" t="s">
        <v>16</v>
      </c>
      <c r="G136" s="47" t="s">
        <v>1312</v>
      </c>
      <c r="H136" s="47" t="s">
        <v>61</v>
      </c>
      <c r="I136" s="47" t="s">
        <v>66</v>
      </c>
      <c r="J136" s="47" t="s">
        <v>242</v>
      </c>
      <c r="K136" s="47" t="s">
        <v>243</v>
      </c>
      <c r="L136" s="47" t="s">
        <v>167</v>
      </c>
      <c r="M136" s="47" t="e">
        <v>#N/A</v>
      </c>
    </row>
    <row r="137">
      <c r="A137" s="328">
        <v>45786.0</v>
      </c>
      <c r="B137" s="47" t="s">
        <v>121</v>
      </c>
      <c r="C137" s="47" t="s">
        <v>36</v>
      </c>
      <c r="D137" s="47" t="s">
        <v>44</v>
      </c>
      <c r="E137" s="47" t="s">
        <v>22</v>
      </c>
      <c r="F137" s="47" t="s">
        <v>16</v>
      </c>
      <c r="G137" s="47" t="s">
        <v>1313</v>
      </c>
      <c r="H137" s="47" t="s">
        <v>61</v>
      </c>
      <c r="I137" s="47" t="s">
        <v>242</v>
      </c>
      <c r="J137" s="47" t="s">
        <v>66</v>
      </c>
      <c r="K137" s="47" t="s">
        <v>246</v>
      </c>
      <c r="L137" s="327"/>
      <c r="M137" s="47" t="e">
        <v>#N/A</v>
      </c>
    </row>
    <row r="138">
      <c r="A138" s="328">
        <v>45789.0</v>
      </c>
      <c r="B138" s="47" t="s">
        <v>121</v>
      </c>
      <c r="C138" s="47" t="s">
        <v>72</v>
      </c>
      <c r="D138" s="47" t="s">
        <v>81</v>
      </c>
      <c r="E138" s="47" t="s">
        <v>64</v>
      </c>
      <c r="F138" s="47" t="s">
        <v>86</v>
      </c>
      <c r="G138" s="47" t="s">
        <v>247</v>
      </c>
      <c r="H138" s="327"/>
      <c r="I138" s="47" t="s">
        <v>74</v>
      </c>
      <c r="J138" s="327"/>
      <c r="K138" s="327"/>
      <c r="L138" s="327"/>
      <c r="M138" s="47" t="e">
        <v>#N/A</v>
      </c>
    </row>
    <row r="139">
      <c r="A139" s="328">
        <v>45786.0</v>
      </c>
      <c r="B139" s="47" t="s">
        <v>121</v>
      </c>
      <c r="C139" s="47" t="s">
        <v>36</v>
      </c>
      <c r="D139" s="47" t="s">
        <v>44</v>
      </c>
      <c r="E139" s="47" t="s">
        <v>22</v>
      </c>
      <c r="F139" s="47" t="s">
        <v>16</v>
      </c>
      <c r="G139" s="47" t="s">
        <v>248</v>
      </c>
      <c r="H139" s="327"/>
      <c r="I139" s="47" t="s">
        <v>66</v>
      </c>
      <c r="J139" s="327"/>
      <c r="K139" s="327"/>
      <c r="L139" s="47" t="s">
        <v>63</v>
      </c>
      <c r="M139" s="47" t="e">
        <v>#N/A</v>
      </c>
    </row>
    <row r="140">
      <c r="A140" s="328">
        <v>45786.0</v>
      </c>
      <c r="B140" s="47" t="s">
        <v>121</v>
      </c>
      <c r="C140" s="47" t="s">
        <v>36</v>
      </c>
      <c r="D140" s="47" t="s">
        <v>44</v>
      </c>
      <c r="E140" s="47" t="s">
        <v>22</v>
      </c>
      <c r="F140" s="47" t="s">
        <v>16</v>
      </c>
      <c r="G140" s="47" t="s">
        <v>249</v>
      </c>
      <c r="H140" s="327"/>
      <c r="I140" s="47" t="s">
        <v>66</v>
      </c>
      <c r="J140" s="327"/>
      <c r="K140" s="327"/>
      <c r="L140" s="47" t="s">
        <v>63</v>
      </c>
      <c r="M140" s="47" t="e">
        <v>#N/A</v>
      </c>
    </row>
    <row r="141">
      <c r="A141" s="328">
        <v>45784.0</v>
      </c>
      <c r="B141" s="47" t="s">
        <v>121</v>
      </c>
      <c r="C141" s="47" t="s">
        <v>36</v>
      </c>
      <c r="D141" s="47" t="s">
        <v>81</v>
      </c>
      <c r="E141" s="47" t="s">
        <v>64</v>
      </c>
      <c r="F141" s="47" t="s">
        <v>16</v>
      </c>
      <c r="G141" s="47" t="s">
        <v>1314</v>
      </c>
      <c r="H141" s="327"/>
      <c r="I141" s="47" t="s">
        <v>66</v>
      </c>
      <c r="J141" s="327"/>
      <c r="K141" s="327"/>
      <c r="L141" s="327"/>
      <c r="M141" s="47" t="e">
        <v>#N/A</v>
      </c>
    </row>
    <row r="142">
      <c r="A142" s="328">
        <v>45784.0</v>
      </c>
      <c r="B142" s="47" t="s">
        <v>121</v>
      </c>
      <c r="C142" s="47" t="s">
        <v>36</v>
      </c>
      <c r="D142" s="47" t="s">
        <v>77</v>
      </c>
      <c r="E142" s="47" t="s">
        <v>64</v>
      </c>
      <c r="F142" s="47" t="s">
        <v>16</v>
      </c>
      <c r="G142" s="47" t="s">
        <v>251</v>
      </c>
      <c r="H142" s="327"/>
      <c r="I142" s="47" t="s">
        <v>66</v>
      </c>
      <c r="J142" s="327"/>
      <c r="K142" s="327"/>
      <c r="L142" s="47" t="s">
        <v>68</v>
      </c>
      <c r="M142" s="47" t="e">
        <v>#N/A</v>
      </c>
    </row>
    <row r="143">
      <c r="A143" s="328">
        <v>45743.0</v>
      </c>
      <c r="B143" s="47" t="s">
        <v>75</v>
      </c>
      <c r="C143" s="47" t="s">
        <v>76</v>
      </c>
      <c r="D143" s="47" t="s">
        <v>81</v>
      </c>
      <c r="E143" s="47" t="s">
        <v>64</v>
      </c>
      <c r="F143" s="47" t="s">
        <v>16</v>
      </c>
      <c r="G143" s="47" t="s">
        <v>1315</v>
      </c>
      <c r="H143" s="47" t="s">
        <v>112</v>
      </c>
      <c r="I143" s="47" t="s">
        <v>79</v>
      </c>
      <c r="J143" s="327"/>
      <c r="K143" s="327"/>
      <c r="L143" s="47" t="s">
        <v>167</v>
      </c>
      <c r="M143" s="47" t="e">
        <v>#N/A</v>
      </c>
    </row>
    <row r="144">
      <c r="A144" s="328">
        <v>45776.0</v>
      </c>
      <c r="B144" s="47" t="s">
        <v>121</v>
      </c>
      <c r="C144" s="47" t="s">
        <v>26</v>
      </c>
      <c r="D144" s="47" t="s">
        <v>81</v>
      </c>
      <c r="E144" s="47" t="s">
        <v>15</v>
      </c>
      <c r="F144" s="47" t="s">
        <v>86</v>
      </c>
      <c r="G144" s="47" t="s">
        <v>253</v>
      </c>
      <c r="H144" s="47" t="s">
        <v>112</v>
      </c>
      <c r="I144" s="47" t="s">
        <v>70</v>
      </c>
      <c r="J144" s="47" t="s">
        <v>62</v>
      </c>
      <c r="K144" s="327"/>
      <c r="L144" s="327"/>
      <c r="M144" s="47" t="e">
        <v>#N/A</v>
      </c>
    </row>
    <row r="145">
      <c r="A145" s="328">
        <v>45777.0</v>
      </c>
      <c r="B145" s="47" t="s">
        <v>121</v>
      </c>
      <c r="C145" s="47" t="s">
        <v>13</v>
      </c>
      <c r="D145" s="47" t="s">
        <v>77</v>
      </c>
      <c r="E145" s="47" t="s">
        <v>46</v>
      </c>
      <c r="F145" s="47" t="s">
        <v>16</v>
      </c>
      <c r="G145" s="47" t="s">
        <v>254</v>
      </c>
      <c r="H145" s="47" t="s">
        <v>112</v>
      </c>
      <c r="I145" s="47" t="s">
        <v>197</v>
      </c>
      <c r="J145" s="47" t="s">
        <v>255</v>
      </c>
      <c r="K145" s="327"/>
      <c r="L145" s="47" t="s">
        <v>68</v>
      </c>
      <c r="M145" s="47" t="e">
        <v>#N/A</v>
      </c>
    </row>
    <row r="146">
      <c r="A146" s="328">
        <v>2.025043E7</v>
      </c>
      <c r="B146" s="47" t="s">
        <v>12</v>
      </c>
      <c r="C146" s="47" t="s">
        <v>36</v>
      </c>
      <c r="D146" s="47" t="s">
        <v>27</v>
      </c>
      <c r="E146" s="47" t="s">
        <v>64</v>
      </c>
      <c r="F146" s="47" t="s">
        <v>59</v>
      </c>
      <c r="G146" s="47" t="s">
        <v>1316</v>
      </c>
      <c r="H146" s="47" t="s">
        <v>61</v>
      </c>
      <c r="I146" s="47" t="s">
        <v>66</v>
      </c>
      <c r="J146" s="327"/>
      <c r="K146" s="327"/>
      <c r="L146" s="327"/>
      <c r="M146" s="47" t="s">
        <v>1317</v>
      </c>
    </row>
    <row r="147">
      <c r="A147" s="328">
        <v>2.0250409E7</v>
      </c>
      <c r="B147" s="47" t="s">
        <v>25</v>
      </c>
      <c r="C147" s="47" t="s">
        <v>36</v>
      </c>
      <c r="D147" s="47" t="s">
        <v>14</v>
      </c>
      <c r="E147" s="47" t="s">
        <v>22</v>
      </c>
      <c r="F147" s="47" t="s">
        <v>16</v>
      </c>
      <c r="G147" s="47" t="s">
        <v>257</v>
      </c>
      <c r="H147" s="47" t="s">
        <v>61</v>
      </c>
      <c r="I147" s="47" t="s">
        <v>66</v>
      </c>
      <c r="J147" s="327"/>
      <c r="K147" s="327"/>
      <c r="L147" s="47" t="s">
        <v>71</v>
      </c>
      <c r="M147" s="47" t="s">
        <v>1317</v>
      </c>
    </row>
    <row r="148">
      <c r="A148" s="328">
        <v>2.0250113E7</v>
      </c>
      <c r="B148" s="47" t="s">
        <v>19</v>
      </c>
      <c r="C148" s="47" t="s">
        <v>36</v>
      </c>
      <c r="D148" s="47" t="s">
        <v>81</v>
      </c>
      <c r="E148" s="47" t="s">
        <v>64</v>
      </c>
      <c r="F148" s="47" t="s">
        <v>64</v>
      </c>
      <c r="G148" s="47" t="s">
        <v>1318</v>
      </c>
      <c r="H148" s="47" t="s">
        <v>61</v>
      </c>
      <c r="I148" s="47" t="s">
        <v>66</v>
      </c>
      <c r="J148" s="327"/>
      <c r="K148" s="327"/>
      <c r="L148" s="47" t="s">
        <v>68</v>
      </c>
      <c r="M148" s="47" t="s">
        <v>1317</v>
      </c>
    </row>
    <row r="149">
      <c r="A149" s="328">
        <v>2.0250107E7</v>
      </c>
      <c r="B149" s="47" t="s">
        <v>43</v>
      </c>
      <c r="C149" s="47" t="s">
        <v>36</v>
      </c>
      <c r="D149" s="47" t="s">
        <v>14</v>
      </c>
      <c r="E149" s="47" t="s">
        <v>22</v>
      </c>
      <c r="F149" s="47" t="s">
        <v>16</v>
      </c>
      <c r="G149" s="47" t="s">
        <v>261</v>
      </c>
      <c r="H149" s="47" t="s">
        <v>61</v>
      </c>
      <c r="I149" s="47" t="s">
        <v>66</v>
      </c>
      <c r="J149" s="327"/>
      <c r="K149" s="47" t="s">
        <v>61</v>
      </c>
      <c r="L149" s="47" t="s">
        <v>71</v>
      </c>
      <c r="M149" s="47" t="s">
        <v>1317</v>
      </c>
    </row>
    <row r="150">
      <c r="A150" s="328">
        <v>2.024122E7</v>
      </c>
      <c r="B150" s="47" t="s">
        <v>43</v>
      </c>
      <c r="C150" s="47" t="s">
        <v>49</v>
      </c>
      <c r="D150" s="47" t="s">
        <v>14</v>
      </c>
      <c r="E150" s="47" t="s">
        <v>15</v>
      </c>
      <c r="F150" s="47" t="s">
        <v>16</v>
      </c>
      <c r="G150" s="47" t="s">
        <v>263</v>
      </c>
      <c r="H150" s="47" t="s">
        <v>61</v>
      </c>
      <c r="I150" s="47" t="s">
        <v>115</v>
      </c>
      <c r="J150" s="47" t="s">
        <v>66</v>
      </c>
      <c r="K150" s="327"/>
      <c r="L150" s="47" t="s">
        <v>71</v>
      </c>
      <c r="M150" s="47" t="s">
        <v>1317</v>
      </c>
    </row>
    <row r="151">
      <c r="A151" s="328">
        <v>2.024121E7</v>
      </c>
      <c r="B151" s="47" t="s">
        <v>43</v>
      </c>
      <c r="C151" s="47" t="s">
        <v>49</v>
      </c>
      <c r="D151" s="47" t="s">
        <v>14</v>
      </c>
      <c r="E151" s="47" t="s">
        <v>46</v>
      </c>
      <c r="F151" s="47" t="s">
        <v>16</v>
      </c>
      <c r="G151" s="47" t="s">
        <v>264</v>
      </c>
      <c r="H151" s="327"/>
      <c r="I151" s="47" t="s">
        <v>115</v>
      </c>
      <c r="J151" s="47" t="s">
        <v>127</v>
      </c>
      <c r="K151" s="327"/>
      <c r="L151" s="47" t="s">
        <v>71</v>
      </c>
      <c r="M151" s="47" t="s">
        <v>1317</v>
      </c>
    </row>
    <row r="152">
      <c r="A152" s="328">
        <v>2.024121E7</v>
      </c>
      <c r="B152" s="47" t="s">
        <v>43</v>
      </c>
      <c r="C152" s="47" t="s">
        <v>76</v>
      </c>
      <c r="D152" s="47" t="s">
        <v>265</v>
      </c>
      <c r="E152" s="47" t="s">
        <v>46</v>
      </c>
      <c r="F152" s="47" t="s">
        <v>16</v>
      </c>
      <c r="G152" s="47" t="s">
        <v>266</v>
      </c>
      <c r="H152" s="47" t="s">
        <v>61</v>
      </c>
      <c r="I152" s="47" t="s">
        <v>62</v>
      </c>
      <c r="J152" s="47" t="s">
        <v>79</v>
      </c>
      <c r="K152" s="327"/>
      <c r="L152" s="47" t="s">
        <v>68</v>
      </c>
      <c r="M152" s="47" t="s">
        <v>1317</v>
      </c>
    </row>
    <row r="153">
      <c r="A153" s="328">
        <v>2.024121E7</v>
      </c>
      <c r="B153" s="47" t="s">
        <v>43</v>
      </c>
      <c r="C153" s="47" t="s">
        <v>49</v>
      </c>
      <c r="D153" s="47" t="s">
        <v>44</v>
      </c>
      <c r="E153" s="47" t="s">
        <v>46</v>
      </c>
      <c r="F153" s="47" t="s">
        <v>86</v>
      </c>
      <c r="G153" s="47" t="s">
        <v>267</v>
      </c>
      <c r="H153" s="327"/>
      <c r="I153" s="47" t="s">
        <v>115</v>
      </c>
      <c r="J153" s="47" t="s">
        <v>127</v>
      </c>
      <c r="K153" s="327"/>
      <c r="L153" s="47" t="s">
        <v>71</v>
      </c>
      <c r="M153" s="47" t="s">
        <v>1317</v>
      </c>
    </row>
    <row r="154">
      <c r="A154" s="328">
        <v>2.0241205E7</v>
      </c>
      <c r="B154" s="47" t="s">
        <v>43</v>
      </c>
      <c r="C154" s="47" t="s">
        <v>57</v>
      </c>
      <c r="D154" s="47" t="s">
        <v>95</v>
      </c>
      <c r="E154" s="47" t="s">
        <v>46</v>
      </c>
      <c r="F154" s="47" t="s">
        <v>16</v>
      </c>
      <c r="G154" s="47" t="s">
        <v>268</v>
      </c>
      <c r="H154" s="47" t="s">
        <v>61</v>
      </c>
      <c r="I154" s="47" t="s">
        <v>62</v>
      </c>
      <c r="J154" s="47" t="s">
        <v>70</v>
      </c>
      <c r="K154" s="327"/>
      <c r="L154" s="47" t="s">
        <v>63</v>
      </c>
      <c r="M154" s="47" t="s">
        <v>1317</v>
      </c>
    </row>
    <row r="155">
      <c r="A155" s="328">
        <v>2.0241205E7</v>
      </c>
      <c r="B155" s="47" t="s">
        <v>43</v>
      </c>
      <c r="C155" s="47" t="s">
        <v>57</v>
      </c>
      <c r="D155" s="47" t="s">
        <v>95</v>
      </c>
      <c r="E155" s="47" t="s">
        <v>46</v>
      </c>
      <c r="F155" s="47" t="s">
        <v>16</v>
      </c>
      <c r="G155" s="47" t="s">
        <v>1319</v>
      </c>
      <c r="H155" s="47" t="s">
        <v>61</v>
      </c>
      <c r="I155" s="47" t="s">
        <v>62</v>
      </c>
      <c r="J155" s="47" t="s">
        <v>127</v>
      </c>
      <c r="K155" s="327"/>
      <c r="L155" s="47" t="s">
        <v>167</v>
      </c>
      <c r="M155" s="47" t="s">
        <v>1317</v>
      </c>
    </row>
    <row r="156">
      <c r="A156" s="328">
        <v>45629.0</v>
      </c>
      <c r="B156" s="47" t="s">
        <v>43</v>
      </c>
      <c r="C156" s="47" t="s">
        <v>49</v>
      </c>
      <c r="D156" s="47" t="s">
        <v>44</v>
      </c>
      <c r="E156" s="47" t="s">
        <v>15</v>
      </c>
      <c r="F156" s="47" t="s">
        <v>16</v>
      </c>
      <c r="G156" s="47" t="s">
        <v>270</v>
      </c>
      <c r="H156" s="327"/>
      <c r="I156" s="47" t="s">
        <v>115</v>
      </c>
      <c r="J156" s="47" t="s">
        <v>66</v>
      </c>
      <c r="K156" s="47" t="s">
        <v>61</v>
      </c>
      <c r="L156" s="47" t="s">
        <v>167</v>
      </c>
      <c r="M156" s="47" t="s">
        <v>1317</v>
      </c>
    </row>
    <row r="157">
      <c r="A157" s="328">
        <v>45629.0</v>
      </c>
      <c r="B157" s="47" t="s">
        <v>43</v>
      </c>
      <c r="C157" s="47" t="s">
        <v>49</v>
      </c>
      <c r="D157" s="47" t="s">
        <v>44</v>
      </c>
      <c r="E157" s="47" t="s">
        <v>22</v>
      </c>
      <c r="F157" s="47" t="s">
        <v>16</v>
      </c>
      <c r="G157" s="47" t="s">
        <v>271</v>
      </c>
      <c r="H157" s="327"/>
      <c r="I157" s="47" t="s">
        <v>115</v>
      </c>
      <c r="J157" s="327"/>
      <c r="K157" s="327"/>
      <c r="L157" s="47" t="s">
        <v>68</v>
      </c>
      <c r="M157" s="47" t="s">
        <v>1317</v>
      </c>
    </row>
    <row r="158">
      <c r="A158" s="328">
        <v>45629.0</v>
      </c>
      <c r="B158" s="47" t="s">
        <v>56</v>
      </c>
      <c r="C158" s="47" t="s">
        <v>49</v>
      </c>
      <c r="D158" s="47" t="s">
        <v>265</v>
      </c>
      <c r="E158" s="47" t="s">
        <v>22</v>
      </c>
      <c r="F158" s="47" t="s">
        <v>16</v>
      </c>
      <c r="G158" s="47" t="s">
        <v>272</v>
      </c>
      <c r="H158" s="47" t="s">
        <v>61</v>
      </c>
      <c r="I158" s="47" t="s">
        <v>115</v>
      </c>
      <c r="J158" s="327"/>
      <c r="K158" s="327"/>
      <c r="L158" s="47" t="s">
        <v>167</v>
      </c>
      <c r="M158" s="47" t="s">
        <v>1317</v>
      </c>
    </row>
    <row r="159">
      <c r="A159" s="328">
        <v>45600.0</v>
      </c>
      <c r="B159" s="47" t="s">
        <v>56</v>
      </c>
      <c r="C159" s="47" t="s">
        <v>76</v>
      </c>
      <c r="D159" s="47" t="s">
        <v>95</v>
      </c>
      <c r="E159" s="47" t="s">
        <v>22</v>
      </c>
      <c r="F159" s="47" t="s">
        <v>16</v>
      </c>
      <c r="G159" s="47" t="s">
        <v>273</v>
      </c>
      <c r="H159" s="47" t="s">
        <v>61</v>
      </c>
      <c r="I159" s="47" t="s">
        <v>79</v>
      </c>
      <c r="J159" s="47" t="s">
        <v>127</v>
      </c>
      <c r="K159" s="327"/>
      <c r="L159" s="47" t="s">
        <v>167</v>
      </c>
      <c r="M159" s="47" t="s">
        <v>1317</v>
      </c>
    </row>
    <row r="160">
      <c r="A160" s="328">
        <v>45600.0</v>
      </c>
      <c r="B160" s="47" t="s">
        <v>56</v>
      </c>
      <c r="C160" s="47" t="s">
        <v>49</v>
      </c>
      <c r="D160" s="47" t="s">
        <v>95</v>
      </c>
      <c r="E160" s="47" t="s">
        <v>22</v>
      </c>
      <c r="F160" s="47" t="s">
        <v>16</v>
      </c>
      <c r="G160" s="47" t="s">
        <v>274</v>
      </c>
      <c r="H160" s="47" t="s">
        <v>61</v>
      </c>
      <c r="I160" s="47" t="s">
        <v>115</v>
      </c>
      <c r="J160" s="327"/>
      <c r="K160" s="327"/>
      <c r="L160" s="47" t="s">
        <v>71</v>
      </c>
      <c r="M160" s="47" t="s">
        <v>1317</v>
      </c>
    </row>
    <row r="161">
      <c r="A161" s="328">
        <v>45603.0</v>
      </c>
      <c r="B161" s="47" t="s">
        <v>56</v>
      </c>
      <c r="C161" s="47" t="s">
        <v>83</v>
      </c>
      <c r="D161" s="47" t="s">
        <v>44</v>
      </c>
      <c r="E161" s="47" t="s">
        <v>64</v>
      </c>
      <c r="F161" s="47" t="s">
        <v>16</v>
      </c>
      <c r="G161" s="47" t="s">
        <v>275</v>
      </c>
      <c r="H161" s="47" t="s">
        <v>61</v>
      </c>
      <c r="I161" s="47" t="s">
        <v>66</v>
      </c>
      <c r="J161" s="327"/>
      <c r="K161" s="327"/>
      <c r="L161" s="47" t="s">
        <v>162</v>
      </c>
      <c r="M161" s="47" t="s">
        <v>1317</v>
      </c>
    </row>
    <row r="162">
      <c r="A162" s="328">
        <v>45581.0</v>
      </c>
      <c r="B162" s="47" t="s">
        <v>121</v>
      </c>
      <c r="C162" s="47" t="s">
        <v>76</v>
      </c>
      <c r="D162" s="47" t="s">
        <v>95</v>
      </c>
      <c r="E162" s="47" t="s">
        <v>22</v>
      </c>
      <c r="F162" s="47" t="s">
        <v>16</v>
      </c>
      <c r="G162" s="47" t="s">
        <v>276</v>
      </c>
      <c r="H162" s="47" t="s">
        <v>112</v>
      </c>
      <c r="I162" s="47" t="s">
        <v>79</v>
      </c>
      <c r="J162" s="327"/>
      <c r="K162" s="327"/>
      <c r="L162" s="47" t="s">
        <v>167</v>
      </c>
      <c r="M162" s="47" t="s">
        <v>1317</v>
      </c>
    </row>
    <row r="163">
      <c r="A163" s="328">
        <v>45580.0</v>
      </c>
      <c r="B163" s="47" t="s">
        <v>121</v>
      </c>
      <c r="C163" s="47" t="s">
        <v>36</v>
      </c>
      <c r="D163" s="47" t="s">
        <v>77</v>
      </c>
      <c r="E163" s="47" t="s">
        <v>22</v>
      </c>
      <c r="F163" s="47" t="s">
        <v>16</v>
      </c>
      <c r="G163" s="47" t="s">
        <v>277</v>
      </c>
      <c r="H163" s="327"/>
      <c r="I163" s="47" t="s">
        <v>66</v>
      </c>
      <c r="J163" s="327"/>
      <c r="K163" s="327"/>
      <c r="L163" s="47" t="s">
        <v>63</v>
      </c>
      <c r="M163" s="47" t="s">
        <v>1317</v>
      </c>
    </row>
    <row r="164">
      <c r="A164" s="328">
        <v>45577.0</v>
      </c>
      <c r="B164" s="47" t="s">
        <v>121</v>
      </c>
      <c r="C164" s="47" t="s">
        <v>83</v>
      </c>
      <c r="D164" s="47" t="s">
        <v>77</v>
      </c>
      <c r="E164" s="47" t="s">
        <v>64</v>
      </c>
      <c r="F164" s="47" t="s">
        <v>16</v>
      </c>
      <c r="G164" s="47" t="s">
        <v>278</v>
      </c>
      <c r="H164" s="327"/>
      <c r="I164" s="47" t="s">
        <v>66</v>
      </c>
      <c r="J164" s="47" t="s">
        <v>127</v>
      </c>
      <c r="K164" s="327"/>
      <c r="L164" s="47" t="s">
        <v>63</v>
      </c>
      <c r="M164" s="47" t="s">
        <v>1317</v>
      </c>
    </row>
    <row r="165">
      <c r="A165" s="328">
        <v>45533.0</v>
      </c>
      <c r="B165" s="47" t="s">
        <v>75</v>
      </c>
      <c r="C165" s="47" t="s">
        <v>26</v>
      </c>
      <c r="D165" s="47" t="s">
        <v>27</v>
      </c>
      <c r="E165" s="47" t="s">
        <v>64</v>
      </c>
      <c r="F165" s="47" t="s">
        <v>64</v>
      </c>
      <c r="G165" s="47" t="s">
        <v>279</v>
      </c>
      <c r="H165" s="327"/>
      <c r="I165" s="47" t="s">
        <v>66</v>
      </c>
      <c r="J165" s="327"/>
      <c r="K165" s="327"/>
      <c r="L165" s="327"/>
      <c r="M165" s="47" t="s">
        <v>1317</v>
      </c>
    </row>
    <row r="166">
      <c r="A166" s="328">
        <v>45533.0</v>
      </c>
      <c r="B166" s="47" t="s">
        <v>75</v>
      </c>
      <c r="C166" s="47" t="s">
        <v>30</v>
      </c>
      <c r="D166" s="47" t="s">
        <v>81</v>
      </c>
      <c r="E166" s="47" t="s">
        <v>64</v>
      </c>
      <c r="F166" s="47" t="s">
        <v>16</v>
      </c>
      <c r="G166" s="47" t="s">
        <v>280</v>
      </c>
      <c r="H166" s="47" t="s">
        <v>112</v>
      </c>
      <c r="I166" s="47" t="s">
        <v>127</v>
      </c>
      <c r="J166" s="327"/>
      <c r="K166" s="327"/>
      <c r="L166" s="47" t="s">
        <v>63</v>
      </c>
      <c r="M166" s="47" t="s">
        <v>1317</v>
      </c>
    </row>
    <row r="167">
      <c r="A167" s="328">
        <v>45740.0</v>
      </c>
      <c r="B167" s="47" t="s">
        <v>12</v>
      </c>
      <c r="C167" s="47" t="s">
        <v>36</v>
      </c>
      <c r="D167" s="47" t="s">
        <v>27</v>
      </c>
      <c r="E167" s="47" t="s">
        <v>64</v>
      </c>
      <c r="F167" s="47" t="s">
        <v>16</v>
      </c>
      <c r="G167" s="47" t="s">
        <v>281</v>
      </c>
      <c r="H167" s="47" t="s">
        <v>61</v>
      </c>
      <c r="I167" s="47" t="s">
        <v>66</v>
      </c>
      <c r="J167" s="327"/>
      <c r="K167" s="327"/>
      <c r="L167" s="47" t="s">
        <v>68</v>
      </c>
      <c r="M167" s="47" t="s">
        <v>1320</v>
      </c>
    </row>
    <row r="168">
      <c r="A168" s="328">
        <v>45651.0</v>
      </c>
      <c r="B168" s="47" t="s">
        <v>19</v>
      </c>
      <c r="C168" s="47" t="s">
        <v>36</v>
      </c>
      <c r="D168" s="47" t="s">
        <v>95</v>
      </c>
      <c r="E168" s="47" t="s">
        <v>22</v>
      </c>
      <c r="F168" s="47" t="s">
        <v>16</v>
      </c>
      <c r="G168" s="47" t="s">
        <v>282</v>
      </c>
      <c r="H168" s="47" t="s">
        <v>61</v>
      </c>
      <c r="I168" s="47" t="s">
        <v>66</v>
      </c>
      <c r="J168" s="327"/>
      <c r="K168" s="47" t="s">
        <v>283</v>
      </c>
      <c r="L168" s="47" t="s">
        <v>71</v>
      </c>
      <c r="M168" s="47" t="s">
        <v>1320</v>
      </c>
    </row>
    <row r="169">
      <c r="A169" s="328">
        <v>45628.0</v>
      </c>
      <c r="B169" s="47" t="s">
        <v>19</v>
      </c>
      <c r="C169" s="47" t="s">
        <v>49</v>
      </c>
      <c r="D169" s="47" t="s">
        <v>27</v>
      </c>
      <c r="E169" s="47" t="s">
        <v>22</v>
      </c>
      <c r="F169" s="47" t="s">
        <v>16</v>
      </c>
      <c r="G169" s="47" t="s">
        <v>285</v>
      </c>
      <c r="H169" s="47" t="s">
        <v>61</v>
      </c>
      <c r="I169" s="47" t="s">
        <v>67</v>
      </c>
      <c r="J169" s="47" t="s">
        <v>66</v>
      </c>
      <c r="K169" s="47" t="s">
        <v>286</v>
      </c>
      <c r="L169" s="47" t="s">
        <v>71</v>
      </c>
      <c r="M169" s="47" t="s">
        <v>1320</v>
      </c>
    </row>
    <row r="170">
      <c r="A170" s="328">
        <v>45628.0</v>
      </c>
      <c r="B170" s="47" t="s">
        <v>19</v>
      </c>
      <c r="C170" s="47" t="s">
        <v>49</v>
      </c>
      <c r="D170" s="47" t="s">
        <v>27</v>
      </c>
      <c r="E170" s="47" t="s">
        <v>22</v>
      </c>
      <c r="F170" s="47" t="s">
        <v>16</v>
      </c>
      <c r="G170" s="47" t="s">
        <v>287</v>
      </c>
      <c r="H170" s="47" t="s">
        <v>61</v>
      </c>
      <c r="I170" s="47" t="s">
        <v>115</v>
      </c>
      <c r="J170" s="327"/>
      <c r="K170" s="327"/>
      <c r="L170" s="47" t="s">
        <v>71</v>
      </c>
      <c r="M170" s="47" t="s">
        <v>1320</v>
      </c>
    </row>
    <row r="171">
      <c r="A171" s="328">
        <v>45614.0</v>
      </c>
      <c r="B171" s="47" t="s">
        <v>19</v>
      </c>
      <c r="C171" s="47" t="s">
        <v>33</v>
      </c>
      <c r="D171" s="47" t="s">
        <v>89</v>
      </c>
      <c r="E171" s="47" t="s">
        <v>22</v>
      </c>
      <c r="F171" s="47" t="s">
        <v>16</v>
      </c>
      <c r="G171" s="47" t="s">
        <v>288</v>
      </c>
      <c r="H171" s="47" t="s">
        <v>61</v>
      </c>
      <c r="I171" s="47" t="s">
        <v>151</v>
      </c>
      <c r="J171" s="47" t="s">
        <v>66</v>
      </c>
      <c r="K171" s="327"/>
      <c r="L171" s="47" t="s">
        <v>68</v>
      </c>
      <c r="M171" s="47" t="s">
        <v>1320</v>
      </c>
    </row>
    <row r="172">
      <c r="A172" s="328">
        <v>45614.0</v>
      </c>
      <c r="B172" s="47" t="s">
        <v>19</v>
      </c>
      <c r="C172" s="47" t="s">
        <v>49</v>
      </c>
      <c r="D172" s="47" t="s">
        <v>27</v>
      </c>
      <c r="E172" s="47" t="s">
        <v>22</v>
      </c>
      <c r="F172" s="47" t="s">
        <v>16</v>
      </c>
      <c r="G172" s="47" t="s">
        <v>289</v>
      </c>
      <c r="H172" s="47" t="s">
        <v>61</v>
      </c>
      <c r="I172" s="47" t="s">
        <v>115</v>
      </c>
      <c r="J172" s="47" t="s">
        <v>66</v>
      </c>
      <c r="K172" s="327"/>
      <c r="L172" s="47" t="s">
        <v>71</v>
      </c>
      <c r="M172" s="47" t="s">
        <v>1320</v>
      </c>
    </row>
    <row r="173">
      <c r="A173" s="328">
        <v>45614.0</v>
      </c>
      <c r="B173" s="47" t="s">
        <v>19</v>
      </c>
      <c r="C173" s="47" t="s">
        <v>57</v>
      </c>
      <c r="D173" s="47" t="s">
        <v>21</v>
      </c>
      <c r="E173" s="47" t="s">
        <v>22</v>
      </c>
      <c r="F173" s="47" t="s">
        <v>16</v>
      </c>
      <c r="G173" s="47" t="s">
        <v>290</v>
      </c>
      <c r="H173" s="47" t="s">
        <v>61</v>
      </c>
      <c r="I173" s="47" t="s">
        <v>62</v>
      </c>
      <c r="J173" s="47" t="s">
        <v>115</v>
      </c>
      <c r="K173" s="327"/>
      <c r="L173" s="47" t="s">
        <v>71</v>
      </c>
      <c r="M173" s="47" t="s">
        <v>1320</v>
      </c>
    </row>
    <row r="174">
      <c r="A174" s="328">
        <v>45583.0</v>
      </c>
      <c r="B174" s="47" t="s">
        <v>43</v>
      </c>
      <c r="C174" s="47" t="s">
        <v>57</v>
      </c>
      <c r="D174" s="47" t="s">
        <v>21</v>
      </c>
      <c r="E174" s="47" t="s">
        <v>22</v>
      </c>
      <c r="F174" s="47" t="s">
        <v>16</v>
      </c>
      <c r="G174" s="47" t="s">
        <v>291</v>
      </c>
      <c r="H174" s="47" t="s">
        <v>61</v>
      </c>
      <c r="I174" s="47" t="s">
        <v>66</v>
      </c>
      <c r="J174" s="47" t="s">
        <v>62</v>
      </c>
      <c r="K174" s="327"/>
      <c r="L174" s="47" t="s">
        <v>144</v>
      </c>
      <c r="M174" s="47" t="s">
        <v>1320</v>
      </c>
    </row>
    <row r="175">
      <c r="A175" s="328">
        <v>45614.0</v>
      </c>
      <c r="B175" s="47" t="s">
        <v>19</v>
      </c>
      <c r="C175" s="47" t="s">
        <v>26</v>
      </c>
      <c r="D175" s="47" t="s">
        <v>58</v>
      </c>
      <c r="E175" s="47" t="s">
        <v>15</v>
      </c>
      <c r="F175" s="47" t="s">
        <v>16</v>
      </c>
      <c r="G175" s="47" t="s">
        <v>292</v>
      </c>
      <c r="H175" s="327"/>
      <c r="I175" s="47" t="s">
        <v>67</v>
      </c>
      <c r="J175" s="47" t="s">
        <v>66</v>
      </c>
      <c r="K175" s="327"/>
      <c r="L175" s="47" t="s">
        <v>71</v>
      </c>
      <c r="M175" s="47" t="s">
        <v>1320</v>
      </c>
    </row>
    <row r="176">
      <c r="A176" s="328">
        <v>45583.0</v>
      </c>
      <c r="B176" s="47" t="s">
        <v>43</v>
      </c>
      <c r="C176" s="47" t="s">
        <v>83</v>
      </c>
      <c r="D176" s="47" t="s">
        <v>21</v>
      </c>
      <c r="E176" s="47" t="s">
        <v>22</v>
      </c>
      <c r="F176" s="47" t="s">
        <v>16</v>
      </c>
      <c r="G176" s="47" t="s">
        <v>293</v>
      </c>
      <c r="H176" s="47" t="s">
        <v>61</v>
      </c>
      <c r="I176" s="47" t="s">
        <v>66</v>
      </c>
      <c r="J176" s="47" t="s">
        <v>62</v>
      </c>
      <c r="K176" s="327"/>
      <c r="L176" s="47" t="s">
        <v>68</v>
      </c>
      <c r="M176" s="47" t="s">
        <v>1320</v>
      </c>
    </row>
    <row r="177">
      <c r="A177" s="328">
        <v>45580.0</v>
      </c>
      <c r="B177" s="47" t="s">
        <v>43</v>
      </c>
      <c r="C177" s="47" t="s">
        <v>57</v>
      </c>
      <c r="D177" s="47" t="s">
        <v>58</v>
      </c>
      <c r="E177" s="47" t="s">
        <v>22</v>
      </c>
      <c r="F177" s="47" t="s">
        <v>16</v>
      </c>
      <c r="G177" s="47" t="s">
        <v>294</v>
      </c>
      <c r="H177" s="47" t="s">
        <v>61</v>
      </c>
      <c r="I177" s="47" t="s">
        <v>62</v>
      </c>
      <c r="J177" s="47" t="s">
        <v>127</v>
      </c>
      <c r="K177" s="327"/>
      <c r="L177" s="47" t="s">
        <v>63</v>
      </c>
      <c r="M177" s="47" t="s">
        <v>1320</v>
      </c>
    </row>
    <row r="178">
      <c r="A178" s="328">
        <v>45579.0</v>
      </c>
      <c r="B178" s="47" t="s">
        <v>43</v>
      </c>
      <c r="C178" s="47" t="s">
        <v>57</v>
      </c>
      <c r="D178" s="47" t="s">
        <v>58</v>
      </c>
      <c r="E178" s="47" t="s">
        <v>22</v>
      </c>
      <c r="F178" s="47" t="s">
        <v>16</v>
      </c>
      <c r="G178" s="47" t="s">
        <v>1321</v>
      </c>
      <c r="H178" s="47" t="s">
        <v>61</v>
      </c>
      <c r="I178" s="47" t="s">
        <v>62</v>
      </c>
      <c r="J178" s="47" t="s">
        <v>66</v>
      </c>
      <c r="K178" s="327"/>
      <c r="L178" s="47" t="s">
        <v>71</v>
      </c>
      <c r="M178" s="47" t="s">
        <v>1320</v>
      </c>
    </row>
    <row r="179">
      <c r="A179" s="328">
        <v>45583.0</v>
      </c>
      <c r="B179" s="47" t="s">
        <v>43</v>
      </c>
      <c r="C179" s="47" t="s">
        <v>26</v>
      </c>
      <c r="D179" s="47" t="s">
        <v>27</v>
      </c>
      <c r="E179" s="47" t="s">
        <v>22</v>
      </c>
      <c r="F179" s="47" t="s">
        <v>16</v>
      </c>
      <c r="G179" s="47" t="s">
        <v>296</v>
      </c>
      <c r="H179" s="327"/>
      <c r="I179" s="47" t="s">
        <v>70</v>
      </c>
      <c r="J179" s="327"/>
      <c r="K179" s="327"/>
      <c r="L179" s="47" t="s">
        <v>167</v>
      </c>
      <c r="M179" s="47" t="s">
        <v>1320</v>
      </c>
    </row>
    <row r="180">
      <c r="A180" s="328">
        <v>45533.0</v>
      </c>
      <c r="B180" s="47" t="s">
        <v>43</v>
      </c>
      <c r="C180" s="47" t="s">
        <v>49</v>
      </c>
      <c r="D180" s="47" t="s">
        <v>44</v>
      </c>
      <c r="E180" s="47" t="s">
        <v>22</v>
      </c>
      <c r="F180" s="47" t="s">
        <v>16</v>
      </c>
      <c r="G180" s="47" t="s">
        <v>1322</v>
      </c>
      <c r="H180" s="47" t="s">
        <v>61</v>
      </c>
      <c r="I180" s="47" t="s">
        <v>115</v>
      </c>
      <c r="J180" s="327"/>
      <c r="K180" s="327"/>
      <c r="L180" s="47" t="s">
        <v>71</v>
      </c>
      <c r="M180" s="47" t="s">
        <v>1320</v>
      </c>
    </row>
    <row r="181">
      <c r="A181" s="328">
        <v>45562.0</v>
      </c>
      <c r="B181" s="47" t="s">
        <v>43</v>
      </c>
      <c r="C181" s="47" t="s">
        <v>76</v>
      </c>
      <c r="D181" s="47" t="s">
        <v>27</v>
      </c>
      <c r="E181" s="47" t="s">
        <v>22</v>
      </c>
      <c r="F181" s="47" t="s">
        <v>16</v>
      </c>
      <c r="G181" s="47" t="s">
        <v>298</v>
      </c>
      <c r="H181" s="47" t="s">
        <v>61</v>
      </c>
      <c r="I181" s="47" t="s">
        <v>79</v>
      </c>
      <c r="J181" s="327"/>
      <c r="K181" s="327"/>
      <c r="L181" s="47" t="s">
        <v>71</v>
      </c>
      <c r="M181" s="47" t="s">
        <v>1320</v>
      </c>
    </row>
    <row r="182">
      <c r="A182" s="328">
        <v>45562.0</v>
      </c>
      <c r="B182" s="47" t="s">
        <v>43</v>
      </c>
      <c r="C182" s="47" t="s">
        <v>26</v>
      </c>
      <c r="D182" s="47" t="s">
        <v>58</v>
      </c>
      <c r="E182" s="47" t="s">
        <v>22</v>
      </c>
      <c r="F182" s="47" t="s">
        <v>16</v>
      </c>
      <c r="G182" s="47" t="s">
        <v>299</v>
      </c>
      <c r="H182" s="47" t="s">
        <v>97</v>
      </c>
      <c r="I182" s="47" t="s">
        <v>67</v>
      </c>
      <c r="J182" s="47" t="s">
        <v>66</v>
      </c>
      <c r="K182" s="327"/>
      <c r="L182" s="47" t="s">
        <v>71</v>
      </c>
      <c r="M182" s="47" t="s">
        <v>1320</v>
      </c>
    </row>
    <row r="183">
      <c r="A183" s="328">
        <v>45562.0</v>
      </c>
      <c r="B183" s="47" t="s">
        <v>43</v>
      </c>
      <c r="C183" s="47" t="s">
        <v>57</v>
      </c>
      <c r="D183" s="47" t="s">
        <v>21</v>
      </c>
      <c r="E183" s="47" t="s">
        <v>22</v>
      </c>
      <c r="F183" s="47" t="s">
        <v>16</v>
      </c>
      <c r="G183" s="47" t="s">
        <v>300</v>
      </c>
      <c r="H183" s="47" t="s">
        <v>61</v>
      </c>
      <c r="I183" s="47" t="s">
        <v>62</v>
      </c>
      <c r="J183" s="47" t="s">
        <v>79</v>
      </c>
      <c r="K183" s="327"/>
      <c r="L183" s="47" t="s">
        <v>71</v>
      </c>
      <c r="M183" s="47" t="s">
        <v>1320</v>
      </c>
    </row>
    <row r="184">
      <c r="A184" s="328">
        <v>45545.0</v>
      </c>
      <c r="B184" s="47" t="s">
        <v>56</v>
      </c>
      <c r="C184" s="47" t="s">
        <v>33</v>
      </c>
      <c r="D184" s="47" t="s">
        <v>44</v>
      </c>
      <c r="E184" s="47" t="s">
        <v>64</v>
      </c>
      <c r="F184" s="47" t="s">
        <v>16</v>
      </c>
      <c r="G184" s="47" t="s">
        <v>301</v>
      </c>
      <c r="H184" s="47" t="s">
        <v>61</v>
      </c>
      <c r="I184" s="47" t="s">
        <v>151</v>
      </c>
      <c r="J184" s="327"/>
      <c r="K184" s="327"/>
      <c r="L184" s="47" t="s">
        <v>71</v>
      </c>
      <c r="M184" s="47" t="s">
        <v>1320</v>
      </c>
    </row>
    <row r="185">
      <c r="A185" s="328">
        <v>45583.0</v>
      </c>
      <c r="B185" s="47" t="s">
        <v>43</v>
      </c>
      <c r="C185" s="47" t="s">
        <v>83</v>
      </c>
      <c r="D185" s="47" t="s">
        <v>27</v>
      </c>
      <c r="E185" s="47" t="s">
        <v>64</v>
      </c>
      <c r="F185" s="47" t="s">
        <v>16</v>
      </c>
      <c r="G185" s="47" t="s">
        <v>302</v>
      </c>
      <c r="H185" s="327"/>
      <c r="I185" s="47" t="s">
        <v>66</v>
      </c>
      <c r="J185" s="47" t="s">
        <v>127</v>
      </c>
      <c r="K185" s="47" t="s">
        <v>1323</v>
      </c>
      <c r="L185" s="47" t="s">
        <v>71</v>
      </c>
      <c r="M185" s="47" t="s">
        <v>1320</v>
      </c>
    </row>
    <row r="186">
      <c r="A186" s="328">
        <v>45562.0</v>
      </c>
      <c r="B186" s="47" t="s">
        <v>43</v>
      </c>
      <c r="C186" s="47" t="s">
        <v>76</v>
      </c>
      <c r="D186" s="47" t="s">
        <v>27</v>
      </c>
      <c r="E186" s="47" t="s">
        <v>22</v>
      </c>
      <c r="F186" s="47" t="s">
        <v>16</v>
      </c>
      <c r="G186" s="47" t="s">
        <v>304</v>
      </c>
      <c r="H186" s="47" t="s">
        <v>112</v>
      </c>
      <c r="I186" s="47" t="s">
        <v>79</v>
      </c>
      <c r="J186" s="47" t="s">
        <v>66</v>
      </c>
      <c r="K186" s="327"/>
      <c r="L186" s="47" t="s">
        <v>71</v>
      </c>
      <c r="M186" s="47" t="s">
        <v>1320</v>
      </c>
    </row>
    <row r="187">
      <c r="A187" s="328">
        <v>45555.0</v>
      </c>
      <c r="B187" s="47" t="s">
        <v>56</v>
      </c>
      <c r="C187" s="47" t="s">
        <v>49</v>
      </c>
      <c r="D187" s="47" t="s">
        <v>58</v>
      </c>
      <c r="E187" s="47" t="s">
        <v>22</v>
      </c>
      <c r="F187" s="47" t="s">
        <v>16</v>
      </c>
      <c r="G187" s="47" t="s">
        <v>305</v>
      </c>
      <c r="H187" s="47" t="s">
        <v>61</v>
      </c>
      <c r="I187" s="47" t="s">
        <v>115</v>
      </c>
      <c r="J187" s="47" t="s">
        <v>306</v>
      </c>
      <c r="K187" s="327"/>
      <c r="L187" s="47" t="s">
        <v>167</v>
      </c>
      <c r="M187" s="47" t="s">
        <v>1320</v>
      </c>
    </row>
    <row r="188">
      <c r="A188" s="328">
        <v>45553.0</v>
      </c>
      <c r="B188" s="47" t="s">
        <v>43</v>
      </c>
      <c r="C188" s="47" t="s">
        <v>30</v>
      </c>
      <c r="D188" s="47" t="s">
        <v>27</v>
      </c>
      <c r="E188" s="47" t="s">
        <v>15</v>
      </c>
      <c r="F188" s="47" t="s">
        <v>64</v>
      </c>
      <c r="G188" s="47" t="s">
        <v>307</v>
      </c>
      <c r="H188" s="327"/>
      <c r="I188" s="47" t="s">
        <v>132</v>
      </c>
      <c r="J188" s="47" t="s">
        <v>308</v>
      </c>
      <c r="K188" s="327"/>
      <c r="L188" s="47" t="s">
        <v>167</v>
      </c>
      <c r="M188" s="47" t="s">
        <v>1320</v>
      </c>
    </row>
    <row r="189">
      <c r="A189" s="328">
        <v>45533.0</v>
      </c>
      <c r="B189" s="47" t="s">
        <v>56</v>
      </c>
      <c r="C189" s="47" t="s">
        <v>49</v>
      </c>
      <c r="D189" s="47" t="s">
        <v>44</v>
      </c>
      <c r="E189" s="47" t="s">
        <v>22</v>
      </c>
      <c r="F189" s="47" t="s">
        <v>16</v>
      </c>
      <c r="G189" s="47" t="s">
        <v>309</v>
      </c>
      <c r="H189" s="327"/>
      <c r="I189" s="47" t="s">
        <v>115</v>
      </c>
      <c r="J189" s="47" t="s">
        <v>66</v>
      </c>
      <c r="K189" s="327"/>
      <c r="L189" s="47" t="s">
        <v>71</v>
      </c>
      <c r="M189" s="47" t="s">
        <v>1320</v>
      </c>
    </row>
    <row r="190">
      <c r="A190" s="328">
        <v>45526.0</v>
      </c>
      <c r="B190" s="47" t="s">
        <v>56</v>
      </c>
      <c r="C190" s="47" t="s">
        <v>49</v>
      </c>
      <c r="D190" s="47" t="s">
        <v>58</v>
      </c>
      <c r="E190" s="47" t="s">
        <v>22</v>
      </c>
      <c r="F190" s="47" t="s">
        <v>16</v>
      </c>
      <c r="G190" s="47" t="s">
        <v>1324</v>
      </c>
      <c r="H190" s="327"/>
      <c r="I190" s="47" t="s">
        <v>115</v>
      </c>
      <c r="J190" s="47" t="s">
        <v>66</v>
      </c>
      <c r="K190" s="47" t="s">
        <v>311</v>
      </c>
      <c r="L190" s="47" t="s">
        <v>71</v>
      </c>
      <c r="M190" s="47" t="s">
        <v>1320</v>
      </c>
    </row>
    <row r="191">
      <c r="A191" s="328">
        <v>45525.0</v>
      </c>
      <c r="B191" s="47" t="s">
        <v>56</v>
      </c>
      <c r="C191" s="47" t="s">
        <v>57</v>
      </c>
      <c r="D191" s="47" t="s">
        <v>21</v>
      </c>
      <c r="E191" s="47" t="s">
        <v>22</v>
      </c>
      <c r="F191" s="47" t="s">
        <v>16</v>
      </c>
      <c r="G191" s="47" t="s">
        <v>1325</v>
      </c>
      <c r="H191" s="327"/>
      <c r="I191" s="47" t="s">
        <v>62</v>
      </c>
      <c r="J191" s="47" t="s">
        <v>66</v>
      </c>
      <c r="K191" s="47" t="s">
        <v>313</v>
      </c>
      <c r="L191" s="47" t="s">
        <v>68</v>
      </c>
      <c r="M191" s="47" t="s">
        <v>1320</v>
      </c>
    </row>
    <row r="192">
      <c r="A192" s="328">
        <v>45526.0</v>
      </c>
      <c r="B192" s="47" t="s">
        <v>56</v>
      </c>
      <c r="C192" s="47" t="s">
        <v>30</v>
      </c>
      <c r="D192" s="47" t="s">
        <v>58</v>
      </c>
      <c r="E192" s="47" t="s">
        <v>22</v>
      </c>
      <c r="F192" s="47" t="s">
        <v>16</v>
      </c>
      <c r="G192" s="47" t="s">
        <v>314</v>
      </c>
      <c r="H192" s="47" t="s">
        <v>112</v>
      </c>
      <c r="I192" s="47" t="s">
        <v>127</v>
      </c>
      <c r="J192" s="327"/>
      <c r="K192" s="47" t="s">
        <v>315</v>
      </c>
      <c r="L192" s="47" t="s">
        <v>167</v>
      </c>
      <c r="M192" s="47" t="s">
        <v>1320</v>
      </c>
    </row>
    <row r="193">
      <c r="A193" s="328">
        <v>45554.0</v>
      </c>
      <c r="B193" s="47" t="s">
        <v>56</v>
      </c>
      <c r="C193" s="47" t="s">
        <v>49</v>
      </c>
      <c r="D193" s="47" t="s">
        <v>58</v>
      </c>
      <c r="E193" s="47" t="s">
        <v>64</v>
      </c>
      <c r="F193" s="47" t="s">
        <v>64</v>
      </c>
      <c r="G193" s="47" t="s">
        <v>316</v>
      </c>
      <c r="H193" s="327"/>
      <c r="I193" s="47" t="s">
        <v>115</v>
      </c>
      <c r="J193" s="327"/>
      <c r="K193" s="327"/>
      <c r="L193" s="47" t="s">
        <v>71</v>
      </c>
      <c r="M193" s="47" t="s">
        <v>1320</v>
      </c>
    </row>
    <row r="194">
      <c r="A194" s="328">
        <v>45526.0</v>
      </c>
      <c r="B194" s="47" t="s">
        <v>56</v>
      </c>
      <c r="C194" s="47" t="s">
        <v>49</v>
      </c>
      <c r="D194" s="47" t="s">
        <v>58</v>
      </c>
      <c r="E194" s="47" t="s">
        <v>22</v>
      </c>
      <c r="F194" s="47" t="s">
        <v>16</v>
      </c>
      <c r="G194" s="47" t="s">
        <v>1326</v>
      </c>
      <c r="H194" s="47" t="s">
        <v>61</v>
      </c>
      <c r="I194" s="47" t="s">
        <v>127</v>
      </c>
      <c r="J194" s="327"/>
      <c r="K194" s="327"/>
      <c r="L194" s="47" t="s">
        <v>71</v>
      </c>
      <c r="M194" s="47" t="s">
        <v>1320</v>
      </c>
    </row>
    <row r="195">
      <c r="A195" s="328">
        <v>45533.0</v>
      </c>
      <c r="B195" s="47" t="s">
        <v>56</v>
      </c>
      <c r="C195" s="47" t="s">
        <v>49</v>
      </c>
      <c r="D195" s="47" t="s">
        <v>44</v>
      </c>
      <c r="E195" s="47" t="s">
        <v>22</v>
      </c>
      <c r="F195" s="47" t="s">
        <v>16</v>
      </c>
      <c r="G195" s="47" t="s">
        <v>318</v>
      </c>
      <c r="H195" s="327"/>
      <c r="I195" s="47" t="s">
        <v>115</v>
      </c>
      <c r="J195" s="47" t="s">
        <v>66</v>
      </c>
      <c r="K195" s="327"/>
      <c r="L195" s="47" t="s">
        <v>71</v>
      </c>
      <c r="M195" s="47" t="s">
        <v>1320</v>
      </c>
    </row>
    <row r="196">
      <c r="A196" s="328">
        <v>45531.0</v>
      </c>
      <c r="B196" s="47" t="s">
        <v>56</v>
      </c>
      <c r="C196" s="47" t="s">
        <v>94</v>
      </c>
      <c r="D196" s="47" t="s">
        <v>27</v>
      </c>
      <c r="E196" s="47" t="s">
        <v>64</v>
      </c>
      <c r="F196" s="47" t="s">
        <v>64</v>
      </c>
      <c r="G196" s="47" t="s">
        <v>319</v>
      </c>
      <c r="H196" s="327"/>
      <c r="I196" s="47" t="s">
        <v>70</v>
      </c>
      <c r="J196" s="327"/>
      <c r="K196" s="327"/>
      <c r="L196" s="47" t="s">
        <v>68</v>
      </c>
      <c r="M196" s="47" t="s">
        <v>1320</v>
      </c>
    </row>
    <row r="197">
      <c r="A197" s="328">
        <v>45526.0</v>
      </c>
      <c r="B197" s="47" t="s">
        <v>56</v>
      </c>
      <c r="C197" s="47" t="s">
        <v>30</v>
      </c>
      <c r="D197" s="47" t="s">
        <v>58</v>
      </c>
      <c r="E197" s="47" t="s">
        <v>22</v>
      </c>
      <c r="F197" s="47" t="s">
        <v>16</v>
      </c>
      <c r="G197" s="47" t="s">
        <v>320</v>
      </c>
      <c r="H197" s="327"/>
      <c r="I197" s="47" t="s">
        <v>74</v>
      </c>
      <c r="J197" s="47" t="s">
        <v>66</v>
      </c>
      <c r="K197" s="47" t="s">
        <v>315</v>
      </c>
      <c r="L197" s="47" t="s">
        <v>71</v>
      </c>
      <c r="M197" s="47" t="s">
        <v>1320</v>
      </c>
    </row>
    <row r="198">
      <c r="A198" s="328">
        <v>45527.0</v>
      </c>
      <c r="B198" s="47" t="s">
        <v>56</v>
      </c>
      <c r="C198" s="47" t="s">
        <v>76</v>
      </c>
      <c r="D198" s="47" t="s">
        <v>81</v>
      </c>
      <c r="E198" s="47" t="s">
        <v>22</v>
      </c>
      <c r="F198" s="47" t="s">
        <v>16</v>
      </c>
      <c r="G198" s="47" t="s">
        <v>1327</v>
      </c>
      <c r="H198" s="47" t="s">
        <v>97</v>
      </c>
      <c r="I198" s="47" t="s">
        <v>79</v>
      </c>
      <c r="J198" s="327"/>
      <c r="K198" s="327"/>
      <c r="L198" s="47" t="s">
        <v>167</v>
      </c>
      <c r="M198" s="47" t="s">
        <v>1320</v>
      </c>
    </row>
    <row r="199">
      <c r="A199" s="328">
        <v>45537.0</v>
      </c>
      <c r="B199" s="47" t="s">
        <v>56</v>
      </c>
      <c r="C199" s="47" t="s">
        <v>83</v>
      </c>
      <c r="D199" s="47" t="s">
        <v>44</v>
      </c>
      <c r="E199" s="47" t="s">
        <v>64</v>
      </c>
      <c r="F199" s="47" t="s">
        <v>16</v>
      </c>
      <c r="G199" s="47" t="s">
        <v>322</v>
      </c>
      <c r="H199" s="47" t="s">
        <v>61</v>
      </c>
      <c r="I199" s="47" t="s">
        <v>66</v>
      </c>
      <c r="J199" s="327"/>
      <c r="K199" s="327"/>
      <c r="L199" s="47" t="s">
        <v>71</v>
      </c>
      <c r="M199" s="47" t="s">
        <v>1320</v>
      </c>
    </row>
    <row r="200">
      <c r="A200" s="328">
        <v>45533.0</v>
      </c>
      <c r="B200" s="47" t="s">
        <v>56</v>
      </c>
      <c r="C200" s="47" t="s">
        <v>76</v>
      </c>
      <c r="D200" s="47" t="s">
        <v>44</v>
      </c>
      <c r="E200" s="47" t="s">
        <v>22</v>
      </c>
      <c r="F200" s="47" t="s">
        <v>16</v>
      </c>
      <c r="G200" s="47" t="s">
        <v>1328</v>
      </c>
      <c r="H200" s="47" t="s">
        <v>61</v>
      </c>
      <c r="I200" s="47" t="s">
        <v>79</v>
      </c>
      <c r="J200" s="327"/>
      <c r="K200" s="327"/>
      <c r="L200" s="47" t="s">
        <v>71</v>
      </c>
      <c r="M200" s="47" t="s">
        <v>1320</v>
      </c>
    </row>
    <row r="201">
      <c r="A201" s="328">
        <v>45525.0</v>
      </c>
      <c r="B201" s="47" t="s">
        <v>56</v>
      </c>
      <c r="C201" s="47" t="s">
        <v>57</v>
      </c>
      <c r="D201" s="47" t="s">
        <v>21</v>
      </c>
      <c r="E201" s="47" t="s">
        <v>22</v>
      </c>
      <c r="F201" s="47" t="s">
        <v>16</v>
      </c>
      <c r="G201" s="47" t="s">
        <v>324</v>
      </c>
      <c r="H201" s="327"/>
      <c r="I201" s="47" t="s">
        <v>62</v>
      </c>
      <c r="J201" s="47" t="s">
        <v>127</v>
      </c>
      <c r="K201" s="47" t="s">
        <v>313</v>
      </c>
      <c r="L201" s="47" t="s">
        <v>68</v>
      </c>
      <c r="M201" s="47" t="s">
        <v>1320</v>
      </c>
    </row>
    <row r="202">
      <c r="A202" s="328">
        <v>45525.0</v>
      </c>
      <c r="B202" s="47" t="s">
        <v>56</v>
      </c>
      <c r="C202" s="47" t="s">
        <v>57</v>
      </c>
      <c r="D202" s="47" t="s">
        <v>21</v>
      </c>
      <c r="E202" s="47" t="s">
        <v>22</v>
      </c>
      <c r="F202" s="47" t="s">
        <v>16</v>
      </c>
      <c r="G202" s="47" t="s">
        <v>325</v>
      </c>
      <c r="H202" s="327"/>
      <c r="I202" s="47" t="s">
        <v>62</v>
      </c>
      <c r="J202" s="47" t="s">
        <v>127</v>
      </c>
      <c r="K202" s="47" t="s">
        <v>313</v>
      </c>
      <c r="L202" s="47" t="s">
        <v>68</v>
      </c>
      <c r="M202" s="47" t="s">
        <v>1320</v>
      </c>
    </row>
    <row r="203">
      <c r="A203" s="328">
        <v>45533.0</v>
      </c>
      <c r="B203" s="47" t="s">
        <v>56</v>
      </c>
      <c r="C203" s="47" t="s">
        <v>76</v>
      </c>
      <c r="D203" s="47" t="s">
        <v>44</v>
      </c>
      <c r="E203" s="47" t="s">
        <v>64</v>
      </c>
      <c r="F203" s="47" t="s">
        <v>16</v>
      </c>
      <c r="G203" s="47" t="s">
        <v>326</v>
      </c>
      <c r="H203" s="327"/>
      <c r="I203" s="47" t="s">
        <v>79</v>
      </c>
      <c r="J203" s="327"/>
      <c r="K203" s="327"/>
      <c r="L203" s="47" t="s">
        <v>68</v>
      </c>
      <c r="M203" s="47" t="s">
        <v>1320</v>
      </c>
    </row>
    <row r="204">
      <c r="A204" s="328">
        <v>45476.0</v>
      </c>
      <c r="B204" s="47" t="s">
        <v>327</v>
      </c>
      <c r="C204" s="47" t="s">
        <v>49</v>
      </c>
      <c r="D204" s="47" t="s">
        <v>81</v>
      </c>
      <c r="E204" s="47" t="s">
        <v>64</v>
      </c>
      <c r="F204" s="47" t="s">
        <v>16</v>
      </c>
      <c r="G204" s="47" t="s">
        <v>1329</v>
      </c>
      <c r="H204" s="47" t="s">
        <v>61</v>
      </c>
      <c r="I204" s="47" t="s">
        <v>115</v>
      </c>
      <c r="J204" s="47" t="s">
        <v>66</v>
      </c>
      <c r="K204" s="327"/>
      <c r="L204" s="47" t="s">
        <v>68</v>
      </c>
      <c r="M204" s="47" t="s">
        <v>1320</v>
      </c>
    </row>
    <row r="205">
      <c r="A205" s="328">
        <v>45497.0</v>
      </c>
      <c r="B205" s="47" t="s">
        <v>121</v>
      </c>
      <c r="C205" s="47" t="s">
        <v>26</v>
      </c>
      <c r="D205" s="47" t="s">
        <v>77</v>
      </c>
      <c r="E205" s="47" t="s">
        <v>15</v>
      </c>
      <c r="F205" s="47" t="s">
        <v>16</v>
      </c>
      <c r="G205" s="47" t="s">
        <v>329</v>
      </c>
      <c r="H205" s="47" t="s">
        <v>97</v>
      </c>
      <c r="I205" s="47" t="s">
        <v>70</v>
      </c>
      <c r="J205" s="47" t="s">
        <v>66</v>
      </c>
      <c r="K205" s="327"/>
      <c r="L205" s="47" t="s">
        <v>167</v>
      </c>
      <c r="M205" s="47" t="s">
        <v>1320</v>
      </c>
    </row>
    <row r="206">
      <c r="A206" s="328">
        <v>45497.0</v>
      </c>
      <c r="B206" s="47" t="s">
        <v>121</v>
      </c>
      <c r="C206" s="47" t="s">
        <v>36</v>
      </c>
      <c r="D206" s="47" t="s">
        <v>77</v>
      </c>
      <c r="E206" s="47" t="s">
        <v>64</v>
      </c>
      <c r="F206" s="47" t="s">
        <v>16</v>
      </c>
      <c r="G206" s="47" t="s">
        <v>330</v>
      </c>
      <c r="H206" s="47" t="s">
        <v>61</v>
      </c>
      <c r="I206" s="47" t="s">
        <v>66</v>
      </c>
      <c r="J206" s="327"/>
      <c r="K206" s="327"/>
      <c r="L206" s="47" t="s">
        <v>63</v>
      </c>
      <c r="M206" s="47" t="s">
        <v>1320</v>
      </c>
    </row>
    <row r="207">
      <c r="A207" s="328">
        <v>45594.0</v>
      </c>
      <c r="B207" s="47" t="s">
        <v>172</v>
      </c>
      <c r="C207" s="47" t="s">
        <v>20</v>
      </c>
      <c r="D207" s="47" t="s">
        <v>95</v>
      </c>
      <c r="E207" s="47" t="s">
        <v>64</v>
      </c>
      <c r="F207" s="47" t="s">
        <v>64</v>
      </c>
      <c r="G207" s="47" t="s">
        <v>331</v>
      </c>
      <c r="H207" s="47" t="s">
        <v>61</v>
      </c>
      <c r="I207" s="47" t="s">
        <v>66</v>
      </c>
      <c r="J207" s="47" t="s">
        <v>70</v>
      </c>
      <c r="K207" s="327"/>
      <c r="L207" s="327"/>
      <c r="M207" s="47" t="s">
        <v>1330</v>
      </c>
    </row>
    <row r="208">
      <c r="A208" s="328">
        <v>45447.0</v>
      </c>
      <c r="B208" s="47" t="s">
        <v>25</v>
      </c>
      <c r="C208" s="47" t="s">
        <v>20</v>
      </c>
      <c r="D208" s="47" t="s">
        <v>58</v>
      </c>
      <c r="E208" s="47" t="s">
        <v>64</v>
      </c>
      <c r="F208" s="47" t="s">
        <v>64</v>
      </c>
      <c r="G208" s="47" t="s">
        <v>332</v>
      </c>
      <c r="H208" s="327"/>
      <c r="I208" s="47" t="s">
        <v>67</v>
      </c>
      <c r="J208" s="47" t="s">
        <v>66</v>
      </c>
      <c r="K208" s="47" t="s">
        <v>97</v>
      </c>
      <c r="L208" s="327"/>
      <c r="M208" s="47" t="s">
        <v>1330</v>
      </c>
    </row>
    <row r="209">
      <c r="A209" s="328">
        <v>45434.0</v>
      </c>
      <c r="B209" s="47" t="s">
        <v>25</v>
      </c>
      <c r="C209" s="47" t="s">
        <v>36</v>
      </c>
      <c r="D209" s="47" t="s">
        <v>21</v>
      </c>
      <c r="E209" s="47" t="s">
        <v>46</v>
      </c>
      <c r="F209" s="47" t="s">
        <v>16</v>
      </c>
      <c r="G209" s="47" t="s">
        <v>333</v>
      </c>
      <c r="H209" s="47" t="s">
        <v>61</v>
      </c>
      <c r="I209" s="47" t="s">
        <v>66</v>
      </c>
      <c r="J209" s="47" t="s">
        <v>334</v>
      </c>
      <c r="K209" s="327"/>
      <c r="L209" s="327"/>
      <c r="M209" s="47" t="s">
        <v>1330</v>
      </c>
    </row>
    <row r="210">
      <c r="A210" s="328">
        <v>45421.0</v>
      </c>
      <c r="B210" s="47" t="s">
        <v>19</v>
      </c>
      <c r="C210" s="47" t="s">
        <v>76</v>
      </c>
      <c r="D210" s="47" t="s">
        <v>14</v>
      </c>
      <c r="E210" s="47" t="s">
        <v>46</v>
      </c>
      <c r="F210" s="47" t="s">
        <v>16</v>
      </c>
      <c r="G210" s="47" t="s">
        <v>335</v>
      </c>
      <c r="H210" s="327"/>
      <c r="I210" s="47" t="s">
        <v>334</v>
      </c>
      <c r="J210" s="47" t="s">
        <v>67</v>
      </c>
      <c r="K210" s="47" t="s">
        <v>61</v>
      </c>
      <c r="L210" s="327"/>
      <c r="M210" s="47" t="s">
        <v>1330</v>
      </c>
    </row>
    <row r="211">
      <c r="A211" s="328">
        <v>45420.0</v>
      </c>
      <c r="B211" s="47" t="s">
        <v>19</v>
      </c>
      <c r="C211" s="47" t="s">
        <v>20</v>
      </c>
      <c r="D211" s="47" t="s">
        <v>58</v>
      </c>
      <c r="E211" s="47" t="s">
        <v>15</v>
      </c>
      <c r="F211" s="47" t="s">
        <v>16</v>
      </c>
      <c r="G211" s="47" t="s">
        <v>336</v>
      </c>
      <c r="H211" s="327"/>
      <c r="I211" s="47" t="s">
        <v>67</v>
      </c>
      <c r="J211" s="47" t="s">
        <v>66</v>
      </c>
      <c r="K211" s="47" t="s">
        <v>97</v>
      </c>
      <c r="L211" s="327"/>
      <c r="M211" s="47" t="s">
        <v>1330</v>
      </c>
    </row>
    <row r="212">
      <c r="A212" s="328">
        <v>45419.0</v>
      </c>
      <c r="B212" s="47" t="s">
        <v>19</v>
      </c>
      <c r="C212" s="47" t="s">
        <v>36</v>
      </c>
      <c r="D212" s="47" t="s">
        <v>14</v>
      </c>
      <c r="E212" s="47" t="s">
        <v>64</v>
      </c>
      <c r="F212" s="47" t="s">
        <v>64</v>
      </c>
      <c r="G212" s="47" t="s">
        <v>337</v>
      </c>
      <c r="H212" s="327"/>
      <c r="I212" s="47" t="s">
        <v>66</v>
      </c>
      <c r="J212" s="47" t="s">
        <v>151</v>
      </c>
      <c r="K212" s="47" t="s">
        <v>61</v>
      </c>
      <c r="L212" s="327"/>
      <c r="M212" s="47" t="s">
        <v>1330</v>
      </c>
    </row>
    <row r="213">
      <c r="A213" s="328">
        <v>45385.0</v>
      </c>
      <c r="B213" s="47" t="s">
        <v>19</v>
      </c>
      <c r="C213" s="47" t="s">
        <v>49</v>
      </c>
      <c r="D213" s="47" t="s">
        <v>58</v>
      </c>
      <c r="E213" s="47" t="s">
        <v>46</v>
      </c>
      <c r="F213" s="47" t="s">
        <v>16</v>
      </c>
      <c r="G213" s="47" t="s">
        <v>338</v>
      </c>
      <c r="H213" s="327"/>
      <c r="I213" s="47" t="s">
        <v>334</v>
      </c>
      <c r="J213" s="327"/>
      <c r="K213" s="47" t="s">
        <v>61</v>
      </c>
      <c r="L213" s="327"/>
      <c r="M213" s="47" t="s">
        <v>1330</v>
      </c>
    </row>
    <row r="214">
      <c r="A214" s="328">
        <v>45385.0</v>
      </c>
      <c r="B214" s="47" t="s">
        <v>43</v>
      </c>
      <c r="C214" s="47" t="s">
        <v>49</v>
      </c>
      <c r="D214" s="47" t="s">
        <v>58</v>
      </c>
      <c r="E214" s="47" t="s">
        <v>22</v>
      </c>
      <c r="F214" s="47" t="s">
        <v>16</v>
      </c>
      <c r="G214" s="47" t="s">
        <v>339</v>
      </c>
      <c r="H214" s="327"/>
      <c r="I214" s="47" t="s">
        <v>334</v>
      </c>
      <c r="J214" s="327"/>
      <c r="K214" s="47" t="s">
        <v>61</v>
      </c>
      <c r="L214" s="327"/>
      <c r="M214" s="47" t="s">
        <v>1330</v>
      </c>
    </row>
    <row r="215">
      <c r="A215" s="328">
        <v>45385.0</v>
      </c>
      <c r="B215" s="47" t="s">
        <v>43</v>
      </c>
      <c r="C215" s="47" t="s">
        <v>72</v>
      </c>
      <c r="D215" s="47" t="s">
        <v>58</v>
      </c>
      <c r="E215" s="47" t="s">
        <v>46</v>
      </c>
      <c r="F215" s="47" t="s">
        <v>16</v>
      </c>
      <c r="G215" s="47" t="s">
        <v>340</v>
      </c>
      <c r="H215" s="327"/>
      <c r="I215" s="47" t="s">
        <v>67</v>
      </c>
      <c r="J215" s="47" t="s">
        <v>74</v>
      </c>
      <c r="K215" s="47" t="s">
        <v>61</v>
      </c>
      <c r="L215" s="47" t="s">
        <v>71</v>
      </c>
      <c r="M215" s="47" t="s">
        <v>1330</v>
      </c>
    </row>
    <row r="216">
      <c r="A216" s="328">
        <v>45384.0</v>
      </c>
      <c r="B216" s="47" t="s">
        <v>43</v>
      </c>
      <c r="C216" s="47" t="s">
        <v>20</v>
      </c>
      <c r="D216" s="47" t="s">
        <v>21</v>
      </c>
      <c r="E216" s="47" t="s">
        <v>15</v>
      </c>
      <c r="F216" s="47" t="s">
        <v>16</v>
      </c>
      <c r="G216" s="47" t="s">
        <v>341</v>
      </c>
      <c r="H216" s="327"/>
      <c r="I216" s="47" t="s">
        <v>67</v>
      </c>
      <c r="J216" s="327"/>
      <c r="K216" s="47" t="s">
        <v>112</v>
      </c>
      <c r="L216" s="327"/>
      <c r="M216" s="47" t="s">
        <v>1330</v>
      </c>
    </row>
    <row r="217">
      <c r="A217" s="328">
        <v>45369.0</v>
      </c>
      <c r="B217" s="47" t="s">
        <v>43</v>
      </c>
      <c r="C217" s="47" t="s">
        <v>36</v>
      </c>
      <c r="D217" s="47" t="s">
        <v>58</v>
      </c>
      <c r="E217" s="47" t="s">
        <v>22</v>
      </c>
      <c r="F217" s="47" t="s">
        <v>16</v>
      </c>
      <c r="G217" s="47" t="s">
        <v>342</v>
      </c>
      <c r="H217" s="327"/>
      <c r="I217" s="47" t="s">
        <v>66</v>
      </c>
      <c r="J217" s="327"/>
      <c r="K217" s="47" t="s">
        <v>61</v>
      </c>
      <c r="L217" s="47" t="s">
        <v>71</v>
      </c>
      <c r="M217" s="47" t="s">
        <v>1330</v>
      </c>
    </row>
    <row r="218">
      <c r="A218" s="328">
        <v>45383.0</v>
      </c>
      <c r="B218" s="47" t="s">
        <v>43</v>
      </c>
      <c r="C218" s="47" t="s">
        <v>30</v>
      </c>
      <c r="D218" s="47" t="s">
        <v>58</v>
      </c>
      <c r="E218" s="47" t="s">
        <v>46</v>
      </c>
      <c r="F218" s="47" t="s">
        <v>16</v>
      </c>
      <c r="G218" s="47" t="s">
        <v>343</v>
      </c>
      <c r="H218" s="327"/>
      <c r="I218" s="47" t="s">
        <v>127</v>
      </c>
      <c r="J218" s="47" t="s">
        <v>79</v>
      </c>
      <c r="K218" s="47" t="s">
        <v>61</v>
      </c>
      <c r="L218" s="47" t="s">
        <v>71</v>
      </c>
      <c r="M218" s="47" t="s">
        <v>1330</v>
      </c>
    </row>
    <row r="219">
      <c r="A219" s="328">
        <v>45380.0</v>
      </c>
      <c r="B219" s="47" t="s">
        <v>43</v>
      </c>
      <c r="C219" s="47" t="s">
        <v>13</v>
      </c>
      <c r="D219" s="47" t="s">
        <v>27</v>
      </c>
      <c r="E219" s="47" t="s">
        <v>22</v>
      </c>
      <c r="F219" s="47" t="s">
        <v>16</v>
      </c>
      <c r="G219" s="47" t="s">
        <v>344</v>
      </c>
      <c r="H219" s="327"/>
      <c r="I219" s="47" t="s">
        <v>79</v>
      </c>
      <c r="J219" s="327"/>
      <c r="K219" s="47" t="s">
        <v>61</v>
      </c>
      <c r="L219" s="47" t="s">
        <v>162</v>
      </c>
      <c r="M219" s="47" t="s">
        <v>1330</v>
      </c>
    </row>
    <row r="220">
      <c r="A220" s="328">
        <v>45358.0</v>
      </c>
      <c r="B220" s="47" t="s">
        <v>43</v>
      </c>
      <c r="C220" s="47" t="s">
        <v>76</v>
      </c>
      <c r="D220" s="47" t="s">
        <v>95</v>
      </c>
      <c r="E220" s="47" t="s">
        <v>22</v>
      </c>
      <c r="F220" s="47" t="s">
        <v>16</v>
      </c>
      <c r="G220" s="47" t="s">
        <v>345</v>
      </c>
      <c r="H220" s="327"/>
      <c r="I220" s="47" t="s">
        <v>346</v>
      </c>
      <c r="J220" s="327"/>
      <c r="K220" s="327"/>
      <c r="L220" s="327"/>
      <c r="M220" s="47" t="s">
        <v>1330</v>
      </c>
    </row>
    <row r="221">
      <c r="A221" s="328">
        <v>45356.0</v>
      </c>
      <c r="B221" s="47" t="s">
        <v>43</v>
      </c>
      <c r="C221" s="47" t="s">
        <v>76</v>
      </c>
      <c r="D221" s="47" t="s">
        <v>95</v>
      </c>
      <c r="E221" s="47" t="s">
        <v>22</v>
      </c>
      <c r="F221" s="47" t="s">
        <v>16</v>
      </c>
      <c r="G221" s="47" t="s">
        <v>347</v>
      </c>
      <c r="H221" s="327"/>
      <c r="I221" s="47" t="s">
        <v>346</v>
      </c>
      <c r="J221" s="327"/>
      <c r="K221" s="47" t="s">
        <v>61</v>
      </c>
      <c r="L221" s="47" t="s">
        <v>71</v>
      </c>
      <c r="M221" s="47" t="s">
        <v>1330</v>
      </c>
    </row>
    <row r="222">
      <c r="A222" s="328">
        <v>45353.0</v>
      </c>
      <c r="B222" s="47" t="s">
        <v>43</v>
      </c>
      <c r="C222" s="47" t="s">
        <v>83</v>
      </c>
      <c r="D222" s="47" t="s">
        <v>27</v>
      </c>
      <c r="E222" s="327"/>
      <c r="F222" s="47" t="s">
        <v>16</v>
      </c>
      <c r="G222" s="47" t="s">
        <v>348</v>
      </c>
      <c r="H222" s="327"/>
      <c r="I222" s="47" t="s">
        <v>79</v>
      </c>
      <c r="J222" s="47" t="s">
        <v>66</v>
      </c>
      <c r="K222" s="47" t="s">
        <v>349</v>
      </c>
      <c r="L222" s="47" t="s">
        <v>167</v>
      </c>
      <c r="M222" s="47" t="s">
        <v>1330</v>
      </c>
    </row>
    <row r="223">
      <c r="A223" s="328">
        <v>45343.0</v>
      </c>
      <c r="B223" s="47" t="s">
        <v>56</v>
      </c>
      <c r="C223" s="47" t="s">
        <v>26</v>
      </c>
      <c r="D223" s="47" t="s">
        <v>58</v>
      </c>
      <c r="E223" s="327"/>
      <c r="F223" s="47" t="s">
        <v>16</v>
      </c>
      <c r="G223" s="47" t="s">
        <v>350</v>
      </c>
      <c r="H223" s="327"/>
      <c r="I223" s="47" t="s">
        <v>351</v>
      </c>
      <c r="J223" s="327"/>
      <c r="K223" s="327"/>
      <c r="L223" s="47" t="s">
        <v>71</v>
      </c>
      <c r="M223" s="47" t="s">
        <v>1330</v>
      </c>
    </row>
    <row r="224">
      <c r="A224" s="328">
        <v>45322.0</v>
      </c>
      <c r="B224" s="47" t="s">
        <v>56</v>
      </c>
      <c r="C224" s="47" t="s">
        <v>57</v>
      </c>
      <c r="D224" s="47" t="s">
        <v>21</v>
      </c>
      <c r="E224" s="47" t="s">
        <v>22</v>
      </c>
      <c r="F224" s="47" t="s">
        <v>16</v>
      </c>
      <c r="G224" s="47" t="s">
        <v>352</v>
      </c>
      <c r="H224" s="327"/>
      <c r="I224" s="47" t="s">
        <v>334</v>
      </c>
      <c r="J224" s="47" t="s">
        <v>67</v>
      </c>
      <c r="K224" s="327"/>
      <c r="L224" s="47" t="s">
        <v>167</v>
      </c>
      <c r="M224" s="47" t="s">
        <v>1330</v>
      </c>
    </row>
    <row r="225">
      <c r="A225" s="328">
        <v>45320.0</v>
      </c>
      <c r="B225" s="47" t="s">
        <v>56</v>
      </c>
      <c r="C225" s="47" t="s">
        <v>36</v>
      </c>
      <c r="D225" s="47" t="s">
        <v>27</v>
      </c>
      <c r="E225" s="47" t="s">
        <v>64</v>
      </c>
      <c r="F225" s="47" t="s">
        <v>16</v>
      </c>
      <c r="G225" s="47" t="s">
        <v>353</v>
      </c>
      <c r="H225" s="47" t="s">
        <v>61</v>
      </c>
      <c r="I225" s="47" t="s">
        <v>66</v>
      </c>
      <c r="J225" s="327"/>
      <c r="K225" s="327"/>
      <c r="L225" s="47" t="s">
        <v>63</v>
      </c>
      <c r="M225" s="47" t="s">
        <v>1330</v>
      </c>
    </row>
    <row r="226">
      <c r="A226" s="328">
        <v>45320.0</v>
      </c>
      <c r="B226" s="47" t="s">
        <v>56</v>
      </c>
      <c r="C226" s="47" t="s">
        <v>26</v>
      </c>
      <c r="D226" s="47" t="s">
        <v>27</v>
      </c>
      <c r="E226" s="47" t="s">
        <v>64</v>
      </c>
      <c r="F226" s="47" t="s">
        <v>16</v>
      </c>
      <c r="G226" s="47" t="s">
        <v>354</v>
      </c>
      <c r="H226" s="327"/>
      <c r="I226" s="47" t="s">
        <v>351</v>
      </c>
      <c r="J226" s="47" t="s">
        <v>79</v>
      </c>
      <c r="K226" s="327"/>
      <c r="L226" s="47" t="s">
        <v>63</v>
      </c>
      <c r="M226" s="47" t="s">
        <v>1330</v>
      </c>
    </row>
    <row r="227">
      <c r="A227" s="328">
        <v>45313.0</v>
      </c>
      <c r="B227" s="47" t="s">
        <v>56</v>
      </c>
      <c r="C227" s="47" t="s">
        <v>36</v>
      </c>
      <c r="D227" s="47" t="s">
        <v>27</v>
      </c>
      <c r="E227" s="47" t="s">
        <v>64</v>
      </c>
      <c r="F227" s="47" t="s">
        <v>16</v>
      </c>
      <c r="G227" s="47" t="s">
        <v>355</v>
      </c>
      <c r="H227" s="327"/>
      <c r="I227" s="47" t="s">
        <v>66</v>
      </c>
      <c r="J227" s="327"/>
      <c r="K227" s="47" t="s">
        <v>356</v>
      </c>
      <c r="L227" s="47" t="s">
        <v>63</v>
      </c>
      <c r="M227" s="47" t="s">
        <v>1330</v>
      </c>
    </row>
    <row r="228">
      <c r="A228" s="329"/>
      <c r="B228" s="47" t="s">
        <v>56</v>
      </c>
      <c r="C228" s="47" t="s">
        <v>20</v>
      </c>
      <c r="D228" s="47" t="s">
        <v>44</v>
      </c>
      <c r="E228" s="47" t="s">
        <v>64</v>
      </c>
      <c r="F228" s="47" t="s">
        <v>16</v>
      </c>
      <c r="G228" s="47" t="s">
        <v>357</v>
      </c>
      <c r="H228" s="327"/>
      <c r="I228" s="47" t="s">
        <v>358</v>
      </c>
      <c r="J228" s="47" t="s">
        <v>66</v>
      </c>
      <c r="K228" s="47" t="s">
        <v>359</v>
      </c>
      <c r="L228" s="47" t="s">
        <v>71</v>
      </c>
      <c r="M228" s="47" t="s">
        <v>1330</v>
      </c>
    </row>
    <row r="229">
      <c r="A229" s="329"/>
      <c r="B229" s="47" t="s">
        <v>75</v>
      </c>
      <c r="C229" s="47" t="s">
        <v>26</v>
      </c>
      <c r="D229" s="47" t="s">
        <v>77</v>
      </c>
      <c r="E229" s="47" t="s">
        <v>22</v>
      </c>
      <c r="F229" s="47" t="s">
        <v>16</v>
      </c>
      <c r="G229" s="47" t="s">
        <v>360</v>
      </c>
      <c r="H229" s="327"/>
      <c r="I229" s="47" t="s">
        <v>361</v>
      </c>
      <c r="J229" s="327"/>
      <c r="K229" s="327"/>
      <c r="L229" s="47" t="s">
        <v>63</v>
      </c>
      <c r="M229" s="47" t="s">
        <v>1330</v>
      </c>
    </row>
    <row r="230">
      <c r="A230" s="328">
        <v>45405.0</v>
      </c>
      <c r="B230" s="47" t="s">
        <v>12</v>
      </c>
      <c r="C230" s="47" t="s">
        <v>36</v>
      </c>
      <c r="D230" s="47" t="s">
        <v>27</v>
      </c>
      <c r="E230" s="47" t="s">
        <v>64</v>
      </c>
      <c r="F230" s="47" t="s">
        <v>16</v>
      </c>
      <c r="G230" s="47" t="s">
        <v>362</v>
      </c>
      <c r="H230" s="327"/>
      <c r="I230" s="47" t="s">
        <v>66</v>
      </c>
      <c r="J230" s="327"/>
      <c r="K230" s="327"/>
      <c r="L230" s="47" t="s">
        <v>68</v>
      </c>
      <c r="M230" s="47" t="s">
        <v>1331</v>
      </c>
    </row>
    <row r="231">
      <c r="A231" s="328">
        <v>45405.0</v>
      </c>
      <c r="B231" s="47" t="s">
        <v>12</v>
      </c>
      <c r="C231" s="47" t="s">
        <v>36</v>
      </c>
      <c r="D231" s="47" t="s">
        <v>27</v>
      </c>
      <c r="E231" s="47" t="s">
        <v>64</v>
      </c>
      <c r="F231" s="47" t="s">
        <v>16</v>
      </c>
      <c r="G231" s="47" t="s">
        <v>1332</v>
      </c>
      <c r="H231" s="47" t="s">
        <v>61</v>
      </c>
      <c r="I231" s="47" t="s">
        <v>66</v>
      </c>
      <c r="J231" s="327"/>
      <c r="K231" s="327"/>
      <c r="L231" s="47" t="s">
        <v>68</v>
      </c>
      <c r="M231" s="47" t="s">
        <v>1331</v>
      </c>
    </row>
    <row r="232">
      <c r="A232" s="328">
        <v>45397.0</v>
      </c>
      <c r="B232" s="47" t="s">
        <v>12</v>
      </c>
      <c r="C232" s="47" t="s">
        <v>26</v>
      </c>
      <c r="D232" s="47" t="s">
        <v>21</v>
      </c>
      <c r="E232" s="47" t="s">
        <v>22</v>
      </c>
      <c r="F232" s="47" t="s">
        <v>16</v>
      </c>
      <c r="G232" s="47" t="s">
        <v>364</v>
      </c>
      <c r="H232" s="47" t="s">
        <v>61</v>
      </c>
      <c r="I232" s="47" t="s">
        <v>66</v>
      </c>
      <c r="J232" s="327"/>
      <c r="K232" s="47" t="s">
        <v>365</v>
      </c>
      <c r="L232" s="47" t="s">
        <v>71</v>
      </c>
      <c r="M232" s="47" t="s">
        <v>1331</v>
      </c>
    </row>
    <row r="233">
      <c r="A233" s="328">
        <v>45393.0</v>
      </c>
      <c r="B233" s="47" t="s">
        <v>12</v>
      </c>
      <c r="C233" s="47" t="s">
        <v>83</v>
      </c>
      <c r="D233" s="47" t="s">
        <v>27</v>
      </c>
      <c r="E233" s="47" t="s">
        <v>22</v>
      </c>
      <c r="F233" s="47" t="s">
        <v>16</v>
      </c>
      <c r="G233" s="47" t="s">
        <v>366</v>
      </c>
      <c r="H233" s="47" t="s">
        <v>97</v>
      </c>
      <c r="I233" s="47" t="s">
        <v>127</v>
      </c>
      <c r="J233" s="47" t="s">
        <v>66</v>
      </c>
      <c r="K233" s="330" t="s">
        <v>367</v>
      </c>
      <c r="L233" s="47" t="s">
        <v>71</v>
      </c>
      <c r="M233" s="47" t="s">
        <v>1331</v>
      </c>
    </row>
    <row r="234">
      <c r="A234" s="328">
        <v>45345.0</v>
      </c>
      <c r="B234" s="47" t="s">
        <v>19</v>
      </c>
      <c r="C234" s="47" t="s">
        <v>20</v>
      </c>
      <c r="D234" s="47" t="s">
        <v>58</v>
      </c>
      <c r="E234" s="47" t="s">
        <v>22</v>
      </c>
      <c r="F234" s="47" t="s">
        <v>16</v>
      </c>
      <c r="G234" s="47" t="s">
        <v>368</v>
      </c>
      <c r="H234" s="47" t="s">
        <v>97</v>
      </c>
      <c r="I234" s="47" t="s">
        <v>67</v>
      </c>
      <c r="J234" s="47" t="s">
        <v>66</v>
      </c>
      <c r="K234" s="47" t="s">
        <v>369</v>
      </c>
      <c r="L234" s="47" t="s">
        <v>71</v>
      </c>
      <c r="M234" s="47" t="s">
        <v>1331</v>
      </c>
    </row>
    <row r="235">
      <c r="A235" s="328">
        <v>45278.0</v>
      </c>
      <c r="B235" s="47" t="s">
        <v>43</v>
      </c>
      <c r="C235" s="47" t="s">
        <v>76</v>
      </c>
      <c r="D235" s="47" t="s">
        <v>95</v>
      </c>
      <c r="E235" s="47" t="s">
        <v>22</v>
      </c>
      <c r="F235" s="47" t="s">
        <v>16</v>
      </c>
      <c r="G235" s="47" t="s">
        <v>370</v>
      </c>
      <c r="H235" s="327"/>
      <c r="I235" s="47" t="s">
        <v>346</v>
      </c>
      <c r="J235" s="327"/>
      <c r="K235" s="327"/>
      <c r="L235" s="47" t="s">
        <v>71</v>
      </c>
      <c r="M235" s="47" t="s">
        <v>1331</v>
      </c>
    </row>
    <row r="236">
      <c r="A236" s="328">
        <v>45301.0</v>
      </c>
      <c r="B236" s="47" t="s">
        <v>43</v>
      </c>
      <c r="C236" s="47" t="s">
        <v>371</v>
      </c>
      <c r="D236" s="47" t="s">
        <v>95</v>
      </c>
      <c r="E236" s="327"/>
      <c r="F236" s="47" t="s">
        <v>16</v>
      </c>
      <c r="G236" s="47" t="s">
        <v>372</v>
      </c>
      <c r="H236" s="47" t="s">
        <v>61</v>
      </c>
      <c r="I236" s="47" t="s">
        <v>151</v>
      </c>
      <c r="J236" s="327"/>
      <c r="K236" s="327"/>
      <c r="L236" s="47" t="s">
        <v>144</v>
      </c>
      <c r="M236" s="47" t="s">
        <v>1331</v>
      </c>
    </row>
    <row r="237">
      <c r="A237" s="328">
        <v>45280.0</v>
      </c>
      <c r="B237" s="47" t="s">
        <v>43</v>
      </c>
      <c r="C237" s="47" t="s">
        <v>20</v>
      </c>
      <c r="D237" s="47" t="s">
        <v>58</v>
      </c>
      <c r="E237" s="47" t="s">
        <v>22</v>
      </c>
      <c r="F237" s="47" t="s">
        <v>16</v>
      </c>
      <c r="G237" s="47" t="s">
        <v>373</v>
      </c>
      <c r="H237" s="47" t="s">
        <v>61</v>
      </c>
      <c r="I237" s="47" t="s">
        <v>66</v>
      </c>
      <c r="J237" s="327"/>
      <c r="K237" s="47" t="s">
        <v>374</v>
      </c>
      <c r="L237" s="47" t="s">
        <v>68</v>
      </c>
      <c r="M237" s="47" t="s">
        <v>1331</v>
      </c>
    </row>
    <row r="238">
      <c r="A238" s="328">
        <v>45278.0</v>
      </c>
      <c r="B238" s="47" t="s">
        <v>43</v>
      </c>
      <c r="C238" s="47" t="s">
        <v>76</v>
      </c>
      <c r="D238" s="47" t="s">
        <v>95</v>
      </c>
      <c r="E238" s="47" t="s">
        <v>15</v>
      </c>
      <c r="F238" s="47" t="s">
        <v>16</v>
      </c>
      <c r="G238" s="47" t="s">
        <v>375</v>
      </c>
      <c r="H238" s="327"/>
      <c r="I238" s="47" t="s">
        <v>346</v>
      </c>
      <c r="J238" s="327"/>
      <c r="K238" s="327"/>
      <c r="L238" s="47" t="s">
        <v>71</v>
      </c>
      <c r="M238" s="47" t="s">
        <v>1331</v>
      </c>
    </row>
    <row r="239">
      <c r="A239" s="328">
        <v>45273.0</v>
      </c>
      <c r="B239" s="47" t="s">
        <v>56</v>
      </c>
      <c r="C239" s="47" t="s">
        <v>83</v>
      </c>
      <c r="D239" s="47" t="s">
        <v>14</v>
      </c>
      <c r="E239" s="47" t="s">
        <v>22</v>
      </c>
      <c r="F239" s="47" t="s">
        <v>16</v>
      </c>
      <c r="G239" s="47" t="s">
        <v>376</v>
      </c>
      <c r="H239" s="47" t="s">
        <v>61</v>
      </c>
      <c r="I239" s="47" t="s">
        <v>66</v>
      </c>
      <c r="J239" s="327"/>
      <c r="K239" s="47" t="s">
        <v>377</v>
      </c>
      <c r="L239" s="47" t="s">
        <v>71</v>
      </c>
      <c r="M239" s="47" t="s">
        <v>1331</v>
      </c>
    </row>
    <row r="240">
      <c r="A240" s="328">
        <v>45247.0</v>
      </c>
      <c r="B240" s="47" t="s">
        <v>56</v>
      </c>
      <c r="C240" s="47" t="s">
        <v>57</v>
      </c>
      <c r="D240" s="47" t="s">
        <v>21</v>
      </c>
      <c r="E240" s="47" t="s">
        <v>15</v>
      </c>
      <c r="F240" s="47" t="s">
        <v>16</v>
      </c>
      <c r="G240" s="47" t="s">
        <v>378</v>
      </c>
      <c r="H240" s="47" t="s">
        <v>97</v>
      </c>
      <c r="I240" s="47" t="s">
        <v>334</v>
      </c>
      <c r="J240" s="47" t="s">
        <v>70</v>
      </c>
      <c r="K240" s="327"/>
      <c r="L240" s="47" t="s">
        <v>71</v>
      </c>
      <c r="M240" s="47" t="s">
        <v>1331</v>
      </c>
    </row>
    <row r="241">
      <c r="A241" s="328">
        <v>45218.0</v>
      </c>
      <c r="B241" s="47" t="s">
        <v>121</v>
      </c>
      <c r="C241" s="47" t="s">
        <v>76</v>
      </c>
      <c r="D241" s="47" t="s">
        <v>77</v>
      </c>
      <c r="E241" s="47" t="s">
        <v>15</v>
      </c>
      <c r="F241" s="47" t="s">
        <v>16</v>
      </c>
      <c r="G241" s="47" t="s">
        <v>379</v>
      </c>
      <c r="H241" s="47" t="s">
        <v>97</v>
      </c>
      <c r="I241" s="47" t="s">
        <v>346</v>
      </c>
      <c r="J241" s="47" t="s">
        <v>127</v>
      </c>
      <c r="K241" s="327"/>
      <c r="L241" s="47" t="s">
        <v>167</v>
      </c>
      <c r="M241" s="47" t="s">
        <v>1331</v>
      </c>
    </row>
    <row r="242">
      <c r="A242" s="328">
        <v>45189.0</v>
      </c>
      <c r="B242" s="47" t="s">
        <v>121</v>
      </c>
      <c r="C242" s="47" t="s">
        <v>36</v>
      </c>
      <c r="D242" s="47" t="s">
        <v>81</v>
      </c>
      <c r="E242" s="47" t="s">
        <v>22</v>
      </c>
      <c r="F242" s="47" t="s">
        <v>16</v>
      </c>
      <c r="G242" s="47" t="s">
        <v>380</v>
      </c>
      <c r="H242" s="327"/>
      <c r="I242" s="47" t="s">
        <v>381</v>
      </c>
      <c r="J242" s="327"/>
      <c r="K242" s="327"/>
      <c r="L242" s="47" t="s">
        <v>167</v>
      </c>
      <c r="M242" s="47" t="s">
        <v>1331</v>
      </c>
    </row>
    <row r="243">
      <c r="A243" s="328">
        <v>45189.0</v>
      </c>
      <c r="B243" s="47" t="s">
        <v>121</v>
      </c>
      <c r="C243" s="47" t="s">
        <v>36</v>
      </c>
      <c r="D243" s="47" t="s">
        <v>44</v>
      </c>
      <c r="E243" s="47" t="s">
        <v>22</v>
      </c>
      <c r="F243" s="47" t="s">
        <v>16</v>
      </c>
      <c r="G243" s="47" t="s">
        <v>382</v>
      </c>
      <c r="H243" s="47" t="s">
        <v>61</v>
      </c>
      <c r="I243" s="47" t="s">
        <v>381</v>
      </c>
      <c r="J243" s="327"/>
      <c r="K243" s="327"/>
      <c r="L243" s="47" t="s">
        <v>63</v>
      </c>
      <c r="M243" s="47" t="s">
        <v>1331</v>
      </c>
    </row>
    <row r="244">
      <c r="A244" s="328">
        <v>45223.0</v>
      </c>
      <c r="B244" s="47" t="s">
        <v>43</v>
      </c>
      <c r="C244" s="47" t="s">
        <v>57</v>
      </c>
      <c r="D244" s="47" t="s">
        <v>21</v>
      </c>
      <c r="E244" s="47" t="s">
        <v>64</v>
      </c>
      <c r="F244" s="47" t="s">
        <v>64</v>
      </c>
      <c r="G244" s="47" t="s">
        <v>383</v>
      </c>
      <c r="H244" s="47" t="s">
        <v>61</v>
      </c>
      <c r="I244" s="47" t="s">
        <v>334</v>
      </c>
      <c r="J244" s="47" t="s">
        <v>66</v>
      </c>
      <c r="K244" s="327"/>
      <c r="L244" s="327"/>
      <c r="M244" s="47" t="e">
        <v>#N/A</v>
      </c>
    </row>
    <row r="245">
      <c r="A245" s="328">
        <v>45223.0</v>
      </c>
      <c r="B245" s="47" t="s">
        <v>43</v>
      </c>
      <c r="C245" s="47" t="s">
        <v>36</v>
      </c>
      <c r="D245" s="47" t="s">
        <v>44</v>
      </c>
      <c r="E245" s="47" t="s">
        <v>22</v>
      </c>
      <c r="F245" s="47" t="s">
        <v>86</v>
      </c>
      <c r="G245" s="47" t="s">
        <v>384</v>
      </c>
      <c r="H245" s="327"/>
      <c r="I245" s="47" t="s">
        <v>70</v>
      </c>
      <c r="J245" s="47" t="s">
        <v>66</v>
      </c>
      <c r="K245" s="327"/>
      <c r="L245" s="327"/>
      <c r="M245" s="47" t="e">
        <v>#N/A</v>
      </c>
    </row>
    <row r="246">
      <c r="A246" s="328">
        <v>45157.0</v>
      </c>
      <c r="B246" s="47" t="s">
        <v>385</v>
      </c>
      <c r="C246" s="47" t="s">
        <v>20</v>
      </c>
      <c r="D246" s="47" t="s">
        <v>386</v>
      </c>
      <c r="E246" s="47" t="s">
        <v>22</v>
      </c>
      <c r="F246" s="47" t="s">
        <v>16</v>
      </c>
      <c r="G246" s="47" t="s">
        <v>387</v>
      </c>
      <c r="H246" s="327"/>
      <c r="I246" s="47" t="s">
        <v>67</v>
      </c>
      <c r="J246" s="47" t="s">
        <v>66</v>
      </c>
      <c r="K246" s="327"/>
      <c r="L246" s="47" t="s">
        <v>71</v>
      </c>
      <c r="M246" s="47" t="e">
        <v>#N/A</v>
      </c>
    </row>
    <row r="247">
      <c r="A247" s="328">
        <v>45240.0</v>
      </c>
      <c r="B247" s="47" t="s">
        <v>172</v>
      </c>
      <c r="C247" s="47" t="s">
        <v>83</v>
      </c>
      <c r="D247" s="47" t="s">
        <v>21</v>
      </c>
      <c r="E247" s="47" t="s">
        <v>64</v>
      </c>
      <c r="F247" s="47" t="s">
        <v>64</v>
      </c>
      <c r="G247" s="47" t="s">
        <v>388</v>
      </c>
      <c r="H247" s="47" t="s">
        <v>61</v>
      </c>
      <c r="I247" s="47" t="s">
        <v>389</v>
      </c>
      <c r="J247" s="47" t="s">
        <v>66</v>
      </c>
      <c r="K247" s="327"/>
      <c r="L247" s="327"/>
      <c r="M247" s="47" t="s">
        <v>1333</v>
      </c>
    </row>
    <row r="248">
      <c r="A248" s="328">
        <v>45152.0</v>
      </c>
      <c r="B248" s="47" t="s">
        <v>25</v>
      </c>
      <c r="C248" s="47" t="s">
        <v>49</v>
      </c>
      <c r="D248" s="47" t="s">
        <v>21</v>
      </c>
      <c r="E248" s="47" t="s">
        <v>64</v>
      </c>
      <c r="F248" s="47" t="s">
        <v>16</v>
      </c>
      <c r="G248" s="47" t="s">
        <v>390</v>
      </c>
      <c r="H248" s="47" t="s">
        <v>61</v>
      </c>
      <c r="I248" s="47" t="s">
        <v>391</v>
      </c>
      <c r="J248" s="47" t="s">
        <v>351</v>
      </c>
      <c r="K248" s="327"/>
      <c r="L248" s="327"/>
      <c r="M248" s="47" t="s">
        <v>1333</v>
      </c>
    </row>
    <row r="249">
      <c r="A249" s="328">
        <v>45127.0</v>
      </c>
      <c r="B249" s="47" t="s">
        <v>25</v>
      </c>
      <c r="C249" s="47" t="s">
        <v>49</v>
      </c>
      <c r="D249" s="47" t="s">
        <v>21</v>
      </c>
      <c r="E249" s="47" t="s">
        <v>64</v>
      </c>
      <c r="F249" s="47" t="s">
        <v>16</v>
      </c>
      <c r="G249" s="47" t="s">
        <v>392</v>
      </c>
      <c r="H249" s="327"/>
      <c r="I249" s="47" t="s">
        <v>391</v>
      </c>
      <c r="J249" s="47" t="s">
        <v>351</v>
      </c>
      <c r="K249" s="327"/>
      <c r="L249" s="327"/>
      <c r="M249" s="47" t="s">
        <v>1333</v>
      </c>
    </row>
    <row r="250">
      <c r="A250" s="328">
        <v>45127.0</v>
      </c>
      <c r="B250" s="47" t="s">
        <v>25</v>
      </c>
      <c r="C250" s="47" t="s">
        <v>57</v>
      </c>
      <c r="D250" s="47" t="s">
        <v>21</v>
      </c>
      <c r="E250" s="47" t="s">
        <v>15</v>
      </c>
      <c r="F250" s="47" t="s">
        <v>16</v>
      </c>
      <c r="G250" s="47" t="s">
        <v>393</v>
      </c>
      <c r="H250" s="327"/>
      <c r="I250" s="47" t="s">
        <v>394</v>
      </c>
      <c r="J250" s="47" t="s">
        <v>70</v>
      </c>
      <c r="K250" s="327"/>
      <c r="L250" s="47" t="s">
        <v>144</v>
      </c>
      <c r="M250" s="47" t="s">
        <v>1333</v>
      </c>
    </row>
    <row r="251">
      <c r="A251" s="328">
        <v>45107.0</v>
      </c>
      <c r="B251" s="47" t="s">
        <v>19</v>
      </c>
      <c r="C251" s="47" t="s">
        <v>57</v>
      </c>
      <c r="D251" s="47" t="s">
        <v>21</v>
      </c>
      <c r="E251" s="47" t="s">
        <v>22</v>
      </c>
      <c r="F251" s="47" t="s">
        <v>16</v>
      </c>
      <c r="G251" s="47" t="s">
        <v>395</v>
      </c>
      <c r="H251" s="327"/>
      <c r="I251" s="47" t="s">
        <v>394</v>
      </c>
      <c r="J251" s="47" t="s">
        <v>70</v>
      </c>
      <c r="K251" s="327"/>
      <c r="L251" s="47" t="s">
        <v>144</v>
      </c>
      <c r="M251" s="47" t="s">
        <v>1333</v>
      </c>
    </row>
    <row r="252">
      <c r="A252" s="328">
        <v>45107.0</v>
      </c>
      <c r="B252" s="47" t="s">
        <v>19</v>
      </c>
      <c r="C252" s="47" t="s">
        <v>57</v>
      </c>
      <c r="D252" s="47" t="s">
        <v>21</v>
      </c>
      <c r="E252" s="47" t="s">
        <v>22</v>
      </c>
      <c r="F252" s="47" t="s">
        <v>16</v>
      </c>
      <c r="G252" s="47" t="s">
        <v>396</v>
      </c>
      <c r="H252" s="47" t="s">
        <v>61</v>
      </c>
      <c r="I252" s="47" t="s">
        <v>394</v>
      </c>
      <c r="J252" s="47" t="s">
        <v>66</v>
      </c>
      <c r="K252" s="47" t="s">
        <v>397</v>
      </c>
      <c r="L252" s="47" t="s">
        <v>71</v>
      </c>
      <c r="M252" s="47" t="s">
        <v>1333</v>
      </c>
    </row>
    <row r="253">
      <c r="A253" s="328">
        <v>45107.0</v>
      </c>
      <c r="B253" s="47" t="s">
        <v>19</v>
      </c>
      <c r="C253" s="47" t="s">
        <v>57</v>
      </c>
      <c r="D253" s="47" t="s">
        <v>21</v>
      </c>
      <c r="E253" s="47" t="s">
        <v>22</v>
      </c>
      <c r="F253" s="47" t="s">
        <v>16</v>
      </c>
      <c r="G253" s="47" t="s">
        <v>398</v>
      </c>
      <c r="H253" s="47" t="s">
        <v>397</v>
      </c>
      <c r="I253" s="47" t="s">
        <v>394</v>
      </c>
      <c r="J253" s="47" t="s">
        <v>66</v>
      </c>
      <c r="K253" s="327"/>
      <c r="L253" s="47" t="s">
        <v>144</v>
      </c>
      <c r="M253" s="47" t="s">
        <v>1333</v>
      </c>
    </row>
    <row r="254">
      <c r="A254" s="328">
        <v>45079.0</v>
      </c>
      <c r="B254" s="47" t="s">
        <v>43</v>
      </c>
      <c r="C254" s="47" t="s">
        <v>57</v>
      </c>
      <c r="D254" s="47" t="s">
        <v>21</v>
      </c>
      <c r="E254" s="47" t="s">
        <v>22</v>
      </c>
      <c r="F254" s="47" t="s">
        <v>64</v>
      </c>
      <c r="G254" s="47" t="s">
        <v>399</v>
      </c>
      <c r="H254" s="327"/>
      <c r="I254" s="47" t="s">
        <v>394</v>
      </c>
      <c r="J254" s="327"/>
      <c r="K254" s="327"/>
      <c r="L254" s="47" t="s">
        <v>68</v>
      </c>
      <c r="M254" s="47" t="s">
        <v>1333</v>
      </c>
    </row>
    <row r="255">
      <c r="A255" s="328">
        <v>45079.0</v>
      </c>
      <c r="B255" s="47" t="s">
        <v>43</v>
      </c>
      <c r="C255" s="47" t="s">
        <v>57</v>
      </c>
      <c r="D255" s="47" t="s">
        <v>21</v>
      </c>
      <c r="E255" s="47" t="s">
        <v>22</v>
      </c>
      <c r="F255" s="47" t="s">
        <v>16</v>
      </c>
      <c r="G255" s="47" t="s">
        <v>400</v>
      </c>
      <c r="H255" s="47" t="s">
        <v>61</v>
      </c>
      <c r="I255" s="47" t="s">
        <v>394</v>
      </c>
      <c r="J255" s="327"/>
      <c r="K255" s="327"/>
      <c r="L255" s="47" t="s">
        <v>63</v>
      </c>
      <c r="M255" s="47" t="s">
        <v>1333</v>
      </c>
    </row>
    <row r="256">
      <c r="A256" s="328">
        <v>45068.0</v>
      </c>
      <c r="B256" s="47" t="s">
        <v>43</v>
      </c>
      <c r="C256" s="47" t="s">
        <v>57</v>
      </c>
      <c r="D256" s="47" t="s">
        <v>21</v>
      </c>
      <c r="E256" s="47" t="s">
        <v>22</v>
      </c>
      <c r="F256" s="47" t="s">
        <v>16</v>
      </c>
      <c r="G256" s="47" t="s">
        <v>401</v>
      </c>
      <c r="H256" s="47" t="s">
        <v>97</v>
      </c>
      <c r="I256" s="47" t="s">
        <v>394</v>
      </c>
      <c r="J256" s="47" t="s">
        <v>70</v>
      </c>
      <c r="K256" s="327"/>
      <c r="L256" s="47" t="s">
        <v>63</v>
      </c>
      <c r="M256" s="47" t="s">
        <v>1333</v>
      </c>
    </row>
    <row r="257">
      <c r="A257" s="328">
        <v>45037.0</v>
      </c>
      <c r="B257" s="47" t="s">
        <v>56</v>
      </c>
      <c r="C257" s="47" t="s">
        <v>30</v>
      </c>
      <c r="D257" s="47" t="s">
        <v>44</v>
      </c>
      <c r="E257" s="47" t="s">
        <v>22</v>
      </c>
      <c r="F257" s="47" t="s">
        <v>16</v>
      </c>
      <c r="G257" s="47" t="s">
        <v>402</v>
      </c>
      <c r="H257" s="47" t="s">
        <v>97</v>
      </c>
      <c r="I257" s="47" t="s">
        <v>127</v>
      </c>
      <c r="J257" s="47" t="s">
        <v>127</v>
      </c>
      <c r="K257" s="327"/>
      <c r="L257" s="47" t="s">
        <v>63</v>
      </c>
      <c r="M257" s="47" t="s">
        <v>1333</v>
      </c>
    </row>
    <row r="258">
      <c r="A258" s="328">
        <v>45033.0</v>
      </c>
      <c r="B258" s="47" t="s">
        <v>56</v>
      </c>
      <c r="C258" s="47" t="s">
        <v>57</v>
      </c>
      <c r="D258" s="47" t="s">
        <v>21</v>
      </c>
      <c r="E258" s="47" t="s">
        <v>22</v>
      </c>
      <c r="F258" s="47" t="s">
        <v>16</v>
      </c>
      <c r="G258" s="47" t="s">
        <v>403</v>
      </c>
      <c r="H258" s="47" t="s">
        <v>97</v>
      </c>
      <c r="I258" s="47" t="s">
        <v>404</v>
      </c>
      <c r="J258" s="47" t="s">
        <v>70</v>
      </c>
      <c r="K258" s="327"/>
      <c r="L258" s="47" t="s">
        <v>63</v>
      </c>
      <c r="M258" s="47" t="s">
        <v>1333</v>
      </c>
    </row>
    <row r="259">
      <c r="A259" s="328">
        <v>45034.0</v>
      </c>
      <c r="B259" s="47" t="s">
        <v>56</v>
      </c>
      <c r="C259" s="47" t="s">
        <v>57</v>
      </c>
      <c r="D259" s="47" t="s">
        <v>21</v>
      </c>
      <c r="E259" s="47" t="s">
        <v>15</v>
      </c>
      <c r="F259" s="47" t="s">
        <v>16</v>
      </c>
      <c r="G259" s="47" t="s">
        <v>405</v>
      </c>
      <c r="H259" s="47" t="s">
        <v>97</v>
      </c>
      <c r="I259" s="47" t="s">
        <v>404</v>
      </c>
      <c r="J259" s="47" t="s">
        <v>67</v>
      </c>
      <c r="K259" s="327"/>
      <c r="L259" s="47" t="s">
        <v>68</v>
      </c>
      <c r="M259" s="47" t="s">
        <v>1333</v>
      </c>
    </row>
    <row r="260">
      <c r="A260" s="328">
        <v>45068.0</v>
      </c>
      <c r="B260" s="47" t="s">
        <v>43</v>
      </c>
      <c r="C260" s="47" t="s">
        <v>49</v>
      </c>
      <c r="D260" s="47" t="s">
        <v>95</v>
      </c>
      <c r="E260" s="47" t="s">
        <v>22</v>
      </c>
      <c r="F260" s="47" t="s">
        <v>16</v>
      </c>
      <c r="G260" s="47" t="s">
        <v>406</v>
      </c>
      <c r="H260" s="47" t="s">
        <v>97</v>
      </c>
      <c r="I260" s="47" t="s">
        <v>407</v>
      </c>
      <c r="J260" s="47" t="s">
        <v>70</v>
      </c>
      <c r="K260" s="327"/>
      <c r="L260" s="47" t="s">
        <v>71</v>
      </c>
      <c r="M260" s="47" t="s">
        <v>1333</v>
      </c>
    </row>
    <row r="261">
      <c r="A261" s="328">
        <v>45061.0</v>
      </c>
      <c r="B261" s="47" t="s">
        <v>43</v>
      </c>
      <c r="C261" s="47" t="s">
        <v>49</v>
      </c>
      <c r="D261" s="47" t="s">
        <v>95</v>
      </c>
      <c r="E261" s="47" t="s">
        <v>22</v>
      </c>
      <c r="F261" s="47" t="s">
        <v>16</v>
      </c>
      <c r="G261" s="47" t="s">
        <v>408</v>
      </c>
      <c r="H261" s="327"/>
      <c r="I261" s="47" t="s">
        <v>407</v>
      </c>
      <c r="J261" s="47" t="s">
        <v>70</v>
      </c>
      <c r="K261" s="327"/>
      <c r="L261" s="47" t="s">
        <v>71</v>
      </c>
      <c r="M261" s="47" t="s">
        <v>1333</v>
      </c>
    </row>
    <row r="262">
      <c r="A262" s="328">
        <v>45057.0</v>
      </c>
      <c r="B262" s="47" t="s">
        <v>43</v>
      </c>
      <c r="C262" s="47" t="s">
        <v>13</v>
      </c>
      <c r="D262" s="47" t="s">
        <v>95</v>
      </c>
      <c r="E262" s="47" t="s">
        <v>15</v>
      </c>
      <c r="F262" s="47" t="s">
        <v>16</v>
      </c>
      <c r="G262" s="47" t="s">
        <v>1334</v>
      </c>
      <c r="H262" s="47" t="s">
        <v>97</v>
      </c>
      <c r="I262" s="47" t="s">
        <v>79</v>
      </c>
      <c r="J262" s="47" t="s">
        <v>70</v>
      </c>
      <c r="K262" s="327"/>
      <c r="L262" s="47" t="s">
        <v>71</v>
      </c>
      <c r="M262" s="47" t="s">
        <v>1333</v>
      </c>
    </row>
    <row r="263">
      <c r="A263" s="328">
        <v>45017.0</v>
      </c>
      <c r="B263" s="47" t="s">
        <v>121</v>
      </c>
      <c r="C263" s="47" t="s">
        <v>20</v>
      </c>
      <c r="D263" s="47" t="s">
        <v>58</v>
      </c>
      <c r="E263" s="47" t="s">
        <v>22</v>
      </c>
      <c r="F263" s="47" t="s">
        <v>16</v>
      </c>
      <c r="G263" s="47" t="s">
        <v>410</v>
      </c>
      <c r="H263" s="47" t="s">
        <v>97</v>
      </c>
      <c r="I263" s="47" t="s">
        <v>67</v>
      </c>
      <c r="J263" s="47" t="s">
        <v>70</v>
      </c>
      <c r="K263" s="327"/>
      <c r="L263" s="47" t="s">
        <v>68</v>
      </c>
      <c r="M263" s="47" t="s">
        <v>1333</v>
      </c>
    </row>
    <row r="264">
      <c r="A264" s="328">
        <v>45028.0</v>
      </c>
      <c r="B264" s="47" t="s">
        <v>56</v>
      </c>
      <c r="C264" s="47" t="s">
        <v>57</v>
      </c>
      <c r="D264" s="47" t="s">
        <v>21</v>
      </c>
      <c r="E264" s="47" t="s">
        <v>15</v>
      </c>
      <c r="F264" s="47" t="s">
        <v>16</v>
      </c>
      <c r="G264" s="47" t="s">
        <v>411</v>
      </c>
      <c r="H264" s="327"/>
      <c r="I264" s="47" t="s">
        <v>334</v>
      </c>
      <c r="J264" s="47" t="s">
        <v>70</v>
      </c>
      <c r="K264" s="327"/>
      <c r="L264" s="47" t="s">
        <v>68</v>
      </c>
      <c r="M264" s="47" t="s">
        <v>1333</v>
      </c>
    </row>
    <row r="265">
      <c r="A265" s="328">
        <v>45316.0</v>
      </c>
      <c r="B265" s="47" t="s">
        <v>172</v>
      </c>
      <c r="C265" s="47" t="s">
        <v>36</v>
      </c>
      <c r="D265" s="47" t="s">
        <v>14</v>
      </c>
      <c r="E265" s="47" t="s">
        <v>64</v>
      </c>
      <c r="F265" s="47" t="s">
        <v>16</v>
      </c>
      <c r="G265" s="47" t="s">
        <v>412</v>
      </c>
      <c r="H265" s="47" t="s">
        <v>61</v>
      </c>
      <c r="I265" s="47" t="s">
        <v>66</v>
      </c>
      <c r="J265" s="327"/>
      <c r="K265" s="327"/>
      <c r="L265" s="47" t="s">
        <v>68</v>
      </c>
      <c r="M265" s="47" t="s">
        <v>1335</v>
      </c>
    </row>
    <row r="266">
      <c r="A266" s="328">
        <v>45104.0</v>
      </c>
      <c r="B266" s="47" t="s">
        <v>25</v>
      </c>
      <c r="C266" s="47" t="s">
        <v>36</v>
      </c>
      <c r="D266" s="47" t="s">
        <v>14</v>
      </c>
      <c r="E266" s="47" t="s">
        <v>64</v>
      </c>
      <c r="F266" s="47" t="s">
        <v>64</v>
      </c>
      <c r="G266" s="47" t="s">
        <v>413</v>
      </c>
      <c r="H266" s="327"/>
      <c r="I266" s="47" t="s">
        <v>66</v>
      </c>
      <c r="J266" s="327"/>
      <c r="K266" s="327"/>
      <c r="L266" s="47" t="s">
        <v>68</v>
      </c>
      <c r="M266" s="47" t="s">
        <v>1335</v>
      </c>
    </row>
    <row r="267">
      <c r="A267" s="328">
        <v>45022.0</v>
      </c>
      <c r="B267" s="47" t="s">
        <v>25</v>
      </c>
      <c r="C267" s="47" t="s">
        <v>26</v>
      </c>
      <c r="D267" s="47" t="s">
        <v>14</v>
      </c>
      <c r="E267" s="47" t="s">
        <v>22</v>
      </c>
      <c r="F267" s="47" t="s">
        <v>16</v>
      </c>
      <c r="G267" s="47" t="s">
        <v>414</v>
      </c>
      <c r="H267" s="47" t="s">
        <v>61</v>
      </c>
      <c r="I267" s="47" t="s">
        <v>67</v>
      </c>
      <c r="J267" s="47" t="s">
        <v>66</v>
      </c>
      <c r="K267" s="47" t="s">
        <v>415</v>
      </c>
      <c r="L267" s="47" t="s">
        <v>162</v>
      </c>
      <c r="M267" s="47" t="s">
        <v>1335</v>
      </c>
    </row>
    <row r="268">
      <c r="A268" s="328">
        <v>45022.0</v>
      </c>
      <c r="B268" s="47" t="s">
        <v>25</v>
      </c>
      <c r="C268" s="47" t="s">
        <v>26</v>
      </c>
      <c r="D268" s="47" t="s">
        <v>14</v>
      </c>
      <c r="E268" s="47" t="s">
        <v>15</v>
      </c>
      <c r="F268" s="47" t="s">
        <v>16</v>
      </c>
      <c r="G268" s="47" t="s">
        <v>416</v>
      </c>
      <c r="H268" s="47" t="s">
        <v>61</v>
      </c>
      <c r="I268" s="47" t="s">
        <v>66</v>
      </c>
      <c r="J268" s="47" t="s">
        <v>67</v>
      </c>
      <c r="K268" s="47" t="s">
        <v>415</v>
      </c>
      <c r="L268" s="47" t="s">
        <v>71</v>
      </c>
      <c r="M268" s="47" t="s">
        <v>1335</v>
      </c>
    </row>
    <row r="269">
      <c r="A269" s="328">
        <v>45054.0</v>
      </c>
      <c r="B269" s="47" t="s">
        <v>12</v>
      </c>
      <c r="C269" s="47" t="s">
        <v>26</v>
      </c>
      <c r="D269" s="47" t="s">
        <v>27</v>
      </c>
      <c r="E269" s="47" t="s">
        <v>22</v>
      </c>
      <c r="F269" s="47" t="s">
        <v>64</v>
      </c>
      <c r="G269" s="47" t="s">
        <v>417</v>
      </c>
      <c r="H269" s="47" t="s">
        <v>61</v>
      </c>
      <c r="I269" s="47" t="s">
        <v>115</v>
      </c>
      <c r="J269" s="47" t="s">
        <v>66</v>
      </c>
      <c r="K269" s="327"/>
      <c r="L269" s="47" t="s">
        <v>68</v>
      </c>
      <c r="M269" s="47" t="s">
        <v>1335</v>
      </c>
    </row>
    <row r="270">
      <c r="A270" s="328">
        <v>45033.0</v>
      </c>
      <c r="B270" s="47" t="s">
        <v>25</v>
      </c>
      <c r="C270" s="47" t="s">
        <v>83</v>
      </c>
      <c r="D270" s="47" t="s">
        <v>27</v>
      </c>
      <c r="E270" s="47" t="s">
        <v>15</v>
      </c>
      <c r="F270" s="47" t="s">
        <v>16</v>
      </c>
      <c r="G270" s="47" t="s">
        <v>418</v>
      </c>
      <c r="H270" s="327"/>
      <c r="I270" s="47" t="s">
        <v>66</v>
      </c>
      <c r="J270" s="327"/>
      <c r="K270" s="47" t="s">
        <v>419</v>
      </c>
      <c r="L270" s="47" t="s">
        <v>71</v>
      </c>
      <c r="M270" s="47" t="s">
        <v>1335</v>
      </c>
    </row>
    <row r="271">
      <c r="A271" s="328">
        <v>45006.0</v>
      </c>
      <c r="B271" s="47" t="s">
        <v>25</v>
      </c>
      <c r="C271" s="47" t="s">
        <v>57</v>
      </c>
      <c r="D271" s="47" t="s">
        <v>27</v>
      </c>
      <c r="E271" s="47" t="s">
        <v>15</v>
      </c>
      <c r="F271" s="47" t="s">
        <v>16</v>
      </c>
      <c r="G271" s="47" t="s">
        <v>420</v>
      </c>
      <c r="H271" s="47" t="s">
        <v>61</v>
      </c>
      <c r="I271" s="47" t="s">
        <v>334</v>
      </c>
      <c r="J271" s="47" t="s">
        <v>127</v>
      </c>
      <c r="K271" s="327"/>
      <c r="L271" s="47" t="s">
        <v>71</v>
      </c>
      <c r="M271" s="47" t="s">
        <v>1335</v>
      </c>
    </row>
    <row r="272">
      <c r="A272" s="328">
        <v>44986.0</v>
      </c>
      <c r="B272" s="47" t="s">
        <v>19</v>
      </c>
      <c r="C272" s="47" t="s">
        <v>57</v>
      </c>
      <c r="D272" s="47" t="s">
        <v>58</v>
      </c>
      <c r="E272" s="47" t="s">
        <v>15</v>
      </c>
      <c r="F272" s="47" t="s">
        <v>16</v>
      </c>
      <c r="G272" s="47" t="s">
        <v>421</v>
      </c>
      <c r="H272" s="47" t="s">
        <v>61</v>
      </c>
      <c r="I272" s="47" t="s">
        <v>334</v>
      </c>
      <c r="J272" s="327"/>
      <c r="K272" s="47" t="s">
        <v>422</v>
      </c>
      <c r="L272" s="47" t="s">
        <v>144</v>
      </c>
      <c r="M272" s="47" t="s">
        <v>1335</v>
      </c>
    </row>
    <row r="273">
      <c r="A273" s="328">
        <v>45019.0</v>
      </c>
      <c r="B273" s="47" t="s">
        <v>19</v>
      </c>
      <c r="C273" s="47" t="s">
        <v>76</v>
      </c>
      <c r="D273" s="47" t="s">
        <v>14</v>
      </c>
      <c r="E273" s="47" t="s">
        <v>15</v>
      </c>
      <c r="F273" s="47" t="s">
        <v>16</v>
      </c>
      <c r="G273" s="47" t="s">
        <v>423</v>
      </c>
      <c r="H273" s="47" t="s">
        <v>97</v>
      </c>
      <c r="I273" s="47" t="s">
        <v>346</v>
      </c>
      <c r="J273" s="327"/>
      <c r="K273" s="330" t="s">
        <v>424</v>
      </c>
      <c r="L273" s="47" t="s">
        <v>71</v>
      </c>
      <c r="M273" s="47" t="s">
        <v>1335</v>
      </c>
    </row>
    <row r="274">
      <c r="A274" s="328">
        <v>45010.0</v>
      </c>
      <c r="B274" s="47" t="s">
        <v>43</v>
      </c>
      <c r="C274" s="47" t="s">
        <v>76</v>
      </c>
      <c r="D274" s="47" t="s">
        <v>14</v>
      </c>
      <c r="E274" s="47" t="s">
        <v>15</v>
      </c>
      <c r="F274" s="47" t="s">
        <v>16</v>
      </c>
      <c r="G274" s="47" t="s">
        <v>425</v>
      </c>
      <c r="H274" s="47" t="s">
        <v>97</v>
      </c>
      <c r="I274" s="47" t="s">
        <v>346</v>
      </c>
      <c r="J274" s="327"/>
      <c r="K274" s="47" t="s">
        <v>426</v>
      </c>
      <c r="L274" s="47" t="s">
        <v>68</v>
      </c>
      <c r="M274" s="47" t="s">
        <v>1335</v>
      </c>
    </row>
    <row r="275">
      <c r="A275" s="328">
        <v>45006.0</v>
      </c>
      <c r="B275" s="47" t="s">
        <v>25</v>
      </c>
      <c r="C275" s="47" t="s">
        <v>57</v>
      </c>
      <c r="D275" s="47" t="s">
        <v>27</v>
      </c>
      <c r="E275" s="47" t="s">
        <v>64</v>
      </c>
      <c r="F275" s="47" t="s">
        <v>16</v>
      </c>
      <c r="G275" s="47" t="s">
        <v>427</v>
      </c>
      <c r="H275" s="47" t="s">
        <v>61</v>
      </c>
      <c r="I275" s="47" t="s">
        <v>79</v>
      </c>
      <c r="J275" s="327"/>
      <c r="K275" s="47" t="s">
        <v>61</v>
      </c>
      <c r="L275" s="47" t="s">
        <v>144</v>
      </c>
      <c r="M275" s="47" t="s">
        <v>1335</v>
      </c>
    </row>
    <row r="276">
      <c r="A276" s="328">
        <v>45006.0</v>
      </c>
      <c r="B276" s="47" t="s">
        <v>25</v>
      </c>
      <c r="C276" s="47" t="s">
        <v>57</v>
      </c>
      <c r="D276" s="47" t="s">
        <v>27</v>
      </c>
      <c r="E276" s="47" t="s">
        <v>22</v>
      </c>
      <c r="F276" s="47" t="s">
        <v>16</v>
      </c>
      <c r="G276" s="47" t="s">
        <v>428</v>
      </c>
      <c r="H276" s="47" t="s">
        <v>61</v>
      </c>
      <c r="I276" s="47" t="s">
        <v>334</v>
      </c>
      <c r="J276" s="47" t="s">
        <v>66</v>
      </c>
      <c r="K276" s="47" t="s">
        <v>97</v>
      </c>
      <c r="L276" s="47" t="s">
        <v>167</v>
      </c>
      <c r="M276" s="47" t="s">
        <v>1335</v>
      </c>
    </row>
    <row r="277">
      <c r="A277" s="328">
        <v>44991.0</v>
      </c>
      <c r="B277" s="47" t="s">
        <v>19</v>
      </c>
      <c r="C277" s="47" t="s">
        <v>57</v>
      </c>
      <c r="D277" s="47" t="s">
        <v>21</v>
      </c>
      <c r="E277" s="47" t="s">
        <v>15</v>
      </c>
      <c r="F277" s="47" t="s">
        <v>16</v>
      </c>
      <c r="G277" s="47" t="s">
        <v>429</v>
      </c>
      <c r="H277" s="47" t="s">
        <v>61</v>
      </c>
      <c r="I277" s="47" t="s">
        <v>334</v>
      </c>
      <c r="J277" s="327"/>
      <c r="K277" s="327"/>
      <c r="L277" s="47" t="s">
        <v>144</v>
      </c>
      <c r="M277" s="47" t="s">
        <v>1335</v>
      </c>
    </row>
    <row r="278">
      <c r="A278" s="328">
        <v>44981.0</v>
      </c>
      <c r="B278" s="47" t="s">
        <v>19</v>
      </c>
      <c r="C278" s="47" t="s">
        <v>57</v>
      </c>
      <c r="D278" s="47" t="s">
        <v>21</v>
      </c>
      <c r="E278" s="47" t="s">
        <v>22</v>
      </c>
      <c r="F278" s="47" t="s">
        <v>16</v>
      </c>
      <c r="G278" s="47" t="s">
        <v>430</v>
      </c>
      <c r="H278" s="47" t="s">
        <v>61</v>
      </c>
      <c r="I278" s="47" t="s">
        <v>334</v>
      </c>
      <c r="J278" s="327"/>
      <c r="K278" s="327"/>
      <c r="L278" s="47" t="s">
        <v>71</v>
      </c>
      <c r="M278" s="47" t="s">
        <v>1335</v>
      </c>
    </row>
    <row r="279">
      <c r="A279" s="328">
        <v>44960.0</v>
      </c>
      <c r="B279" s="47" t="s">
        <v>43</v>
      </c>
      <c r="C279" s="47" t="s">
        <v>76</v>
      </c>
      <c r="D279" s="47" t="s">
        <v>58</v>
      </c>
      <c r="E279" s="47" t="s">
        <v>22</v>
      </c>
      <c r="F279" s="47" t="s">
        <v>16</v>
      </c>
      <c r="G279" s="47" t="s">
        <v>1336</v>
      </c>
      <c r="H279" s="47" t="s">
        <v>61</v>
      </c>
      <c r="I279" s="47" t="s">
        <v>79</v>
      </c>
      <c r="J279" s="47" t="s">
        <v>197</v>
      </c>
      <c r="K279" s="47" t="s">
        <v>432</v>
      </c>
      <c r="L279" s="47" t="s">
        <v>71</v>
      </c>
      <c r="M279" s="47" t="s">
        <v>1335</v>
      </c>
    </row>
    <row r="280">
      <c r="A280" s="328">
        <v>44979.0</v>
      </c>
      <c r="B280" s="47" t="s">
        <v>19</v>
      </c>
      <c r="C280" s="47" t="s">
        <v>30</v>
      </c>
      <c r="D280" s="47" t="s">
        <v>27</v>
      </c>
      <c r="E280" s="47" t="s">
        <v>64</v>
      </c>
      <c r="F280" s="47" t="s">
        <v>16</v>
      </c>
      <c r="G280" s="47" t="s">
        <v>433</v>
      </c>
      <c r="H280" s="47" t="s">
        <v>434</v>
      </c>
      <c r="I280" s="47" t="s">
        <v>127</v>
      </c>
      <c r="J280" s="327"/>
      <c r="K280" s="327"/>
      <c r="L280" s="47" t="s">
        <v>68</v>
      </c>
      <c r="M280" s="47" t="s">
        <v>1335</v>
      </c>
    </row>
    <row r="281">
      <c r="A281" s="328">
        <v>44979.0</v>
      </c>
      <c r="B281" s="47" t="s">
        <v>19</v>
      </c>
      <c r="C281" s="47" t="s">
        <v>83</v>
      </c>
      <c r="D281" s="47" t="s">
        <v>27</v>
      </c>
      <c r="E281" s="47" t="s">
        <v>64</v>
      </c>
      <c r="F281" s="47" t="s">
        <v>16</v>
      </c>
      <c r="G281" s="47" t="s">
        <v>435</v>
      </c>
      <c r="H281" s="47" t="s">
        <v>436</v>
      </c>
      <c r="I281" s="47" t="s">
        <v>66</v>
      </c>
      <c r="J281" s="327"/>
      <c r="K281" s="47" t="s">
        <v>437</v>
      </c>
      <c r="L281" s="47" t="s">
        <v>71</v>
      </c>
      <c r="M281" s="47" t="s">
        <v>1335</v>
      </c>
    </row>
    <row r="282">
      <c r="A282" s="328">
        <v>44984.0</v>
      </c>
      <c r="B282" s="47" t="s">
        <v>19</v>
      </c>
      <c r="C282" s="47" t="s">
        <v>36</v>
      </c>
      <c r="D282" s="47" t="s">
        <v>27</v>
      </c>
      <c r="E282" s="47" t="s">
        <v>64</v>
      </c>
      <c r="F282" s="47" t="s">
        <v>16</v>
      </c>
      <c r="G282" s="47" t="s">
        <v>438</v>
      </c>
      <c r="H282" s="47" t="s">
        <v>439</v>
      </c>
      <c r="I282" s="47" t="s">
        <v>66</v>
      </c>
      <c r="J282" s="327"/>
      <c r="K282" s="327"/>
      <c r="L282" s="47" t="s">
        <v>71</v>
      </c>
      <c r="M282" s="47" t="s">
        <v>1335</v>
      </c>
    </row>
    <row r="283">
      <c r="A283" s="328">
        <v>44946.0</v>
      </c>
      <c r="B283" s="47" t="s">
        <v>43</v>
      </c>
      <c r="C283" s="47" t="s">
        <v>57</v>
      </c>
      <c r="D283" s="47" t="s">
        <v>21</v>
      </c>
      <c r="E283" s="47" t="s">
        <v>22</v>
      </c>
      <c r="F283" s="47" t="s">
        <v>16</v>
      </c>
      <c r="G283" s="47" t="s">
        <v>440</v>
      </c>
      <c r="H283" s="47" t="s">
        <v>61</v>
      </c>
      <c r="I283" s="47" t="s">
        <v>334</v>
      </c>
      <c r="J283" s="327"/>
      <c r="K283" s="47" t="s">
        <v>422</v>
      </c>
      <c r="L283" s="47" t="s">
        <v>167</v>
      </c>
      <c r="M283" s="47" t="s">
        <v>1335</v>
      </c>
    </row>
    <row r="284">
      <c r="A284" s="328">
        <v>44935.0</v>
      </c>
      <c r="B284" s="47" t="s">
        <v>43</v>
      </c>
      <c r="C284" s="47" t="s">
        <v>76</v>
      </c>
      <c r="D284" s="47" t="s">
        <v>58</v>
      </c>
      <c r="E284" s="47" t="s">
        <v>22</v>
      </c>
      <c r="F284" s="47" t="s">
        <v>16</v>
      </c>
      <c r="G284" s="47" t="s">
        <v>441</v>
      </c>
      <c r="H284" s="47" t="s">
        <v>61</v>
      </c>
      <c r="I284" s="47" t="s">
        <v>127</v>
      </c>
      <c r="J284" s="47" t="s">
        <v>70</v>
      </c>
      <c r="K284" s="327"/>
      <c r="L284" s="47" t="s">
        <v>71</v>
      </c>
      <c r="M284" s="47" t="s">
        <v>1335</v>
      </c>
    </row>
    <row r="285">
      <c r="A285" s="328">
        <v>44956.0</v>
      </c>
      <c r="B285" s="47" t="s">
        <v>43</v>
      </c>
      <c r="C285" s="47" t="s">
        <v>30</v>
      </c>
      <c r="D285" s="47" t="s">
        <v>58</v>
      </c>
      <c r="E285" s="47" t="s">
        <v>64</v>
      </c>
      <c r="F285" s="47" t="s">
        <v>16</v>
      </c>
      <c r="G285" s="47" t="s">
        <v>442</v>
      </c>
      <c r="H285" s="327"/>
      <c r="I285" s="47" t="s">
        <v>115</v>
      </c>
      <c r="J285" s="47" t="s">
        <v>127</v>
      </c>
      <c r="K285" s="327"/>
      <c r="L285" s="47" t="s">
        <v>68</v>
      </c>
      <c r="M285" s="47" t="s">
        <v>1335</v>
      </c>
    </row>
    <row r="286">
      <c r="A286" s="328">
        <v>44960.0</v>
      </c>
      <c r="B286" s="47" t="s">
        <v>43</v>
      </c>
      <c r="C286" s="47" t="s">
        <v>26</v>
      </c>
      <c r="D286" s="47" t="s">
        <v>95</v>
      </c>
      <c r="E286" s="47" t="s">
        <v>22</v>
      </c>
      <c r="F286" s="47" t="s">
        <v>16</v>
      </c>
      <c r="G286" s="47" t="s">
        <v>443</v>
      </c>
      <c r="H286" s="47" t="s">
        <v>61</v>
      </c>
      <c r="I286" s="47" t="s">
        <v>66</v>
      </c>
      <c r="J286" s="47" t="s">
        <v>67</v>
      </c>
      <c r="K286" s="47" t="s">
        <v>444</v>
      </c>
      <c r="L286" s="47" t="s">
        <v>71</v>
      </c>
      <c r="M286" s="47" t="s">
        <v>1335</v>
      </c>
    </row>
    <row r="287">
      <c r="A287" s="328">
        <v>44956.0</v>
      </c>
      <c r="B287" s="47" t="s">
        <v>43</v>
      </c>
      <c r="C287" s="47" t="s">
        <v>13</v>
      </c>
      <c r="D287" s="47" t="s">
        <v>58</v>
      </c>
      <c r="E287" s="47" t="s">
        <v>22</v>
      </c>
      <c r="F287" s="47" t="s">
        <v>16</v>
      </c>
      <c r="G287" s="47" t="s">
        <v>445</v>
      </c>
      <c r="H287" s="47" t="s">
        <v>61</v>
      </c>
      <c r="I287" s="47" t="s">
        <v>79</v>
      </c>
      <c r="J287" s="47" t="s">
        <v>66</v>
      </c>
      <c r="K287" s="327"/>
      <c r="L287" s="47" t="s">
        <v>68</v>
      </c>
      <c r="M287" s="47" t="s">
        <v>1335</v>
      </c>
    </row>
    <row r="288">
      <c r="A288" s="328">
        <v>44946.0</v>
      </c>
      <c r="B288" s="47" t="s">
        <v>43</v>
      </c>
      <c r="C288" s="47" t="s">
        <v>57</v>
      </c>
      <c r="D288" s="47" t="s">
        <v>21</v>
      </c>
      <c r="E288" s="47" t="s">
        <v>22</v>
      </c>
      <c r="F288" s="47" t="s">
        <v>16</v>
      </c>
      <c r="G288" s="47" t="s">
        <v>446</v>
      </c>
      <c r="H288" s="47" t="s">
        <v>61</v>
      </c>
      <c r="I288" s="47" t="s">
        <v>334</v>
      </c>
      <c r="J288" s="327"/>
      <c r="K288" s="47" t="s">
        <v>422</v>
      </c>
      <c r="L288" s="47" t="s">
        <v>144</v>
      </c>
      <c r="M288" s="47" t="s">
        <v>1335</v>
      </c>
    </row>
    <row r="289">
      <c r="A289" s="328">
        <v>44946.0</v>
      </c>
      <c r="B289" s="47" t="s">
        <v>43</v>
      </c>
      <c r="C289" s="47" t="s">
        <v>57</v>
      </c>
      <c r="D289" s="47" t="s">
        <v>21</v>
      </c>
      <c r="E289" s="47" t="s">
        <v>22</v>
      </c>
      <c r="F289" s="47" t="s">
        <v>16</v>
      </c>
      <c r="G289" s="47" t="s">
        <v>447</v>
      </c>
      <c r="H289" s="47" t="s">
        <v>61</v>
      </c>
      <c r="I289" s="47" t="s">
        <v>334</v>
      </c>
      <c r="J289" s="47" t="s">
        <v>115</v>
      </c>
      <c r="K289" s="47" t="s">
        <v>422</v>
      </c>
      <c r="L289" s="47" t="s">
        <v>71</v>
      </c>
      <c r="M289" s="47" t="s">
        <v>1335</v>
      </c>
    </row>
    <row r="290">
      <c r="A290" s="328">
        <v>44935.0</v>
      </c>
      <c r="B290" s="47" t="s">
        <v>43</v>
      </c>
      <c r="C290" s="47" t="s">
        <v>57</v>
      </c>
      <c r="D290" s="47" t="s">
        <v>58</v>
      </c>
      <c r="E290" s="47" t="s">
        <v>22</v>
      </c>
      <c r="F290" s="47" t="s">
        <v>16</v>
      </c>
      <c r="G290" s="47" t="s">
        <v>448</v>
      </c>
      <c r="H290" s="327"/>
      <c r="I290" s="47" t="s">
        <v>334</v>
      </c>
      <c r="J290" s="47" t="s">
        <v>115</v>
      </c>
      <c r="K290" s="327"/>
      <c r="L290" s="47" t="s">
        <v>144</v>
      </c>
      <c r="M290" s="47" t="s">
        <v>1335</v>
      </c>
    </row>
    <row r="291">
      <c r="A291" s="328">
        <v>44935.0</v>
      </c>
      <c r="B291" s="47" t="s">
        <v>43</v>
      </c>
      <c r="C291" s="47" t="s">
        <v>26</v>
      </c>
      <c r="D291" s="47" t="s">
        <v>27</v>
      </c>
      <c r="E291" s="47" t="s">
        <v>22</v>
      </c>
      <c r="F291" s="47" t="s">
        <v>16</v>
      </c>
      <c r="G291" s="47" t="s">
        <v>449</v>
      </c>
      <c r="H291" s="47" t="s">
        <v>61</v>
      </c>
      <c r="I291" s="47" t="s">
        <v>66</v>
      </c>
      <c r="J291" s="47" t="s">
        <v>67</v>
      </c>
      <c r="K291" s="327"/>
      <c r="L291" s="47" t="s">
        <v>167</v>
      </c>
      <c r="M291" s="47" t="s">
        <v>1335</v>
      </c>
    </row>
    <row r="292">
      <c r="A292" s="328">
        <v>44938.0</v>
      </c>
      <c r="B292" s="47" t="s">
        <v>43</v>
      </c>
      <c r="C292" s="47" t="s">
        <v>49</v>
      </c>
      <c r="D292" s="47" t="s">
        <v>58</v>
      </c>
      <c r="E292" s="47" t="s">
        <v>22</v>
      </c>
      <c r="F292" s="47" t="s">
        <v>16</v>
      </c>
      <c r="G292" s="47" t="s">
        <v>450</v>
      </c>
      <c r="H292" s="47" t="s">
        <v>61</v>
      </c>
      <c r="I292" s="47" t="s">
        <v>115</v>
      </c>
      <c r="J292" s="327"/>
      <c r="K292" s="327"/>
      <c r="L292" s="47" t="s">
        <v>167</v>
      </c>
      <c r="M292" s="47" t="s">
        <v>1335</v>
      </c>
    </row>
    <row r="293">
      <c r="A293" s="328">
        <v>44935.0</v>
      </c>
      <c r="B293" s="47" t="s">
        <v>43</v>
      </c>
      <c r="C293" s="47" t="s">
        <v>13</v>
      </c>
      <c r="D293" s="47" t="s">
        <v>58</v>
      </c>
      <c r="E293" s="47" t="s">
        <v>22</v>
      </c>
      <c r="F293" s="47" t="s">
        <v>16</v>
      </c>
      <c r="G293" s="47" t="s">
        <v>451</v>
      </c>
      <c r="H293" s="47" t="s">
        <v>61</v>
      </c>
      <c r="I293" s="47" t="s">
        <v>79</v>
      </c>
      <c r="J293" s="327"/>
      <c r="K293" s="327"/>
      <c r="L293" s="47" t="s">
        <v>71</v>
      </c>
      <c r="M293" s="47" t="s">
        <v>1335</v>
      </c>
    </row>
    <row r="294">
      <c r="A294" s="328">
        <v>44937.0</v>
      </c>
      <c r="B294" s="47" t="s">
        <v>43</v>
      </c>
      <c r="C294" s="47" t="s">
        <v>76</v>
      </c>
      <c r="D294" s="47" t="s">
        <v>58</v>
      </c>
      <c r="E294" s="47" t="s">
        <v>64</v>
      </c>
      <c r="F294" s="47" t="s">
        <v>16</v>
      </c>
      <c r="G294" s="47" t="s">
        <v>452</v>
      </c>
      <c r="H294" s="327"/>
      <c r="I294" s="47" t="s">
        <v>346</v>
      </c>
      <c r="J294" s="327"/>
      <c r="K294" s="327"/>
      <c r="L294" s="47" t="s">
        <v>68</v>
      </c>
      <c r="M294" s="47" t="s">
        <v>1335</v>
      </c>
    </row>
    <row r="295">
      <c r="A295" s="328">
        <v>44937.0</v>
      </c>
      <c r="B295" s="47" t="s">
        <v>43</v>
      </c>
      <c r="C295" s="47" t="s">
        <v>36</v>
      </c>
      <c r="D295" s="47" t="s">
        <v>58</v>
      </c>
      <c r="E295" s="47" t="s">
        <v>22</v>
      </c>
      <c r="F295" s="47" t="s">
        <v>16</v>
      </c>
      <c r="G295" s="47" t="s">
        <v>453</v>
      </c>
      <c r="H295" s="47" t="s">
        <v>61</v>
      </c>
      <c r="I295" s="47" t="s">
        <v>66</v>
      </c>
      <c r="J295" s="327"/>
      <c r="K295" s="327"/>
      <c r="L295" s="47" t="s">
        <v>71</v>
      </c>
      <c r="M295" s="47" t="s">
        <v>1335</v>
      </c>
    </row>
    <row r="296">
      <c r="A296" s="328">
        <v>44935.0</v>
      </c>
      <c r="B296" s="47" t="s">
        <v>43</v>
      </c>
      <c r="C296" s="47" t="s">
        <v>26</v>
      </c>
      <c r="D296" s="47" t="s">
        <v>58</v>
      </c>
      <c r="E296" s="47" t="s">
        <v>64</v>
      </c>
      <c r="F296" s="47" t="s">
        <v>16</v>
      </c>
      <c r="G296" s="47" t="s">
        <v>454</v>
      </c>
      <c r="H296" s="327"/>
      <c r="I296" s="47" t="s">
        <v>70</v>
      </c>
      <c r="J296" s="327"/>
      <c r="K296" s="327"/>
      <c r="L296" s="47" t="s">
        <v>71</v>
      </c>
      <c r="M296" s="47" t="s">
        <v>1335</v>
      </c>
    </row>
    <row r="297">
      <c r="A297" s="328">
        <v>44935.0</v>
      </c>
      <c r="B297" s="47" t="s">
        <v>43</v>
      </c>
      <c r="C297" s="47" t="s">
        <v>30</v>
      </c>
      <c r="D297" s="47" t="s">
        <v>58</v>
      </c>
      <c r="E297" s="47" t="s">
        <v>64</v>
      </c>
      <c r="F297" s="47" t="s">
        <v>16</v>
      </c>
      <c r="G297" s="47" t="s">
        <v>455</v>
      </c>
      <c r="H297" s="47" t="s">
        <v>61</v>
      </c>
      <c r="I297" s="47" t="s">
        <v>127</v>
      </c>
      <c r="J297" s="47" t="s">
        <v>70</v>
      </c>
      <c r="K297" s="327"/>
      <c r="L297" s="47" t="s">
        <v>71</v>
      </c>
      <c r="M297" s="47" t="s">
        <v>1335</v>
      </c>
    </row>
    <row r="298">
      <c r="A298" s="328">
        <v>44903.0</v>
      </c>
      <c r="B298" s="47" t="s">
        <v>56</v>
      </c>
      <c r="C298" s="47" t="s">
        <v>30</v>
      </c>
      <c r="D298" s="47" t="s">
        <v>44</v>
      </c>
      <c r="E298" s="47" t="s">
        <v>22</v>
      </c>
      <c r="F298" s="47" t="s">
        <v>16</v>
      </c>
      <c r="G298" s="47" t="s">
        <v>456</v>
      </c>
      <c r="H298" s="327"/>
      <c r="I298" s="47" t="s">
        <v>127</v>
      </c>
      <c r="J298" s="327"/>
      <c r="K298" s="327"/>
      <c r="L298" s="47" t="s">
        <v>68</v>
      </c>
      <c r="M298" s="47" t="s">
        <v>1335</v>
      </c>
    </row>
    <row r="299">
      <c r="A299" s="328">
        <v>44900.0</v>
      </c>
      <c r="B299" s="47" t="s">
        <v>56</v>
      </c>
      <c r="C299" s="47" t="s">
        <v>20</v>
      </c>
      <c r="D299" s="47" t="s">
        <v>58</v>
      </c>
      <c r="E299" s="47" t="s">
        <v>22</v>
      </c>
      <c r="F299" s="47" t="s">
        <v>16</v>
      </c>
      <c r="G299" s="47" t="s">
        <v>457</v>
      </c>
      <c r="H299" s="47" t="s">
        <v>97</v>
      </c>
      <c r="I299" s="47" t="s">
        <v>67</v>
      </c>
      <c r="J299" s="47" t="s">
        <v>66</v>
      </c>
      <c r="K299" s="327"/>
      <c r="L299" s="47" t="s">
        <v>144</v>
      </c>
      <c r="M299" s="47" t="s">
        <v>1335</v>
      </c>
    </row>
    <row r="300">
      <c r="A300" s="328">
        <v>44900.0</v>
      </c>
      <c r="B300" s="47" t="s">
        <v>56</v>
      </c>
      <c r="C300" s="47" t="s">
        <v>20</v>
      </c>
      <c r="D300" s="47" t="s">
        <v>27</v>
      </c>
      <c r="E300" s="47" t="s">
        <v>22</v>
      </c>
      <c r="F300" s="47" t="s">
        <v>16</v>
      </c>
      <c r="G300" s="47" t="s">
        <v>458</v>
      </c>
      <c r="H300" s="47" t="s">
        <v>61</v>
      </c>
      <c r="I300" s="47" t="s">
        <v>66</v>
      </c>
      <c r="J300" s="327"/>
      <c r="K300" s="327"/>
      <c r="L300" s="47" t="s">
        <v>71</v>
      </c>
      <c r="M300" s="47" t="s">
        <v>1335</v>
      </c>
    </row>
    <row r="301">
      <c r="A301" s="328">
        <v>44900.0</v>
      </c>
      <c r="B301" s="47" t="s">
        <v>56</v>
      </c>
      <c r="C301" s="47" t="s">
        <v>49</v>
      </c>
      <c r="D301" s="47" t="s">
        <v>58</v>
      </c>
      <c r="E301" s="47" t="s">
        <v>22</v>
      </c>
      <c r="F301" s="47" t="s">
        <v>16</v>
      </c>
      <c r="G301" s="47" t="s">
        <v>1337</v>
      </c>
      <c r="H301" s="327"/>
      <c r="I301" s="47" t="s">
        <v>115</v>
      </c>
      <c r="J301" s="327"/>
      <c r="K301" s="327"/>
      <c r="L301" s="47" t="s">
        <v>162</v>
      </c>
      <c r="M301" s="47" t="s">
        <v>1335</v>
      </c>
    </row>
    <row r="302">
      <c r="A302" s="328">
        <v>44894.0</v>
      </c>
      <c r="B302" s="47" t="s">
        <v>56</v>
      </c>
      <c r="C302" s="47" t="s">
        <v>76</v>
      </c>
      <c r="D302" s="47" t="s">
        <v>44</v>
      </c>
      <c r="E302" s="47" t="s">
        <v>22</v>
      </c>
      <c r="F302" s="47" t="s">
        <v>16</v>
      </c>
      <c r="G302" s="47" t="s">
        <v>460</v>
      </c>
      <c r="H302" s="47" t="s">
        <v>97</v>
      </c>
      <c r="I302" s="47" t="s">
        <v>346</v>
      </c>
      <c r="J302" s="327"/>
      <c r="K302" s="327"/>
      <c r="L302" s="47" t="s">
        <v>71</v>
      </c>
      <c r="M302" s="47" t="s">
        <v>1335</v>
      </c>
    </row>
    <row r="303">
      <c r="A303" s="328">
        <v>44903.0</v>
      </c>
      <c r="B303" s="47" t="s">
        <v>56</v>
      </c>
      <c r="C303" s="47" t="s">
        <v>57</v>
      </c>
      <c r="D303" s="47" t="s">
        <v>21</v>
      </c>
      <c r="E303" s="47" t="s">
        <v>64</v>
      </c>
      <c r="F303" s="47" t="s">
        <v>16</v>
      </c>
      <c r="G303" s="47" t="s">
        <v>1338</v>
      </c>
      <c r="H303" s="327"/>
      <c r="I303" s="47" t="s">
        <v>334</v>
      </c>
      <c r="J303" s="327"/>
      <c r="K303" s="327"/>
      <c r="L303" s="47" t="s">
        <v>68</v>
      </c>
      <c r="M303" s="47" t="s">
        <v>1335</v>
      </c>
    </row>
    <row r="304">
      <c r="A304" s="328">
        <v>44903.0</v>
      </c>
      <c r="B304" s="47" t="s">
        <v>56</v>
      </c>
      <c r="C304" s="47" t="s">
        <v>30</v>
      </c>
      <c r="D304" s="47" t="s">
        <v>77</v>
      </c>
      <c r="E304" s="47" t="s">
        <v>64</v>
      </c>
      <c r="F304" s="47" t="s">
        <v>16</v>
      </c>
      <c r="G304" s="47" t="s">
        <v>462</v>
      </c>
      <c r="H304" s="327"/>
      <c r="I304" s="47" t="s">
        <v>463</v>
      </c>
      <c r="J304" s="47" t="s">
        <v>66</v>
      </c>
      <c r="K304" s="327"/>
      <c r="L304" s="47" t="s">
        <v>63</v>
      </c>
      <c r="M304" s="47" t="s">
        <v>1335</v>
      </c>
    </row>
    <row r="305">
      <c r="A305" s="328">
        <v>44900.0</v>
      </c>
      <c r="B305" s="47" t="s">
        <v>56</v>
      </c>
      <c r="C305" s="47" t="s">
        <v>20</v>
      </c>
      <c r="D305" s="47" t="s">
        <v>58</v>
      </c>
      <c r="E305" s="47" t="s">
        <v>22</v>
      </c>
      <c r="F305" s="47" t="s">
        <v>16</v>
      </c>
      <c r="G305" s="47" t="s">
        <v>464</v>
      </c>
      <c r="H305" s="47" t="s">
        <v>465</v>
      </c>
      <c r="I305" s="47" t="s">
        <v>66</v>
      </c>
      <c r="J305" s="327"/>
      <c r="K305" s="327"/>
      <c r="L305" s="47" t="s">
        <v>71</v>
      </c>
      <c r="M305" s="47" t="s">
        <v>1335</v>
      </c>
    </row>
    <row r="306">
      <c r="A306" s="328">
        <v>44886.0</v>
      </c>
      <c r="B306" s="47" t="s">
        <v>56</v>
      </c>
      <c r="C306" s="47" t="s">
        <v>371</v>
      </c>
      <c r="D306" s="47" t="s">
        <v>27</v>
      </c>
      <c r="E306" s="47" t="s">
        <v>22</v>
      </c>
      <c r="F306" s="47" t="s">
        <v>16</v>
      </c>
      <c r="G306" s="47" t="s">
        <v>466</v>
      </c>
      <c r="H306" s="47" t="s">
        <v>61</v>
      </c>
      <c r="I306" s="47" t="s">
        <v>467</v>
      </c>
      <c r="J306" s="47" t="s">
        <v>308</v>
      </c>
      <c r="K306" s="327"/>
      <c r="L306" s="47" t="s">
        <v>167</v>
      </c>
      <c r="M306" s="47" t="s">
        <v>1335</v>
      </c>
    </row>
    <row r="307">
      <c r="A307" s="328">
        <v>44855.0</v>
      </c>
      <c r="B307" s="47" t="s">
        <v>121</v>
      </c>
      <c r="C307" s="47" t="s">
        <v>76</v>
      </c>
      <c r="D307" s="47" t="s">
        <v>77</v>
      </c>
      <c r="E307" s="47" t="s">
        <v>22</v>
      </c>
      <c r="F307" s="47" t="s">
        <v>16</v>
      </c>
      <c r="G307" s="47" t="s">
        <v>468</v>
      </c>
      <c r="H307" s="327"/>
      <c r="I307" s="47" t="s">
        <v>346</v>
      </c>
      <c r="J307" s="327"/>
      <c r="K307" s="327"/>
      <c r="L307" s="47" t="s">
        <v>71</v>
      </c>
      <c r="M307" s="47" t="s">
        <v>1335</v>
      </c>
    </row>
    <row r="308">
      <c r="A308" s="328">
        <v>44855.0</v>
      </c>
      <c r="B308" s="47" t="s">
        <v>121</v>
      </c>
      <c r="C308" s="47" t="s">
        <v>36</v>
      </c>
      <c r="D308" s="47" t="s">
        <v>77</v>
      </c>
      <c r="E308" s="47" t="s">
        <v>22</v>
      </c>
      <c r="F308" s="47" t="s">
        <v>16</v>
      </c>
      <c r="G308" s="47" t="s">
        <v>469</v>
      </c>
      <c r="H308" s="47" t="s">
        <v>97</v>
      </c>
      <c r="I308" s="47" t="s">
        <v>66</v>
      </c>
      <c r="J308" s="327"/>
      <c r="K308" s="327"/>
      <c r="L308" s="47" t="s">
        <v>63</v>
      </c>
      <c r="M308" s="47" t="s">
        <v>1335</v>
      </c>
    </row>
    <row r="309">
      <c r="A309" s="328">
        <v>44855.0</v>
      </c>
      <c r="B309" s="47" t="s">
        <v>121</v>
      </c>
      <c r="C309" s="47" t="s">
        <v>36</v>
      </c>
      <c r="D309" s="47" t="s">
        <v>77</v>
      </c>
      <c r="E309" s="47" t="s">
        <v>22</v>
      </c>
      <c r="F309" s="47" t="s">
        <v>16</v>
      </c>
      <c r="G309" s="47" t="s">
        <v>470</v>
      </c>
      <c r="H309" s="47" t="s">
        <v>97</v>
      </c>
      <c r="I309" s="47" t="s">
        <v>66</v>
      </c>
      <c r="J309" s="327"/>
      <c r="K309" s="327"/>
      <c r="L309" s="47" t="s">
        <v>63</v>
      </c>
      <c r="M309" s="47" t="s">
        <v>1335</v>
      </c>
    </row>
    <row r="310">
      <c r="A310" s="328">
        <v>44855.0</v>
      </c>
      <c r="B310" s="47" t="s">
        <v>121</v>
      </c>
      <c r="C310" s="47" t="s">
        <v>83</v>
      </c>
      <c r="D310" s="47" t="s">
        <v>77</v>
      </c>
      <c r="E310" s="47" t="s">
        <v>22</v>
      </c>
      <c r="F310" s="47" t="s">
        <v>16</v>
      </c>
      <c r="G310" s="47" t="s">
        <v>471</v>
      </c>
      <c r="H310" s="47" t="s">
        <v>97</v>
      </c>
      <c r="I310" s="47" t="s">
        <v>127</v>
      </c>
      <c r="J310" s="47" t="s">
        <v>66</v>
      </c>
      <c r="K310" s="327"/>
      <c r="L310" s="47" t="s">
        <v>63</v>
      </c>
      <c r="M310" s="47" t="s">
        <v>1335</v>
      </c>
    </row>
    <row r="311">
      <c r="A311" s="329"/>
      <c r="B311" s="327"/>
      <c r="C311" s="327"/>
      <c r="D311" s="327"/>
      <c r="E311" s="327"/>
      <c r="F311" s="327"/>
      <c r="G311" s="47" t="s">
        <v>102</v>
      </c>
      <c r="H311" s="327"/>
      <c r="I311" s="327"/>
      <c r="J311" s="327"/>
      <c r="K311" s="327"/>
      <c r="L311" s="327"/>
      <c r="M311" s="47" t="s">
        <v>1335</v>
      </c>
    </row>
    <row r="312">
      <c r="A312" s="328">
        <v>45467.0</v>
      </c>
      <c r="B312" s="47" t="s">
        <v>172</v>
      </c>
      <c r="C312" s="47" t="s">
        <v>26</v>
      </c>
      <c r="D312" s="47" t="s">
        <v>27</v>
      </c>
      <c r="E312" s="47" t="s">
        <v>64</v>
      </c>
      <c r="F312" s="47" t="s">
        <v>64</v>
      </c>
      <c r="G312" s="47" t="s">
        <v>472</v>
      </c>
      <c r="H312" s="47" t="s">
        <v>61</v>
      </c>
      <c r="I312" s="327"/>
      <c r="J312" s="47" t="s">
        <v>66</v>
      </c>
      <c r="K312" s="47" t="s">
        <v>473</v>
      </c>
      <c r="L312" s="47" t="s">
        <v>68</v>
      </c>
      <c r="M312" s="47" t="s">
        <v>1339</v>
      </c>
    </row>
    <row r="313">
      <c r="A313" s="328">
        <v>45376.0</v>
      </c>
      <c r="B313" s="47" t="s">
        <v>12</v>
      </c>
      <c r="C313" s="47" t="s">
        <v>83</v>
      </c>
      <c r="D313" s="47" t="s">
        <v>27</v>
      </c>
      <c r="E313" s="47" t="s">
        <v>64</v>
      </c>
      <c r="F313" s="47" t="s">
        <v>16</v>
      </c>
      <c r="G313" s="47" t="s">
        <v>474</v>
      </c>
      <c r="H313" s="327"/>
      <c r="I313" s="47" t="s">
        <v>66</v>
      </c>
      <c r="J313" s="47" t="s">
        <v>127</v>
      </c>
      <c r="K313" s="327"/>
      <c r="L313" s="47" t="s">
        <v>68</v>
      </c>
      <c r="M313" s="47" t="s">
        <v>1339</v>
      </c>
    </row>
    <row r="314">
      <c r="A314" s="328">
        <v>45376.0</v>
      </c>
      <c r="B314" s="47" t="s">
        <v>12</v>
      </c>
      <c r="C314" s="47" t="s">
        <v>36</v>
      </c>
      <c r="D314" s="47" t="s">
        <v>95</v>
      </c>
      <c r="E314" s="47" t="s">
        <v>64</v>
      </c>
      <c r="F314" s="47" t="s">
        <v>64</v>
      </c>
      <c r="G314" s="47" t="s">
        <v>475</v>
      </c>
      <c r="H314" s="47" t="s">
        <v>476</v>
      </c>
      <c r="I314" s="47" t="s">
        <v>66</v>
      </c>
      <c r="J314" s="327"/>
      <c r="K314" s="327"/>
      <c r="L314" s="47" t="s">
        <v>68</v>
      </c>
      <c r="M314" s="47" t="s">
        <v>1339</v>
      </c>
    </row>
    <row r="315">
      <c r="A315" s="328">
        <v>45345.0</v>
      </c>
      <c r="B315" s="47" t="s">
        <v>25</v>
      </c>
      <c r="C315" s="47" t="s">
        <v>57</v>
      </c>
      <c r="D315" s="47" t="s">
        <v>21</v>
      </c>
      <c r="E315" s="47" t="s">
        <v>22</v>
      </c>
      <c r="F315" s="47" t="s">
        <v>16</v>
      </c>
      <c r="G315" s="47" t="s">
        <v>477</v>
      </c>
      <c r="H315" s="47" t="s">
        <v>61</v>
      </c>
      <c r="I315" s="47" t="s">
        <v>334</v>
      </c>
      <c r="J315" s="47" t="s">
        <v>66</v>
      </c>
      <c r="K315" s="47" t="s">
        <v>478</v>
      </c>
      <c r="L315" s="47" t="s">
        <v>162</v>
      </c>
      <c r="M315" s="47" t="s">
        <v>1339</v>
      </c>
    </row>
    <row r="316">
      <c r="A316" s="328">
        <v>45238.0</v>
      </c>
      <c r="B316" s="47" t="s">
        <v>25</v>
      </c>
      <c r="C316" s="47" t="s">
        <v>57</v>
      </c>
      <c r="D316" s="47" t="s">
        <v>58</v>
      </c>
      <c r="E316" s="47" t="s">
        <v>15</v>
      </c>
      <c r="F316" s="47" t="s">
        <v>16</v>
      </c>
      <c r="G316" s="47" t="s">
        <v>479</v>
      </c>
      <c r="H316" s="47" t="s">
        <v>61</v>
      </c>
      <c r="I316" s="47" t="s">
        <v>334</v>
      </c>
      <c r="J316" s="327"/>
      <c r="K316" s="327"/>
      <c r="L316" s="47" t="s">
        <v>144</v>
      </c>
      <c r="M316" s="47" t="s">
        <v>1339</v>
      </c>
    </row>
    <row r="317">
      <c r="A317" s="328">
        <v>45296.0</v>
      </c>
      <c r="B317" s="47" t="s">
        <v>19</v>
      </c>
      <c r="C317" s="47" t="s">
        <v>36</v>
      </c>
      <c r="D317" s="47" t="s">
        <v>27</v>
      </c>
      <c r="E317" s="47" t="s">
        <v>64</v>
      </c>
      <c r="F317" s="47" t="s">
        <v>64</v>
      </c>
      <c r="G317" s="47" t="s">
        <v>480</v>
      </c>
      <c r="H317" s="47" t="s">
        <v>61</v>
      </c>
      <c r="I317" s="47" t="s">
        <v>66</v>
      </c>
      <c r="J317" s="327"/>
      <c r="K317" s="47" t="s">
        <v>481</v>
      </c>
      <c r="L317" s="47" t="s">
        <v>71</v>
      </c>
      <c r="M317" s="47" t="s">
        <v>1339</v>
      </c>
    </row>
    <row r="318">
      <c r="A318" s="328">
        <v>45294.0</v>
      </c>
      <c r="B318" s="47" t="s">
        <v>19</v>
      </c>
      <c r="C318" s="47" t="s">
        <v>57</v>
      </c>
      <c r="D318" s="47" t="s">
        <v>58</v>
      </c>
      <c r="E318" s="47" t="s">
        <v>15</v>
      </c>
      <c r="F318" s="47" t="s">
        <v>16</v>
      </c>
      <c r="G318" s="47" t="s">
        <v>482</v>
      </c>
      <c r="H318" s="47" t="s">
        <v>61</v>
      </c>
      <c r="I318" s="47" t="s">
        <v>334</v>
      </c>
      <c r="J318" s="327"/>
      <c r="K318" s="327"/>
      <c r="L318" s="47" t="s">
        <v>71</v>
      </c>
      <c r="M318" s="47" t="s">
        <v>1339</v>
      </c>
    </row>
    <row r="319">
      <c r="A319" s="328">
        <v>45272.0</v>
      </c>
      <c r="B319" s="47" t="s">
        <v>43</v>
      </c>
      <c r="C319" s="47" t="s">
        <v>83</v>
      </c>
      <c r="D319" s="47" t="s">
        <v>14</v>
      </c>
      <c r="E319" s="47" t="s">
        <v>64</v>
      </c>
      <c r="F319" s="47" t="s">
        <v>16</v>
      </c>
      <c r="G319" s="47" t="s">
        <v>483</v>
      </c>
      <c r="H319" s="327"/>
      <c r="I319" s="47" t="s">
        <v>66</v>
      </c>
      <c r="J319" s="327"/>
      <c r="K319" s="47" t="s">
        <v>484</v>
      </c>
      <c r="L319" s="47" t="s">
        <v>68</v>
      </c>
      <c r="M319" s="47" t="s">
        <v>1339</v>
      </c>
    </row>
    <row r="320">
      <c r="A320" s="328">
        <v>45238.0</v>
      </c>
      <c r="B320" s="47" t="s">
        <v>19</v>
      </c>
      <c r="C320" s="47" t="s">
        <v>57</v>
      </c>
      <c r="D320" s="47" t="s">
        <v>58</v>
      </c>
      <c r="E320" s="47" t="s">
        <v>15</v>
      </c>
      <c r="F320" s="47" t="s">
        <v>16</v>
      </c>
      <c r="G320" s="47" t="s">
        <v>485</v>
      </c>
      <c r="H320" s="327"/>
      <c r="I320" s="47" t="s">
        <v>334</v>
      </c>
      <c r="J320" s="327"/>
      <c r="K320" s="327"/>
      <c r="L320" s="47" t="s">
        <v>144</v>
      </c>
      <c r="M320" s="47" t="s">
        <v>1339</v>
      </c>
    </row>
    <row r="321">
      <c r="A321" s="328">
        <v>45266.0</v>
      </c>
      <c r="B321" s="47" t="s">
        <v>19</v>
      </c>
      <c r="C321" s="47" t="s">
        <v>76</v>
      </c>
      <c r="D321" s="47" t="s">
        <v>44</v>
      </c>
      <c r="E321" s="47" t="s">
        <v>15</v>
      </c>
      <c r="F321" s="47" t="s">
        <v>16</v>
      </c>
      <c r="G321" s="47" t="s">
        <v>486</v>
      </c>
      <c r="H321" s="327"/>
      <c r="I321" s="327"/>
      <c r="J321" s="327"/>
      <c r="K321" s="327"/>
      <c r="L321" s="47" t="s">
        <v>167</v>
      </c>
      <c r="M321" s="47" t="s">
        <v>1339</v>
      </c>
    </row>
    <row r="322">
      <c r="A322" s="328">
        <v>45265.0</v>
      </c>
      <c r="B322" s="47" t="s">
        <v>19</v>
      </c>
      <c r="C322" s="47" t="s">
        <v>371</v>
      </c>
      <c r="D322" s="47" t="s">
        <v>27</v>
      </c>
      <c r="E322" s="47" t="s">
        <v>22</v>
      </c>
      <c r="F322" s="47" t="s">
        <v>16</v>
      </c>
      <c r="G322" s="47" t="s">
        <v>487</v>
      </c>
      <c r="H322" s="47" t="s">
        <v>97</v>
      </c>
      <c r="I322" s="47" t="s">
        <v>197</v>
      </c>
      <c r="J322" s="327"/>
      <c r="K322" s="327"/>
      <c r="L322" s="47" t="s">
        <v>71</v>
      </c>
      <c r="M322" s="47" t="s">
        <v>1339</v>
      </c>
    </row>
    <row r="323">
      <c r="A323" s="328">
        <v>45253.0</v>
      </c>
      <c r="B323" s="47" t="s">
        <v>43</v>
      </c>
      <c r="C323" s="47" t="s">
        <v>36</v>
      </c>
      <c r="D323" s="47" t="s">
        <v>44</v>
      </c>
      <c r="E323" s="47" t="s">
        <v>22</v>
      </c>
      <c r="F323" s="47" t="s">
        <v>16</v>
      </c>
      <c r="G323" s="47" t="s">
        <v>488</v>
      </c>
      <c r="H323" s="47" t="s">
        <v>61</v>
      </c>
      <c r="I323" s="47" t="s">
        <v>66</v>
      </c>
      <c r="J323" s="327"/>
      <c r="K323" s="327"/>
      <c r="L323" s="47" t="s">
        <v>144</v>
      </c>
      <c r="M323" s="47" t="s">
        <v>1339</v>
      </c>
    </row>
    <row r="324">
      <c r="A324" s="328">
        <v>45238.0</v>
      </c>
      <c r="B324" s="47" t="s">
        <v>43</v>
      </c>
      <c r="C324" s="47" t="s">
        <v>57</v>
      </c>
      <c r="D324" s="47" t="s">
        <v>58</v>
      </c>
      <c r="E324" s="47" t="s">
        <v>15</v>
      </c>
      <c r="F324" s="47" t="s">
        <v>16</v>
      </c>
      <c r="G324" s="47" t="s">
        <v>489</v>
      </c>
      <c r="H324" s="47" t="s">
        <v>61</v>
      </c>
      <c r="I324" s="47" t="s">
        <v>334</v>
      </c>
      <c r="J324" s="327"/>
      <c r="K324" s="327"/>
      <c r="L324" s="47" t="s">
        <v>71</v>
      </c>
      <c r="M324" s="47" t="s">
        <v>1339</v>
      </c>
    </row>
    <row r="325">
      <c r="A325" s="328">
        <v>45243.0</v>
      </c>
      <c r="B325" s="47" t="s">
        <v>43</v>
      </c>
      <c r="C325" s="47" t="s">
        <v>57</v>
      </c>
      <c r="D325" s="47" t="s">
        <v>58</v>
      </c>
      <c r="E325" s="47" t="s">
        <v>22</v>
      </c>
      <c r="F325" s="47" t="s">
        <v>16</v>
      </c>
      <c r="G325" s="47" t="s">
        <v>490</v>
      </c>
      <c r="H325" s="327"/>
      <c r="I325" s="47" t="s">
        <v>334</v>
      </c>
      <c r="J325" s="327"/>
      <c r="K325" s="327"/>
      <c r="L325" s="47" t="s">
        <v>167</v>
      </c>
      <c r="M325" s="47" t="s">
        <v>1339</v>
      </c>
    </row>
    <row r="326">
      <c r="A326" s="328">
        <v>45243.0</v>
      </c>
      <c r="B326" s="47" t="s">
        <v>43</v>
      </c>
      <c r="C326" s="47" t="s">
        <v>49</v>
      </c>
      <c r="D326" s="47" t="s">
        <v>58</v>
      </c>
      <c r="E326" s="47" t="s">
        <v>22</v>
      </c>
      <c r="F326" s="47" t="s">
        <v>16</v>
      </c>
      <c r="G326" s="47" t="s">
        <v>491</v>
      </c>
      <c r="H326" s="327"/>
      <c r="I326" s="47" t="s">
        <v>115</v>
      </c>
      <c r="J326" s="47" t="s">
        <v>346</v>
      </c>
      <c r="K326" s="327"/>
      <c r="L326" s="47" t="s">
        <v>71</v>
      </c>
      <c r="M326" s="47" t="s">
        <v>1339</v>
      </c>
    </row>
    <row r="327">
      <c r="A327" s="328">
        <v>45238.0</v>
      </c>
      <c r="B327" s="47" t="s">
        <v>43</v>
      </c>
      <c r="C327" s="47" t="s">
        <v>76</v>
      </c>
      <c r="D327" s="47" t="s">
        <v>27</v>
      </c>
      <c r="E327" s="47" t="s">
        <v>22</v>
      </c>
      <c r="F327" s="47" t="s">
        <v>16</v>
      </c>
      <c r="G327" s="47" t="s">
        <v>492</v>
      </c>
      <c r="H327" s="327"/>
      <c r="I327" s="47" t="s">
        <v>346</v>
      </c>
      <c r="J327" s="327"/>
      <c r="K327" s="327"/>
      <c r="L327" s="47" t="s">
        <v>162</v>
      </c>
      <c r="M327" s="47" t="s">
        <v>1339</v>
      </c>
    </row>
    <row r="328">
      <c r="A328" s="328">
        <v>45238.0</v>
      </c>
      <c r="B328" s="47" t="s">
        <v>43</v>
      </c>
      <c r="C328" s="47" t="s">
        <v>26</v>
      </c>
      <c r="D328" s="47" t="s">
        <v>58</v>
      </c>
      <c r="E328" s="47" t="s">
        <v>64</v>
      </c>
      <c r="F328" s="47" t="s">
        <v>16</v>
      </c>
      <c r="G328" s="47" t="s">
        <v>493</v>
      </c>
      <c r="H328" s="327"/>
      <c r="I328" s="47" t="s">
        <v>67</v>
      </c>
      <c r="J328" s="47" t="s">
        <v>66</v>
      </c>
      <c r="K328" s="47" t="s">
        <v>494</v>
      </c>
      <c r="L328" s="47" t="s">
        <v>71</v>
      </c>
      <c r="M328" s="47" t="s">
        <v>1339</v>
      </c>
    </row>
    <row r="329">
      <c r="A329" s="328">
        <v>45207.0</v>
      </c>
      <c r="B329" s="47" t="s">
        <v>56</v>
      </c>
      <c r="C329" s="47" t="s">
        <v>20</v>
      </c>
      <c r="D329" s="47" t="s">
        <v>58</v>
      </c>
      <c r="E329" s="47" t="s">
        <v>15</v>
      </c>
      <c r="F329" s="47" t="s">
        <v>16</v>
      </c>
      <c r="G329" s="47" t="s">
        <v>495</v>
      </c>
      <c r="H329" s="47" t="s">
        <v>97</v>
      </c>
      <c r="I329" s="47" t="s">
        <v>66</v>
      </c>
      <c r="J329" s="47" t="s">
        <v>67</v>
      </c>
      <c r="K329" s="327"/>
      <c r="L329" s="47" t="s">
        <v>71</v>
      </c>
      <c r="M329" s="47" t="s">
        <v>1339</v>
      </c>
    </row>
    <row r="330">
      <c r="A330" s="328">
        <v>45219.0</v>
      </c>
      <c r="B330" s="47" t="s">
        <v>56</v>
      </c>
      <c r="C330" s="47" t="s">
        <v>76</v>
      </c>
      <c r="D330" s="47" t="s">
        <v>44</v>
      </c>
      <c r="E330" s="47" t="s">
        <v>22</v>
      </c>
      <c r="F330" s="47" t="s">
        <v>16</v>
      </c>
      <c r="G330" s="47" t="s">
        <v>496</v>
      </c>
      <c r="H330" s="327"/>
      <c r="I330" s="47" t="s">
        <v>115</v>
      </c>
      <c r="J330" s="47" t="s">
        <v>346</v>
      </c>
      <c r="K330" s="327"/>
      <c r="L330" s="47" t="s">
        <v>71</v>
      </c>
      <c r="M330" s="47" t="s">
        <v>1339</v>
      </c>
    </row>
    <row r="331">
      <c r="A331" s="328">
        <v>45226.0</v>
      </c>
      <c r="B331" s="47" t="s">
        <v>56</v>
      </c>
      <c r="C331" s="47" t="s">
        <v>49</v>
      </c>
      <c r="D331" s="47" t="s">
        <v>44</v>
      </c>
      <c r="E331" s="47" t="s">
        <v>15</v>
      </c>
      <c r="F331" s="47" t="s">
        <v>16</v>
      </c>
      <c r="G331" s="47" t="s">
        <v>497</v>
      </c>
      <c r="H331" s="327"/>
      <c r="I331" s="47" t="s">
        <v>115</v>
      </c>
      <c r="J331" s="327"/>
      <c r="K331" s="327"/>
      <c r="L331" s="47" t="s">
        <v>68</v>
      </c>
      <c r="M331" s="47" t="s">
        <v>1339</v>
      </c>
    </row>
    <row r="332">
      <c r="A332" s="328">
        <v>45225.0</v>
      </c>
      <c r="B332" s="47" t="s">
        <v>56</v>
      </c>
      <c r="C332" s="47" t="s">
        <v>20</v>
      </c>
      <c r="D332" s="47" t="s">
        <v>44</v>
      </c>
      <c r="E332" s="47" t="s">
        <v>15</v>
      </c>
      <c r="F332" s="47" t="s">
        <v>16</v>
      </c>
      <c r="G332" s="47" t="s">
        <v>498</v>
      </c>
      <c r="H332" s="327"/>
      <c r="I332" s="47" t="s">
        <v>67</v>
      </c>
      <c r="J332" s="47" t="s">
        <v>66</v>
      </c>
      <c r="K332" s="47" t="s">
        <v>97</v>
      </c>
      <c r="L332" s="47" t="s">
        <v>162</v>
      </c>
      <c r="M332" s="47" t="s">
        <v>1339</v>
      </c>
    </row>
    <row r="333">
      <c r="A333" s="328">
        <v>45215.0</v>
      </c>
      <c r="B333" s="47" t="s">
        <v>56</v>
      </c>
      <c r="C333" s="47" t="s">
        <v>76</v>
      </c>
      <c r="D333" s="47" t="s">
        <v>44</v>
      </c>
      <c r="E333" s="47" t="s">
        <v>15</v>
      </c>
      <c r="F333" s="47" t="s">
        <v>16</v>
      </c>
      <c r="G333" s="47" t="s">
        <v>499</v>
      </c>
      <c r="H333" s="327"/>
      <c r="I333" s="47" t="s">
        <v>346</v>
      </c>
      <c r="J333" s="327"/>
      <c r="K333" s="327"/>
      <c r="L333" s="47" t="s">
        <v>167</v>
      </c>
      <c r="M333" s="47" t="s">
        <v>1339</v>
      </c>
    </row>
    <row r="334">
      <c r="A334" s="328">
        <v>45197.0</v>
      </c>
      <c r="B334" s="47" t="s">
        <v>56</v>
      </c>
      <c r="C334" s="47" t="s">
        <v>76</v>
      </c>
      <c r="D334" s="47" t="s">
        <v>77</v>
      </c>
      <c r="E334" s="47" t="s">
        <v>22</v>
      </c>
      <c r="F334" s="47" t="s">
        <v>16</v>
      </c>
      <c r="G334" s="47" t="s">
        <v>500</v>
      </c>
      <c r="H334" s="47" t="s">
        <v>97</v>
      </c>
      <c r="I334" s="47" t="s">
        <v>346</v>
      </c>
      <c r="J334" s="327"/>
      <c r="K334" s="327"/>
      <c r="L334" s="47" t="s">
        <v>71</v>
      </c>
      <c r="M334" s="47" t="s">
        <v>1339</v>
      </c>
    </row>
    <row r="335">
      <c r="A335" s="328">
        <v>45207.0</v>
      </c>
      <c r="B335" s="47" t="s">
        <v>56</v>
      </c>
      <c r="C335" s="47" t="s">
        <v>20</v>
      </c>
      <c r="D335" s="47" t="s">
        <v>58</v>
      </c>
      <c r="E335" s="47" t="s">
        <v>15</v>
      </c>
      <c r="F335" s="47" t="s">
        <v>16</v>
      </c>
      <c r="G335" s="47" t="s">
        <v>501</v>
      </c>
      <c r="H335" s="327"/>
      <c r="I335" s="47" t="s">
        <v>334</v>
      </c>
      <c r="J335" s="47" t="s">
        <v>404</v>
      </c>
      <c r="K335" s="47" t="s">
        <v>97</v>
      </c>
      <c r="L335" s="47" t="s">
        <v>63</v>
      </c>
      <c r="M335" s="47" t="s">
        <v>1339</v>
      </c>
    </row>
    <row r="336">
      <c r="A336" s="328">
        <v>45206.0</v>
      </c>
      <c r="B336" s="47" t="s">
        <v>56</v>
      </c>
      <c r="C336" s="47" t="s">
        <v>57</v>
      </c>
      <c r="D336" s="47" t="s">
        <v>58</v>
      </c>
      <c r="E336" s="47" t="s">
        <v>22</v>
      </c>
      <c r="F336" s="47" t="s">
        <v>16</v>
      </c>
      <c r="G336" s="47" t="s">
        <v>502</v>
      </c>
      <c r="H336" s="47" t="s">
        <v>97</v>
      </c>
      <c r="I336" s="47" t="s">
        <v>334</v>
      </c>
      <c r="J336" s="47" t="s">
        <v>404</v>
      </c>
      <c r="K336" s="47" t="s">
        <v>97</v>
      </c>
      <c r="L336" s="47" t="s">
        <v>167</v>
      </c>
      <c r="M336" s="47" t="s">
        <v>1339</v>
      </c>
    </row>
    <row r="337">
      <c r="A337" s="328">
        <v>45206.0</v>
      </c>
      <c r="B337" s="47" t="s">
        <v>56</v>
      </c>
      <c r="C337" s="47" t="s">
        <v>57</v>
      </c>
      <c r="D337" s="47" t="s">
        <v>58</v>
      </c>
      <c r="E337" s="47" t="s">
        <v>22</v>
      </c>
      <c r="F337" s="47" t="s">
        <v>16</v>
      </c>
      <c r="G337" s="47" t="s">
        <v>503</v>
      </c>
      <c r="H337" s="327"/>
      <c r="I337" s="47" t="s">
        <v>115</v>
      </c>
      <c r="J337" s="47" t="s">
        <v>404</v>
      </c>
      <c r="K337" s="47" t="s">
        <v>97</v>
      </c>
      <c r="L337" s="47" t="s">
        <v>71</v>
      </c>
      <c r="M337" s="47" t="s">
        <v>1339</v>
      </c>
    </row>
    <row r="338">
      <c r="A338" s="328">
        <v>45206.0</v>
      </c>
      <c r="B338" s="47" t="s">
        <v>56</v>
      </c>
      <c r="C338" s="47" t="s">
        <v>20</v>
      </c>
      <c r="D338" s="47" t="s">
        <v>58</v>
      </c>
      <c r="E338" s="47" t="s">
        <v>22</v>
      </c>
      <c r="F338" s="47" t="s">
        <v>16</v>
      </c>
      <c r="G338" s="47" t="s">
        <v>504</v>
      </c>
      <c r="H338" s="47" t="s">
        <v>61</v>
      </c>
      <c r="I338" s="47" t="s">
        <v>67</v>
      </c>
      <c r="J338" s="47" t="s">
        <v>346</v>
      </c>
      <c r="K338" s="47" t="s">
        <v>97</v>
      </c>
      <c r="L338" s="47" t="s">
        <v>71</v>
      </c>
      <c r="M338" s="47" t="s">
        <v>1339</v>
      </c>
    </row>
    <row r="339">
      <c r="A339" s="328">
        <v>45215.0</v>
      </c>
      <c r="B339" s="47" t="s">
        <v>56</v>
      </c>
      <c r="C339" s="47" t="s">
        <v>26</v>
      </c>
      <c r="D339" s="47" t="s">
        <v>58</v>
      </c>
      <c r="E339" s="47" t="s">
        <v>15</v>
      </c>
      <c r="F339" s="47" t="s">
        <v>16</v>
      </c>
      <c r="G339" s="47" t="s">
        <v>505</v>
      </c>
      <c r="H339" s="47" t="s">
        <v>97</v>
      </c>
      <c r="I339" s="47" t="s">
        <v>70</v>
      </c>
      <c r="J339" s="47" t="s">
        <v>334</v>
      </c>
      <c r="K339" s="327"/>
      <c r="L339" s="47" t="s">
        <v>71</v>
      </c>
      <c r="M339" s="47" t="s">
        <v>1339</v>
      </c>
    </row>
    <row r="340">
      <c r="A340" s="328">
        <v>45206.0</v>
      </c>
      <c r="B340" s="47" t="s">
        <v>56</v>
      </c>
      <c r="C340" s="47" t="s">
        <v>20</v>
      </c>
      <c r="D340" s="47" t="s">
        <v>58</v>
      </c>
      <c r="E340" s="47" t="s">
        <v>22</v>
      </c>
      <c r="F340" s="47" t="s">
        <v>16</v>
      </c>
      <c r="G340" s="47" t="s">
        <v>506</v>
      </c>
      <c r="H340" s="327"/>
      <c r="I340" s="47" t="s">
        <v>67</v>
      </c>
      <c r="J340" s="47" t="s">
        <v>346</v>
      </c>
      <c r="K340" s="327"/>
      <c r="L340" s="47" t="s">
        <v>167</v>
      </c>
      <c r="M340" s="47" t="s">
        <v>1339</v>
      </c>
    </row>
    <row r="341">
      <c r="A341" s="328">
        <v>45177.0</v>
      </c>
      <c r="B341" s="47" t="s">
        <v>56</v>
      </c>
      <c r="C341" s="47" t="s">
        <v>371</v>
      </c>
      <c r="D341" s="47" t="s">
        <v>81</v>
      </c>
      <c r="E341" s="47" t="s">
        <v>64</v>
      </c>
      <c r="F341" s="47" t="s">
        <v>16</v>
      </c>
      <c r="G341" s="47" t="s">
        <v>507</v>
      </c>
      <c r="H341" s="47" t="s">
        <v>61</v>
      </c>
      <c r="I341" s="47" t="s">
        <v>346</v>
      </c>
      <c r="J341" s="47" t="s">
        <v>66</v>
      </c>
      <c r="K341" s="327"/>
      <c r="L341" s="47" t="s">
        <v>68</v>
      </c>
      <c r="M341" s="47" t="s">
        <v>1339</v>
      </c>
    </row>
    <row r="342">
      <c r="A342" s="328">
        <v>45197.0</v>
      </c>
      <c r="B342" s="47" t="s">
        <v>56</v>
      </c>
      <c r="C342" s="47" t="s">
        <v>371</v>
      </c>
      <c r="D342" s="47" t="s">
        <v>27</v>
      </c>
      <c r="E342" s="47" t="s">
        <v>22</v>
      </c>
      <c r="F342" s="47" t="s">
        <v>16</v>
      </c>
      <c r="G342" s="47" t="s">
        <v>508</v>
      </c>
      <c r="H342" s="47" t="s">
        <v>61</v>
      </c>
      <c r="I342" s="47" t="s">
        <v>66</v>
      </c>
      <c r="J342" s="327"/>
      <c r="K342" s="327"/>
      <c r="L342" s="47" t="s">
        <v>71</v>
      </c>
      <c r="M342" s="47" t="s">
        <v>1339</v>
      </c>
    </row>
    <row r="343">
      <c r="A343" s="328">
        <v>45177.0</v>
      </c>
      <c r="B343" s="47" t="s">
        <v>121</v>
      </c>
      <c r="C343" s="47" t="s">
        <v>36</v>
      </c>
      <c r="D343" s="47" t="s">
        <v>44</v>
      </c>
      <c r="E343" s="47" t="s">
        <v>22</v>
      </c>
      <c r="F343" s="47" t="s">
        <v>16</v>
      </c>
      <c r="G343" s="47" t="s">
        <v>509</v>
      </c>
      <c r="H343" s="47" t="s">
        <v>61</v>
      </c>
      <c r="I343" s="47" t="s">
        <v>381</v>
      </c>
      <c r="J343" s="47" t="s">
        <v>151</v>
      </c>
      <c r="K343" s="327"/>
      <c r="L343" s="47" t="s">
        <v>71</v>
      </c>
      <c r="M343" s="47" t="s">
        <v>1339</v>
      </c>
    </row>
    <row r="344">
      <c r="A344" s="328">
        <v>45177.0</v>
      </c>
      <c r="B344" s="47" t="s">
        <v>121</v>
      </c>
      <c r="C344" s="47" t="s">
        <v>49</v>
      </c>
      <c r="D344" s="47" t="s">
        <v>77</v>
      </c>
      <c r="E344" s="47" t="s">
        <v>46</v>
      </c>
      <c r="F344" s="47" t="s">
        <v>16</v>
      </c>
      <c r="G344" s="47" t="s">
        <v>510</v>
      </c>
      <c r="H344" s="327"/>
      <c r="I344" s="47" t="s">
        <v>511</v>
      </c>
      <c r="J344" s="47" t="s">
        <v>346</v>
      </c>
      <c r="K344" s="327"/>
      <c r="L344" s="47" t="s">
        <v>167</v>
      </c>
      <c r="M344" s="47" t="s">
        <v>1339</v>
      </c>
    </row>
    <row r="345">
      <c r="A345" s="328">
        <v>45166.0</v>
      </c>
      <c r="B345" s="47" t="s">
        <v>121</v>
      </c>
      <c r="C345" s="47" t="s">
        <v>36</v>
      </c>
      <c r="D345" s="47" t="s">
        <v>44</v>
      </c>
      <c r="E345" s="47" t="s">
        <v>22</v>
      </c>
      <c r="F345" s="47" t="s">
        <v>16</v>
      </c>
      <c r="G345" s="47" t="s">
        <v>512</v>
      </c>
      <c r="H345" s="47" t="s">
        <v>112</v>
      </c>
      <c r="I345" s="47" t="s">
        <v>381</v>
      </c>
      <c r="J345" s="47" t="s">
        <v>151</v>
      </c>
      <c r="K345" s="327"/>
      <c r="L345" s="47" t="s">
        <v>144</v>
      </c>
      <c r="M345" s="47" t="s">
        <v>1339</v>
      </c>
    </row>
    <row r="346">
      <c r="A346" s="328">
        <v>45166.0</v>
      </c>
      <c r="B346" s="47" t="s">
        <v>121</v>
      </c>
      <c r="C346" s="47" t="s">
        <v>26</v>
      </c>
      <c r="D346" s="47" t="s">
        <v>77</v>
      </c>
      <c r="E346" s="47" t="s">
        <v>15</v>
      </c>
      <c r="F346" s="47" t="s">
        <v>16</v>
      </c>
      <c r="G346" s="47" t="s">
        <v>513</v>
      </c>
      <c r="H346" s="47" t="s">
        <v>61</v>
      </c>
      <c r="I346" s="47" t="s">
        <v>381</v>
      </c>
      <c r="J346" s="327"/>
      <c r="K346" s="327"/>
      <c r="L346" s="47" t="s">
        <v>71</v>
      </c>
      <c r="M346" s="47" t="s">
        <v>1339</v>
      </c>
    </row>
    <row r="347">
      <c r="A347" s="328">
        <v>45167.0</v>
      </c>
      <c r="B347" s="47" t="s">
        <v>172</v>
      </c>
      <c r="C347" s="47" t="s">
        <v>26</v>
      </c>
      <c r="D347" s="47" t="s">
        <v>95</v>
      </c>
      <c r="E347" s="47" t="s">
        <v>64</v>
      </c>
      <c r="F347" s="47" t="s">
        <v>64</v>
      </c>
      <c r="G347" s="47" t="s">
        <v>514</v>
      </c>
      <c r="H347" s="47" t="s">
        <v>61</v>
      </c>
      <c r="I347" s="47" t="s">
        <v>66</v>
      </c>
      <c r="J347" s="327"/>
      <c r="K347" s="47" t="s">
        <v>61</v>
      </c>
      <c r="L347" s="327"/>
      <c r="M347" s="47" t="s">
        <v>1340</v>
      </c>
    </row>
    <row r="348">
      <c r="A348" s="328">
        <v>44984.0</v>
      </c>
      <c r="B348" s="47" t="s">
        <v>12</v>
      </c>
      <c r="C348" s="47" t="s">
        <v>49</v>
      </c>
      <c r="D348" s="47" t="s">
        <v>58</v>
      </c>
      <c r="E348" s="47" t="s">
        <v>15</v>
      </c>
      <c r="F348" s="47" t="s">
        <v>64</v>
      </c>
      <c r="G348" s="47" t="s">
        <v>515</v>
      </c>
      <c r="H348" s="327"/>
      <c r="I348" s="47" t="s">
        <v>115</v>
      </c>
      <c r="J348" s="327"/>
      <c r="K348" s="327"/>
      <c r="L348" s="47" t="s">
        <v>71</v>
      </c>
      <c r="M348" s="47" t="s">
        <v>1340</v>
      </c>
    </row>
    <row r="349">
      <c r="A349" s="328">
        <v>44984.0</v>
      </c>
      <c r="B349" s="47" t="s">
        <v>12</v>
      </c>
      <c r="C349" s="47" t="s">
        <v>36</v>
      </c>
      <c r="D349" s="47" t="s">
        <v>58</v>
      </c>
      <c r="E349" s="47" t="s">
        <v>15</v>
      </c>
      <c r="F349" s="47" t="s">
        <v>16</v>
      </c>
      <c r="G349" s="47" t="s">
        <v>516</v>
      </c>
      <c r="H349" s="327"/>
      <c r="I349" s="47" t="s">
        <v>66</v>
      </c>
      <c r="J349" s="327"/>
      <c r="K349" s="327"/>
      <c r="L349" s="327"/>
      <c r="M349" s="47" t="s">
        <v>1340</v>
      </c>
    </row>
    <row r="350">
      <c r="A350" s="328">
        <v>44984.0</v>
      </c>
      <c r="B350" s="47" t="s">
        <v>12</v>
      </c>
      <c r="C350" s="47" t="s">
        <v>30</v>
      </c>
      <c r="D350" s="47" t="s">
        <v>58</v>
      </c>
      <c r="E350" s="47" t="s">
        <v>15</v>
      </c>
      <c r="F350" s="47" t="s">
        <v>16</v>
      </c>
      <c r="G350" s="47" t="s">
        <v>517</v>
      </c>
      <c r="H350" s="327"/>
      <c r="I350" s="47" t="s">
        <v>127</v>
      </c>
      <c r="J350" s="327"/>
      <c r="K350" s="327"/>
      <c r="L350" s="47" t="s">
        <v>71</v>
      </c>
      <c r="M350" s="47" t="s">
        <v>1340</v>
      </c>
    </row>
    <row r="351">
      <c r="A351" s="328">
        <v>44981.0</v>
      </c>
      <c r="B351" s="47" t="s">
        <v>12</v>
      </c>
      <c r="C351" s="47" t="s">
        <v>26</v>
      </c>
      <c r="D351" s="47" t="s">
        <v>58</v>
      </c>
      <c r="E351" s="47" t="s">
        <v>15</v>
      </c>
      <c r="F351" s="47" t="s">
        <v>16</v>
      </c>
      <c r="G351" s="47" t="s">
        <v>518</v>
      </c>
      <c r="H351" s="327"/>
      <c r="I351" s="47" t="s">
        <v>67</v>
      </c>
      <c r="J351" s="327"/>
      <c r="K351" s="327"/>
      <c r="L351" s="47" t="s">
        <v>71</v>
      </c>
      <c r="M351" s="47" t="s">
        <v>1340</v>
      </c>
    </row>
    <row r="352">
      <c r="A352" s="328">
        <v>44972.0</v>
      </c>
      <c r="B352" s="47" t="s">
        <v>19</v>
      </c>
      <c r="C352" s="47" t="s">
        <v>57</v>
      </c>
      <c r="D352" s="47" t="s">
        <v>21</v>
      </c>
      <c r="E352" s="47" t="s">
        <v>22</v>
      </c>
      <c r="F352" s="47" t="s">
        <v>16</v>
      </c>
      <c r="G352" s="47" t="s">
        <v>519</v>
      </c>
      <c r="H352" s="47" t="s">
        <v>61</v>
      </c>
      <c r="I352" s="47" t="s">
        <v>334</v>
      </c>
      <c r="J352" s="47" t="s">
        <v>70</v>
      </c>
      <c r="K352" s="47" t="s">
        <v>520</v>
      </c>
      <c r="L352" s="47" t="s">
        <v>144</v>
      </c>
      <c r="M352" s="47" t="s">
        <v>1340</v>
      </c>
    </row>
    <row r="353">
      <c r="A353" s="328">
        <v>44971.0</v>
      </c>
      <c r="B353" s="47" t="s">
        <v>25</v>
      </c>
      <c r="C353" s="47" t="s">
        <v>76</v>
      </c>
      <c r="D353" s="47" t="s">
        <v>21</v>
      </c>
      <c r="E353" s="47" t="s">
        <v>22</v>
      </c>
      <c r="F353" s="47" t="s">
        <v>16</v>
      </c>
      <c r="G353" s="47" t="s">
        <v>521</v>
      </c>
      <c r="H353" s="327"/>
      <c r="I353" s="47" t="s">
        <v>346</v>
      </c>
      <c r="J353" s="47" t="s">
        <v>522</v>
      </c>
      <c r="K353" s="327"/>
      <c r="L353" s="47" t="s">
        <v>71</v>
      </c>
      <c r="M353" s="47" t="s">
        <v>1340</v>
      </c>
    </row>
    <row r="354">
      <c r="A354" s="328">
        <v>44971.0</v>
      </c>
      <c r="B354" s="47" t="s">
        <v>25</v>
      </c>
      <c r="C354" s="47" t="s">
        <v>20</v>
      </c>
      <c r="D354" s="47" t="s">
        <v>21</v>
      </c>
      <c r="E354" s="47" t="s">
        <v>22</v>
      </c>
      <c r="F354" s="47" t="s">
        <v>16</v>
      </c>
      <c r="G354" s="47" t="s">
        <v>523</v>
      </c>
      <c r="H354" s="327"/>
      <c r="I354" s="47" t="s">
        <v>67</v>
      </c>
      <c r="J354" s="47" t="s">
        <v>522</v>
      </c>
      <c r="K354" s="327"/>
      <c r="L354" s="47" t="s">
        <v>68</v>
      </c>
      <c r="M354" s="47" t="s">
        <v>1340</v>
      </c>
    </row>
    <row r="355">
      <c r="A355" s="328">
        <v>44960.0</v>
      </c>
      <c r="B355" s="47" t="s">
        <v>25</v>
      </c>
      <c r="C355" s="47" t="s">
        <v>20</v>
      </c>
      <c r="D355" s="47" t="s">
        <v>95</v>
      </c>
      <c r="E355" s="47" t="s">
        <v>15</v>
      </c>
      <c r="F355" s="47" t="s">
        <v>64</v>
      </c>
      <c r="G355" s="47" t="s">
        <v>524</v>
      </c>
      <c r="H355" s="327"/>
      <c r="I355" s="47" t="s">
        <v>67</v>
      </c>
      <c r="J355" s="47" t="s">
        <v>74</v>
      </c>
      <c r="K355" s="330" t="s">
        <v>525</v>
      </c>
      <c r="L355" s="47" t="s">
        <v>68</v>
      </c>
      <c r="M355" s="47" t="s">
        <v>1340</v>
      </c>
    </row>
    <row r="356">
      <c r="A356" s="328">
        <v>44964.0</v>
      </c>
      <c r="B356" s="47" t="s">
        <v>25</v>
      </c>
      <c r="C356" s="47" t="s">
        <v>36</v>
      </c>
      <c r="D356" s="47" t="s">
        <v>89</v>
      </c>
      <c r="E356" s="47" t="s">
        <v>22</v>
      </c>
      <c r="F356" s="47" t="s">
        <v>16</v>
      </c>
      <c r="G356" s="47" t="s">
        <v>526</v>
      </c>
      <c r="H356" s="327"/>
      <c r="I356" s="47" t="s">
        <v>66</v>
      </c>
      <c r="J356" s="327"/>
      <c r="K356" s="47" t="s">
        <v>527</v>
      </c>
      <c r="L356" s="47" t="s">
        <v>71</v>
      </c>
      <c r="M356" s="47" t="s">
        <v>1340</v>
      </c>
    </row>
    <row r="357">
      <c r="A357" s="328">
        <v>44960.0</v>
      </c>
      <c r="B357" s="47" t="s">
        <v>25</v>
      </c>
      <c r="C357" s="47" t="s">
        <v>20</v>
      </c>
      <c r="D357" s="47" t="s">
        <v>95</v>
      </c>
      <c r="E357" s="47" t="s">
        <v>22</v>
      </c>
      <c r="F357" s="47" t="s">
        <v>16</v>
      </c>
      <c r="G357" s="47" t="s">
        <v>1341</v>
      </c>
      <c r="H357" s="47" t="s">
        <v>61</v>
      </c>
      <c r="I357" s="47" t="s">
        <v>67</v>
      </c>
      <c r="J357" s="47" t="s">
        <v>127</v>
      </c>
      <c r="K357" s="47" t="s">
        <v>529</v>
      </c>
      <c r="L357" s="47" t="s">
        <v>71</v>
      </c>
      <c r="M357" s="47" t="s">
        <v>1340</v>
      </c>
    </row>
    <row r="358">
      <c r="A358" s="328">
        <v>44957.0</v>
      </c>
      <c r="B358" s="47" t="s">
        <v>25</v>
      </c>
      <c r="C358" s="47" t="s">
        <v>20</v>
      </c>
      <c r="D358" s="47" t="s">
        <v>95</v>
      </c>
      <c r="E358" s="47" t="s">
        <v>22</v>
      </c>
      <c r="F358" s="47" t="s">
        <v>16</v>
      </c>
      <c r="G358" s="47" t="s">
        <v>530</v>
      </c>
      <c r="H358" s="327"/>
      <c r="I358" s="47" t="s">
        <v>67</v>
      </c>
      <c r="J358" s="47" t="s">
        <v>115</v>
      </c>
      <c r="K358" s="327"/>
      <c r="L358" s="47" t="s">
        <v>71</v>
      </c>
      <c r="M358" s="47" t="s">
        <v>1340</v>
      </c>
    </row>
    <row r="359">
      <c r="A359" s="328">
        <v>44591.0</v>
      </c>
      <c r="B359" s="47" t="s">
        <v>25</v>
      </c>
      <c r="C359" s="47" t="s">
        <v>36</v>
      </c>
      <c r="D359" s="47" t="s">
        <v>58</v>
      </c>
      <c r="E359" s="47" t="s">
        <v>22</v>
      </c>
      <c r="F359" s="47" t="s">
        <v>16</v>
      </c>
      <c r="G359" s="47" t="s">
        <v>1342</v>
      </c>
      <c r="H359" s="47" t="s">
        <v>61</v>
      </c>
      <c r="I359" s="47" t="s">
        <v>66</v>
      </c>
      <c r="J359" s="47" t="s">
        <v>346</v>
      </c>
      <c r="K359" s="327"/>
      <c r="L359" s="47" t="s">
        <v>167</v>
      </c>
      <c r="M359" s="47" t="s">
        <v>1340</v>
      </c>
    </row>
    <row r="360">
      <c r="A360" s="328">
        <v>44924.0</v>
      </c>
      <c r="B360" s="47" t="s">
        <v>19</v>
      </c>
      <c r="C360" s="47" t="s">
        <v>20</v>
      </c>
      <c r="D360" s="47" t="s">
        <v>58</v>
      </c>
      <c r="E360" s="47" t="s">
        <v>64</v>
      </c>
      <c r="F360" s="47" t="s">
        <v>16</v>
      </c>
      <c r="G360" s="47" t="s">
        <v>1343</v>
      </c>
      <c r="H360" s="47" t="s">
        <v>61</v>
      </c>
      <c r="I360" s="47" t="s">
        <v>346</v>
      </c>
      <c r="J360" s="47" t="s">
        <v>67</v>
      </c>
      <c r="K360" s="327"/>
      <c r="L360" s="47" t="s">
        <v>68</v>
      </c>
      <c r="M360" s="47" t="s">
        <v>1340</v>
      </c>
    </row>
    <row r="361">
      <c r="A361" s="328">
        <v>44918.0</v>
      </c>
      <c r="B361" s="47" t="s">
        <v>19</v>
      </c>
      <c r="C361" s="47" t="s">
        <v>13</v>
      </c>
      <c r="D361" s="47" t="s">
        <v>58</v>
      </c>
      <c r="E361" s="47" t="s">
        <v>22</v>
      </c>
      <c r="F361" s="47" t="s">
        <v>64</v>
      </c>
      <c r="G361" s="47" t="s">
        <v>533</v>
      </c>
      <c r="H361" s="327"/>
      <c r="I361" s="47" t="s">
        <v>79</v>
      </c>
      <c r="J361" s="327"/>
      <c r="K361" s="327"/>
      <c r="L361" s="47" t="s">
        <v>71</v>
      </c>
      <c r="M361" s="47" t="s">
        <v>1340</v>
      </c>
    </row>
    <row r="362">
      <c r="A362" s="328">
        <v>44917.0</v>
      </c>
      <c r="B362" s="47" t="s">
        <v>19</v>
      </c>
      <c r="C362" s="47" t="s">
        <v>26</v>
      </c>
      <c r="D362" s="47" t="s">
        <v>95</v>
      </c>
      <c r="E362" s="47" t="s">
        <v>22</v>
      </c>
      <c r="F362" s="47" t="s">
        <v>16</v>
      </c>
      <c r="G362" s="47" t="s">
        <v>534</v>
      </c>
      <c r="H362" s="47" t="s">
        <v>61</v>
      </c>
      <c r="I362" s="47" t="s">
        <v>66</v>
      </c>
      <c r="J362" s="47" t="s">
        <v>67</v>
      </c>
      <c r="K362" s="327"/>
      <c r="L362" s="47" t="s">
        <v>63</v>
      </c>
      <c r="M362" s="47" t="s">
        <v>1340</v>
      </c>
    </row>
    <row r="363">
      <c r="A363" s="328">
        <v>44917.0</v>
      </c>
      <c r="B363" s="47" t="s">
        <v>19</v>
      </c>
      <c r="C363" s="47" t="s">
        <v>49</v>
      </c>
      <c r="D363" s="47" t="s">
        <v>14</v>
      </c>
      <c r="E363" s="47" t="s">
        <v>22</v>
      </c>
      <c r="F363" s="47" t="s">
        <v>64</v>
      </c>
      <c r="G363" s="47" t="s">
        <v>535</v>
      </c>
      <c r="H363" s="327"/>
      <c r="I363" s="47" t="s">
        <v>115</v>
      </c>
      <c r="J363" s="327"/>
      <c r="K363" s="327"/>
      <c r="L363" s="47" t="s">
        <v>68</v>
      </c>
      <c r="M363" s="47" t="s">
        <v>1340</v>
      </c>
    </row>
    <row r="364">
      <c r="A364" s="328">
        <v>44917.0</v>
      </c>
      <c r="B364" s="47" t="s">
        <v>19</v>
      </c>
      <c r="C364" s="47" t="s">
        <v>72</v>
      </c>
      <c r="D364" s="47" t="s">
        <v>27</v>
      </c>
      <c r="E364" s="47" t="s">
        <v>22</v>
      </c>
      <c r="F364" s="47" t="s">
        <v>16</v>
      </c>
      <c r="G364" s="47" t="s">
        <v>536</v>
      </c>
      <c r="H364" s="327"/>
      <c r="I364" s="47" t="s">
        <v>74</v>
      </c>
      <c r="J364" s="327"/>
      <c r="K364" s="327"/>
      <c r="L364" s="47" t="s">
        <v>71</v>
      </c>
      <c r="M364" s="47" t="s">
        <v>1340</v>
      </c>
    </row>
    <row r="365">
      <c r="A365" s="328">
        <v>44910.0</v>
      </c>
      <c r="B365" s="47" t="s">
        <v>19</v>
      </c>
      <c r="C365" s="47" t="s">
        <v>33</v>
      </c>
      <c r="D365" s="47" t="s">
        <v>21</v>
      </c>
      <c r="E365" s="47" t="s">
        <v>22</v>
      </c>
      <c r="F365" s="47" t="s">
        <v>64</v>
      </c>
      <c r="G365" s="47" t="s">
        <v>537</v>
      </c>
      <c r="H365" s="327"/>
      <c r="I365" s="47" t="s">
        <v>463</v>
      </c>
      <c r="J365" s="327"/>
      <c r="K365" s="327"/>
      <c r="L365" s="47" t="s">
        <v>71</v>
      </c>
      <c r="M365" s="47" t="s">
        <v>1340</v>
      </c>
    </row>
    <row r="366">
      <c r="A366" s="328">
        <v>44910.0</v>
      </c>
      <c r="B366" s="47" t="s">
        <v>19</v>
      </c>
      <c r="C366" s="47" t="s">
        <v>49</v>
      </c>
      <c r="D366" s="47" t="s">
        <v>58</v>
      </c>
      <c r="E366" s="47" t="s">
        <v>15</v>
      </c>
      <c r="F366" s="47" t="s">
        <v>16</v>
      </c>
      <c r="G366" s="47" t="s">
        <v>538</v>
      </c>
      <c r="H366" s="47" t="s">
        <v>61</v>
      </c>
      <c r="I366" s="47" t="s">
        <v>334</v>
      </c>
      <c r="J366" s="47" t="s">
        <v>127</v>
      </c>
      <c r="K366" s="327"/>
      <c r="L366" s="47" t="s">
        <v>144</v>
      </c>
      <c r="M366" s="47" t="s">
        <v>1340</v>
      </c>
    </row>
    <row r="367">
      <c r="A367" s="328">
        <v>44910.0</v>
      </c>
      <c r="B367" s="47" t="s">
        <v>19</v>
      </c>
      <c r="C367" s="47" t="s">
        <v>30</v>
      </c>
      <c r="D367" s="47" t="s">
        <v>58</v>
      </c>
      <c r="E367" s="47" t="s">
        <v>15</v>
      </c>
      <c r="F367" s="47" t="s">
        <v>16</v>
      </c>
      <c r="G367" s="47" t="s">
        <v>539</v>
      </c>
      <c r="H367" s="47" t="s">
        <v>61</v>
      </c>
      <c r="I367" s="47" t="s">
        <v>334</v>
      </c>
      <c r="J367" s="47" t="s">
        <v>127</v>
      </c>
      <c r="K367" s="327"/>
      <c r="L367" s="47" t="s">
        <v>144</v>
      </c>
      <c r="M367" s="47" t="s">
        <v>1340</v>
      </c>
    </row>
    <row r="368">
      <c r="A368" s="328">
        <v>44902.0</v>
      </c>
      <c r="B368" s="47" t="s">
        <v>19</v>
      </c>
      <c r="C368" s="47" t="s">
        <v>57</v>
      </c>
      <c r="D368" s="47" t="s">
        <v>21</v>
      </c>
      <c r="E368" s="47" t="s">
        <v>22</v>
      </c>
      <c r="F368" s="47" t="s">
        <v>16</v>
      </c>
      <c r="G368" s="47" t="s">
        <v>540</v>
      </c>
      <c r="H368" s="47" t="s">
        <v>61</v>
      </c>
      <c r="I368" s="47" t="s">
        <v>334</v>
      </c>
      <c r="J368" s="47" t="s">
        <v>70</v>
      </c>
      <c r="K368" s="327"/>
      <c r="L368" s="47" t="s">
        <v>167</v>
      </c>
      <c r="M368" s="47" t="s">
        <v>1340</v>
      </c>
    </row>
    <row r="369">
      <c r="A369" s="328">
        <v>44893.0</v>
      </c>
      <c r="B369" s="47" t="s">
        <v>43</v>
      </c>
      <c r="C369" s="47" t="s">
        <v>20</v>
      </c>
      <c r="D369" s="47" t="s">
        <v>14</v>
      </c>
      <c r="E369" s="47" t="s">
        <v>22</v>
      </c>
      <c r="F369" s="47" t="s">
        <v>16</v>
      </c>
      <c r="G369" s="47" t="s">
        <v>541</v>
      </c>
      <c r="H369" s="47" t="s">
        <v>97</v>
      </c>
      <c r="I369" s="47" t="s">
        <v>74</v>
      </c>
      <c r="J369" s="47" t="s">
        <v>127</v>
      </c>
      <c r="K369" s="327"/>
      <c r="L369" s="47" t="s">
        <v>71</v>
      </c>
      <c r="M369" s="47" t="s">
        <v>1340</v>
      </c>
    </row>
    <row r="370">
      <c r="A370" s="328">
        <v>44881.0</v>
      </c>
      <c r="B370" s="47" t="s">
        <v>43</v>
      </c>
      <c r="C370" s="47" t="s">
        <v>36</v>
      </c>
      <c r="D370" s="47" t="s">
        <v>27</v>
      </c>
      <c r="E370" s="47" t="s">
        <v>22</v>
      </c>
      <c r="F370" s="47" t="s">
        <v>16</v>
      </c>
      <c r="G370" s="47" t="s">
        <v>542</v>
      </c>
      <c r="H370" s="47" t="s">
        <v>61</v>
      </c>
      <c r="I370" s="47" t="s">
        <v>66</v>
      </c>
      <c r="J370" s="327"/>
      <c r="K370" s="327"/>
      <c r="L370" s="47" t="s">
        <v>63</v>
      </c>
      <c r="M370" s="47" t="s">
        <v>1340</v>
      </c>
    </row>
    <row r="371">
      <c r="A371" s="328">
        <v>44826.0</v>
      </c>
      <c r="B371" s="47" t="s">
        <v>56</v>
      </c>
      <c r="C371" s="47" t="s">
        <v>49</v>
      </c>
      <c r="D371" s="47" t="s">
        <v>21</v>
      </c>
      <c r="E371" s="47" t="s">
        <v>22</v>
      </c>
      <c r="F371" s="47" t="s">
        <v>16</v>
      </c>
      <c r="G371" s="47" t="s">
        <v>1344</v>
      </c>
      <c r="H371" s="47" t="s">
        <v>61</v>
      </c>
      <c r="I371" s="47" t="s">
        <v>127</v>
      </c>
      <c r="J371" s="327"/>
      <c r="K371" s="47" t="s">
        <v>544</v>
      </c>
      <c r="L371" s="47" t="s">
        <v>167</v>
      </c>
      <c r="M371" s="47" t="s">
        <v>1340</v>
      </c>
    </row>
    <row r="372">
      <c r="A372" s="328">
        <v>44868.0</v>
      </c>
      <c r="B372" s="47" t="s">
        <v>43</v>
      </c>
      <c r="C372" s="47" t="s">
        <v>76</v>
      </c>
      <c r="D372" s="47" t="s">
        <v>44</v>
      </c>
      <c r="E372" s="47" t="s">
        <v>22</v>
      </c>
      <c r="F372" s="47" t="s">
        <v>16</v>
      </c>
      <c r="G372" s="47" t="s">
        <v>545</v>
      </c>
      <c r="H372" s="47" t="s">
        <v>61</v>
      </c>
      <c r="I372" s="327"/>
      <c r="J372" s="327"/>
      <c r="K372" s="327"/>
      <c r="L372" s="47" t="s">
        <v>71</v>
      </c>
      <c r="M372" s="47" t="s">
        <v>1340</v>
      </c>
    </row>
    <row r="373">
      <c r="A373" s="328">
        <v>44846.0</v>
      </c>
      <c r="B373" s="47" t="s">
        <v>56</v>
      </c>
      <c r="C373" s="47" t="s">
        <v>57</v>
      </c>
      <c r="D373" s="47" t="s">
        <v>21</v>
      </c>
      <c r="E373" s="47" t="s">
        <v>22</v>
      </c>
      <c r="F373" s="47" t="s">
        <v>16</v>
      </c>
      <c r="G373" s="47" t="s">
        <v>546</v>
      </c>
      <c r="H373" s="47" t="s">
        <v>61</v>
      </c>
      <c r="I373" s="47" t="s">
        <v>334</v>
      </c>
      <c r="J373" s="327"/>
      <c r="K373" s="327"/>
      <c r="L373" s="47" t="s">
        <v>71</v>
      </c>
      <c r="M373" s="47" t="s">
        <v>1340</v>
      </c>
    </row>
    <row r="374">
      <c r="A374" s="328">
        <v>44844.0</v>
      </c>
      <c r="B374" s="47" t="s">
        <v>56</v>
      </c>
      <c r="C374" s="47" t="s">
        <v>26</v>
      </c>
      <c r="D374" s="47" t="s">
        <v>58</v>
      </c>
      <c r="E374" s="47" t="s">
        <v>22</v>
      </c>
      <c r="F374" s="47" t="s">
        <v>16</v>
      </c>
      <c r="G374" s="47" t="s">
        <v>547</v>
      </c>
      <c r="H374" s="47" t="s">
        <v>61</v>
      </c>
      <c r="I374" s="47" t="s">
        <v>66</v>
      </c>
      <c r="J374" s="327"/>
      <c r="K374" s="327"/>
      <c r="L374" s="47" t="s">
        <v>167</v>
      </c>
      <c r="M374" s="47" t="s">
        <v>1340</v>
      </c>
    </row>
    <row r="375">
      <c r="A375" s="328">
        <v>44854.0</v>
      </c>
      <c r="B375" s="47" t="s">
        <v>56</v>
      </c>
      <c r="C375" s="47" t="s">
        <v>36</v>
      </c>
      <c r="D375" s="47" t="s">
        <v>44</v>
      </c>
      <c r="E375" s="47" t="s">
        <v>22</v>
      </c>
      <c r="F375" s="47" t="s">
        <v>16</v>
      </c>
      <c r="G375" s="47" t="s">
        <v>548</v>
      </c>
      <c r="H375" s="47" t="s">
        <v>61</v>
      </c>
      <c r="I375" s="47" t="s">
        <v>66</v>
      </c>
      <c r="J375" s="327"/>
      <c r="K375" s="327"/>
      <c r="L375" s="47" t="s">
        <v>71</v>
      </c>
      <c r="M375" s="47" t="s">
        <v>1340</v>
      </c>
    </row>
    <row r="376">
      <c r="A376" s="328">
        <v>44826.0</v>
      </c>
      <c r="B376" s="47" t="s">
        <v>56</v>
      </c>
      <c r="C376" s="47" t="s">
        <v>49</v>
      </c>
      <c r="D376" s="47" t="s">
        <v>21</v>
      </c>
      <c r="E376" s="47" t="s">
        <v>22</v>
      </c>
      <c r="F376" s="47" t="s">
        <v>16</v>
      </c>
      <c r="G376" s="47" t="s">
        <v>549</v>
      </c>
      <c r="H376" s="47" t="s">
        <v>61</v>
      </c>
      <c r="I376" s="47" t="s">
        <v>115</v>
      </c>
      <c r="J376" s="327"/>
      <c r="K376" s="47" t="s">
        <v>550</v>
      </c>
      <c r="L376" s="47" t="s">
        <v>167</v>
      </c>
      <c r="M376" s="47" t="s">
        <v>1340</v>
      </c>
    </row>
    <row r="377">
      <c r="A377" s="328">
        <v>44848.0</v>
      </c>
      <c r="B377" s="47" t="s">
        <v>56</v>
      </c>
      <c r="C377" s="47" t="s">
        <v>57</v>
      </c>
      <c r="D377" s="47" t="s">
        <v>21</v>
      </c>
      <c r="E377" s="47" t="s">
        <v>64</v>
      </c>
      <c r="F377" s="47" t="s">
        <v>16</v>
      </c>
      <c r="G377" s="47" t="s">
        <v>551</v>
      </c>
      <c r="H377" s="327"/>
      <c r="I377" s="327"/>
      <c r="J377" s="327"/>
      <c r="K377" s="327"/>
      <c r="L377" s="47" t="s">
        <v>68</v>
      </c>
      <c r="M377" s="47" t="s">
        <v>1340</v>
      </c>
    </row>
    <row r="378">
      <c r="A378" s="328">
        <v>44826.0</v>
      </c>
      <c r="B378" s="47" t="s">
        <v>56</v>
      </c>
      <c r="C378" s="47" t="s">
        <v>30</v>
      </c>
      <c r="D378" s="47" t="s">
        <v>44</v>
      </c>
      <c r="E378" s="47" t="s">
        <v>15</v>
      </c>
      <c r="F378" s="47" t="s">
        <v>16</v>
      </c>
      <c r="G378" s="47" t="s">
        <v>552</v>
      </c>
      <c r="H378" s="327"/>
      <c r="I378" s="47" t="s">
        <v>127</v>
      </c>
      <c r="J378" s="327"/>
      <c r="K378" s="327"/>
      <c r="L378" s="47" t="s">
        <v>68</v>
      </c>
      <c r="M378" s="47" t="s">
        <v>1340</v>
      </c>
    </row>
    <row r="379">
      <c r="A379" s="328">
        <v>44830.0</v>
      </c>
      <c r="B379" s="47" t="s">
        <v>56</v>
      </c>
      <c r="C379" s="47" t="s">
        <v>83</v>
      </c>
      <c r="D379" s="47" t="s">
        <v>44</v>
      </c>
      <c r="E379" s="47" t="s">
        <v>64</v>
      </c>
      <c r="F379" s="47" t="s">
        <v>16</v>
      </c>
      <c r="G379" s="47" t="s">
        <v>553</v>
      </c>
      <c r="H379" s="47" t="s">
        <v>61</v>
      </c>
      <c r="I379" s="47" t="s">
        <v>66</v>
      </c>
      <c r="J379" s="327"/>
      <c r="K379" s="327"/>
      <c r="L379" s="47" t="s">
        <v>162</v>
      </c>
      <c r="M379" s="47" t="s">
        <v>1340</v>
      </c>
    </row>
    <row r="380">
      <c r="A380" s="328">
        <v>44816.0</v>
      </c>
      <c r="B380" s="47" t="s">
        <v>56</v>
      </c>
      <c r="C380" s="47" t="s">
        <v>33</v>
      </c>
      <c r="D380" s="47" t="s">
        <v>14</v>
      </c>
      <c r="E380" s="47" t="s">
        <v>22</v>
      </c>
      <c r="F380" s="47" t="s">
        <v>16</v>
      </c>
      <c r="G380" s="47" t="s">
        <v>554</v>
      </c>
      <c r="H380" s="327"/>
      <c r="I380" s="47" t="s">
        <v>463</v>
      </c>
      <c r="J380" s="47" t="s">
        <v>70</v>
      </c>
      <c r="K380" s="47" t="s">
        <v>97</v>
      </c>
      <c r="L380" s="47" t="s">
        <v>71</v>
      </c>
      <c r="M380" s="47" t="s">
        <v>1340</v>
      </c>
    </row>
    <row r="381">
      <c r="A381" s="328">
        <v>44802.0</v>
      </c>
      <c r="B381" s="47" t="s">
        <v>75</v>
      </c>
      <c r="C381" s="47" t="s">
        <v>26</v>
      </c>
      <c r="D381" s="47" t="s">
        <v>77</v>
      </c>
      <c r="E381" s="47" t="s">
        <v>22</v>
      </c>
      <c r="F381" s="47" t="s">
        <v>16</v>
      </c>
      <c r="G381" s="47" t="s">
        <v>555</v>
      </c>
      <c r="H381" s="47" t="s">
        <v>61</v>
      </c>
      <c r="I381" s="47" t="s">
        <v>66</v>
      </c>
      <c r="J381" s="327"/>
      <c r="K381" s="327"/>
      <c r="L381" s="47" t="s">
        <v>63</v>
      </c>
      <c r="M381" s="47" t="s">
        <v>1340</v>
      </c>
    </row>
    <row r="382">
      <c r="A382" s="328">
        <v>44798.0</v>
      </c>
      <c r="B382" s="47" t="s">
        <v>75</v>
      </c>
      <c r="C382" s="47" t="s">
        <v>26</v>
      </c>
      <c r="D382" s="47" t="s">
        <v>77</v>
      </c>
      <c r="E382" s="47" t="s">
        <v>22</v>
      </c>
      <c r="F382" s="47" t="s">
        <v>16</v>
      </c>
      <c r="G382" s="47" t="s">
        <v>556</v>
      </c>
      <c r="H382" s="47" t="s">
        <v>61</v>
      </c>
      <c r="I382" s="47" t="s">
        <v>66</v>
      </c>
      <c r="J382" s="327"/>
      <c r="K382" s="327"/>
      <c r="L382" s="47" t="s">
        <v>144</v>
      </c>
      <c r="M382" s="47" t="s">
        <v>1340</v>
      </c>
    </row>
    <row r="383">
      <c r="A383" s="328">
        <v>44931.0</v>
      </c>
      <c r="B383" s="47" t="s">
        <v>172</v>
      </c>
      <c r="C383" s="47" t="s">
        <v>72</v>
      </c>
      <c r="D383" s="47" t="s">
        <v>14</v>
      </c>
      <c r="E383" s="47" t="s">
        <v>64</v>
      </c>
      <c r="F383" s="47" t="s">
        <v>64</v>
      </c>
      <c r="G383" s="47" t="s">
        <v>557</v>
      </c>
      <c r="H383" s="327"/>
      <c r="I383" s="47" t="s">
        <v>74</v>
      </c>
      <c r="J383" s="47" t="s">
        <v>66</v>
      </c>
      <c r="K383" s="327"/>
      <c r="L383" s="47" t="s">
        <v>68</v>
      </c>
      <c r="M383" s="47" t="s">
        <v>1345</v>
      </c>
    </row>
    <row r="384">
      <c r="A384" s="328">
        <v>44729.0</v>
      </c>
      <c r="B384" s="47" t="s">
        <v>12</v>
      </c>
      <c r="C384" s="47" t="s">
        <v>33</v>
      </c>
      <c r="D384" s="47" t="s">
        <v>89</v>
      </c>
      <c r="E384" s="47" t="s">
        <v>22</v>
      </c>
      <c r="F384" s="47" t="s">
        <v>16</v>
      </c>
      <c r="G384" s="47" t="s">
        <v>558</v>
      </c>
      <c r="H384" s="47" t="s">
        <v>97</v>
      </c>
      <c r="I384" s="47" t="s">
        <v>463</v>
      </c>
      <c r="J384" s="327"/>
      <c r="K384" s="327"/>
      <c r="L384" s="47" t="s">
        <v>71</v>
      </c>
      <c r="M384" s="47" t="s">
        <v>1345</v>
      </c>
    </row>
    <row r="385">
      <c r="A385" s="328">
        <v>44729.0</v>
      </c>
      <c r="B385" s="47" t="s">
        <v>19</v>
      </c>
      <c r="C385" s="47" t="s">
        <v>36</v>
      </c>
      <c r="D385" s="47" t="s">
        <v>14</v>
      </c>
      <c r="E385" s="47" t="s">
        <v>22</v>
      </c>
      <c r="F385" s="47" t="s">
        <v>16</v>
      </c>
      <c r="G385" s="47" t="s">
        <v>1346</v>
      </c>
      <c r="H385" s="47" t="s">
        <v>61</v>
      </c>
      <c r="I385" s="47" t="s">
        <v>66</v>
      </c>
      <c r="J385" s="327"/>
      <c r="K385" s="47" t="s">
        <v>560</v>
      </c>
      <c r="L385" s="47" t="s">
        <v>71</v>
      </c>
      <c r="M385" s="47" t="s">
        <v>1345</v>
      </c>
    </row>
    <row r="386">
      <c r="A386" s="328">
        <v>44767.0</v>
      </c>
      <c r="B386" s="47" t="s">
        <v>12</v>
      </c>
      <c r="C386" s="47" t="s">
        <v>33</v>
      </c>
      <c r="D386" s="47" t="s">
        <v>89</v>
      </c>
      <c r="E386" s="47" t="s">
        <v>64</v>
      </c>
      <c r="F386" s="47" t="s">
        <v>16</v>
      </c>
      <c r="G386" s="47" t="s">
        <v>561</v>
      </c>
      <c r="H386" s="327"/>
      <c r="I386" s="327"/>
      <c r="J386" s="327"/>
      <c r="K386" s="327"/>
      <c r="L386" s="47" t="s">
        <v>162</v>
      </c>
      <c r="M386" s="47" t="s">
        <v>1345</v>
      </c>
    </row>
    <row r="387">
      <c r="A387" s="328">
        <v>44729.0</v>
      </c>
      <c r="B387" s="47" t="s">
        <v>19</v>
      </c>
      <c r="C387" s="47" t="s">
        <v>36</v>
      </c>
      <c r="D387" s="47" t="s">
        <v>14</v>
      </c>
      <c r="E387" s="47" t="s">
        <v>64</v>
      </c>
      <c r="F387" s="47" t="s">
        <v>64</v>
      </c>
      <c r="G387" s="47" t="s">
        <v>562</v>
      </c>
      <c r="H387" s="327"/>
      <c r="I387" s="47" t="s">
        <v>66</v>
      </c>
      <c r="J387" s="327"/>
      <c r="K387" s="47" t="s">
        <v>563</v>
      </c>
      <c r="L387" s="47" t="s">
        <v>68</v>
      </c>
      <c r="M387" s="47" t="s">
        <v>1345</v>
      </c>
    </row>
    <row r="388">
      <c r="A388" s="328">
        <v>44729.0</v>
      </c>
      <c r="B388" s="47" t="s">
        <v>12</v>
      </c>
      <c r="C388" s="47" t="s">
        <v>72</v>
      </c>
      <c r="D388" s="47" t="s">
        <v>27</v>
      </c>
      <c r="E388" s="47" t="s">
        <v>22</v>
      </c>
      <c r="F388" s="47" t="s">
        <v>16</v>
      </c>
      <c r="G388" s="47" t="s">
        <v>564</v>
      </c>
      <c r="H388" s="327"/>
      <c r="I388" s="47" t="s">
        <v>74</v>
      </c>
      <c r="J388" s="47" t="s">
        <v>66</v>
      </c>
      <c r="K388" s="327"/>
      <c r="L388" s="47" t="s">
        <v>71</v>
      </c>
      <c r="M388" s="47" t="s">
        <v>1345</v>
      </c>
    </row>
    <row r="389">
      <c r="A389" s="328">
        <v>44719.0</v>
      </c>
      <c r="B389" s="47" t="s">
        <v>12</v>
      </c>
      <c r="C389" s="47" t="s">
        <v>72</v>
      </c>
      <c r="D389" s="47" t="s">
        <v>27</v>
      </c>
      <c r="E389" s="47" t="s">
        <v>22</v>
      </c>
      <c r="F389" s="47" t="s">
        <v>16</v>
      </c>
      <c r="G389" s="47" t="s">
        <v>565</v>
      </c>
      <c r="H389" s="327"/>
      <c r="I389" s="47" t="s">
        <v>74</v>
      </c>
      <c r="J389" s="47" t="s">
        <v>66</v>
      </c>
      <c r="K389" s="327"/>
      <c r="L389" s="47" t="s">
        <v>71</v>
      </c>
      <c r="M389" s="47" t="s">
        <v>1345</v>
      </c>
    </row>
    <row r="390">
      <c r="A390" s="328">
        <v>44698.0</v>
      </c>
      <c r="B390" s="47" t="s">
        <v>25</v>
      </c>
      <c r="C390" s="47" t="s">
        <v>57</v>
      </c>
      <c r="D390" s="47" t="s">
        <v>58</v>
      </c>
      <c r="E390" s="47" t="s">
        <v>22</v>
      </c>
      <c r="F390" s="47" t="s">
        <v>16</v>
      </c>
      <c r="G390" s="47" t="s">
        <v>566</v>
      </c>
      <c r="H390" s="47" t="s">
        <v>112</v>
      </c>
      <c r="I390" s="47" t="s">
        <v>334</v>
      </c>
      <c r="J390" s="327"/>
      <c r="K390" s="327"/>
      <c r="L390" s="47" t="s">
        <v>71</v>
      </c>
      <c r="M390" s="47" t="s">
        <v>1345</v>
      </c>
    </row>
    <row r="391">
      <c r="A391" s="328">
        <v>44698.0</v>
      </c>
      <c r="B391" s="47" t="s">
        <v>25</v>
      </c>
      <c r="C391" s="47" t="s">
        <v>57</v>
      </c>
      <c r="D391" s="47" t="s">
        <v>58</v>
      </c>
      <c r="E391" s="47" t="s">
        <v>22</v>
      </c>
      <c r="F391" s="47" t="s">
        <v>16</v>
      </c>
      <c r="G391" s="47" t="s">
        <v>567</v>
      </c>
      <c r="H391" s="327"/>
      <c r="I391" s="47" t="s">
        <v>334</v>
      </c>
      <c r="J391" s="47" t="s">
        <v>70</v>
      </c>
      <c r="K391" s="327"/>
      <c r="L391" s="47" t="s">
        <v>71</v>
      </c>
      <c r="M391" s="47" t="s">
        <v>1345</v>
      </c>
    </row>
    <row r="392">
      <c r="A392" s="328">
        <v>44698.0</v>
      </c>
      <c r="B392" s="47" t="s">
        <v>19</v>
      </c>
      <c r="C392" s="47" t="s">
        <v>57</v>
      </c>
      <c r="D392" s="47" t="s">
        <v>58</v>
      </c>
      <c r="E392" s="47" t="s">
        <v>22</v>
      </c>
      <c r="F392" s="47" t="s">
        <v>16</v>
      </c>
      <c r="G392" s="47" t="s">
        <v>568</v>
      </c>
      <c r="H392" s="327"/>
      <c r="I392" s="47" t="s">
        <v>334</v>
      </c>
      <c r="J392" s="327"/>
      <c r="K392" s="327"/>
      <c r="L392" s="47" t="s">
        <v>144</v>
      </c>
      <c r="M392" s="47" t="s">
        <v>1345</v>
      </c>
    </row>
    <row r="393">
      <c r="A393" s="328">
        <v>44680.0</v>
      </c>
      <c r="B393" s="47" t="s">
        <v>19</v>
      </c>
      <c r="C393" s="47" t="s">
        <v>49</v>
      </c>
      <c r="D393" s="47" t="s">
        <v>21</v>
      </c>
      <c r="E393" s="47" t="s">
        <v>22</v>
      </c>
      <c r="F393" s="47" t="s">
        <v>16</v>
      </c>
      <c r="G393" s="47" t="s">
        <v>569</v>
      </c>
      <c r="H393" s="327"/>
      <c r="I393" s="47" t="s">
        <v>115</v>
      </c>
      <c r="J393" s="47" t="s">
        <v>334</v>
      </c>
      <c r="K393" s="327"/>
      <c r="L393" s="47" t="s">
        <v>68</v>
      </c>
      <c r="M393" s="47" t="s">
        <v>1345</v>
      </c>
    </row>
    <row r="394">
      <c r="A394" s="328">
        <v>44680.0</v>
      </c>
      <c r="B394" s="47" t="s">
        <v>19</v>
      </c>
      <c r="C394" s="47" t="s">
        <v>30</v>
      </c>
      <c r="D394" s="47" t="s">
        <v>21</v>
      </c>
      <c r="E394" s="47" t="s">
        <v>22</v>
      </c>
      <c r="F394" s="47" t="s">
        <v>16</v>
      </c>
      <c r="G394" s="47" t="s">
        <v>570</v>
      </c>
      <c r="H394" s="327"/>
      <c r="I394" s="47" t="s">
        <v>127</v>
      </c>
      <c r="J394" s="47" t="s">
        <v>334</v>
      </c>
      <c r="K394" s="327"/>
      <c r="L394" s="47" t="s">
        <v>68</v>
      </c>
      <c r="M394" s="47" t="s">
        <v>1345</v>
      </c>
    </row>
    <row r="395">
      <c r="A395" s="328">
        <v>44677.0</v>
      </c>
      <c r="B395" s="47" t="s">
        <v>19</v>
      </c>
      <c r="C395" s="47" t="s">
        <v>36</v>
      </c>
      <c r="D395" s="47" t="s">
        <v>21</v>
      </c>
      <c r="E395" s="47" t="s">
        <v>22</v>
      </c>
      <c r="F395" s="47" t="s">
        <v>16</v>
      </c>
      <c r="G395" s="47" t="s">
        <v>571</v>
      </c>
      <c r="H395" s="47" t="s">
        <v>61</v>
      </c>
      <c r="I395" s="47" t="s">
        <v>66</v>
      </c>
      <c r="J395" s="327"/>
      <c r="K395" s="327"/>
      <c r="L395" s="47" t="s">
        <v>63</v>
      </c>
      <c r="M395" s="47" t="s">
        <v>1345</v>
      </c>
    </row>
    <row r="396">
      <c r="A396" s="328">
        <v>44679.0</v>
      </c>
      <c r="B396" s="47" t="s">
        <v>19</v>
      </c>
      <c r="C396" s="47" t="s">
        <v>36</v>
      </c>
      <c r="D396" s="47" t="s">
        <v>89</v>
      </c>
      <c r="E396" s="47" t="s">
        <v>64</v>
      </c>
      <c r="F396" s="47" t="s">
        <v>16</v>
      </c>
      <c r="G396" s="47" t="s">
        <v>572</v>
      </c>
      <c r="H396" s="327"/>
      <c r="I396" s="47" t="s">
        <v>66</v>
      </c>
      <c r="J396" s="327"/>
      <c r="K396" s="327"/>
      <c r="L396" s="47" t="s">
        <v>71</v>
      </c>
      <c r="M396" s="47" t="s">
        <v>1345</v>
      </c>
    </row>
    <row r="397">
      <c r="A397" s="328">
        <v>44664.0</v>
      </c>
      <c r="B397" s="47" t="s">
        <v>19</v>
      </c>
      <c r="C397" s="47" t="s">
        <v>26</v>
      </c>
      <c r="D397" s="47" t="s">
        <v>27</v>
      </c>
      <c r="E397" s="47" t="s">
        <v>64</v>
      </c>
      <c r="F397" s="47" t="s">
        <v>64</v>
      </c>
      <c r="G397" s="47" t="s">
        <v>573</v>
      </c>
      <c r="H397" s="47" t="s">
        <v>97</v>
      </c>
      <c r="I397" s="47" t="s">
        <v>463</v>
      </c>
      <c r="J397" s="47" t="s">
        <v>463</v>
      </c>
      <c r="K397" s="327"/>
      <c r="L397" s="47" t="s">
        <v>68</v>
      </c>
      <c r="M397" s="47" t="s">
        <v>1345</v>
      </c>
    </row>
    <row r="398">
      <c r="A398" s="328">
        <v>44664.0</v>
      </c>
      <c r="B398" s="47" t="s">
        <v>19</v>
      </c>
      <c r="C398" s="47" t="s">
        <v>26</v>
      </c>
      <c r="D398" s="47" t="s">
        <v>27</v>
      </c>
      <c r="E398" s="47" t="s">
        <v>64</v>
      </c>
      <c r="F398" s="47" t="s">
        <v>16</v>
      </c>
      <c r="G398" s="47" t="s">
        <v>574</v>
      </c>
      <c r="H398" s="327"/>
      <c r="I398" s="47" t="s">
        <v>66</v>
      </c>
      <c r="J398" s="327"/>
      <c r="K398" s="47" t="s">
        <v>1347</v>
      </c>
      <c r="L398" s="47" t="s">
        <v>68</v>
      </c>
      <c r="M398" s="47" t="s">
        <v>1345</v>
      </c>
    </row>
    <row r="399">
      <c r="A399" s="328">
        <v>44664.0</v>
      </c>
      <c r="B399" s="47" t="s">
        <v>19</v>
      </c>
      <c r="C399" s="47" t="s">
        <v>26</v>
      </c>
      <c r="D399" s="47" t="s">
        <v>27</v>
      </c>
      <c r="E399" s="47" t="s">
        <v>64</v>
      </c>
      <c r="F399" s="47" t="s">
        <v>16</v>
      </c>
      <c r="G399" s="47" t="s">
        <v>576</v>
      </c>
      <c r="H399" s="47" t="s">
        <v>61</v>
      </c>
      <c r="I399" s="47" t="s">
        <v>66</v>
      </c>
      <c r="J399" s="47" t="s">
        <v>463</v>
      </c>
      <c r="K399" s="47" t="s">
        <v>1348</v>
      </c>
      <c r="L399" s="47" t="s">
        <v>71</v>
      </c>
      <c r="M399" s="47" t="s">
        <v>1345</v>
      </c>
    </row>
    <row r="400">
      <c r="A400" s="328">
        <v>44650.0</v>
      </c>
      <c r="B400" s="47" t="s">
        <v>43</v>
      </c>
      <c r="C400" s="47" t="s">
        <v>20</v>
      </c>
      <c r="D400" s="47" t="s">
        <v>95</v>
      </c>
      <c r="E400" s="47" t="s">
        <v>22</v>
      </c>
      <c r="F400" s="47" t="s">
        <v>16</v>
      </c>
      <c r="G400" s="47" t="s">
        <v>578</v>
      </c>
      <c r="H400" s="47" t="s">
        <v>97</v>
      </c>
      <c r="I400" s="47" t="s">
        <v>67</v>
      </c>
      <c r="J400" s="47" t="s">
        <v>70</v>
      </c>
      <c r="K400" s="327"/>
      <c r="L400" s="47" t="s">
        <v>71</v>
      </c>
      <c r="M400" s="47" t="s">
        <v>1345</v>
      </c>
    </row>
    <row r="401">
      <c r="A401" s="328">
        <v>44650.0</v>
      </c>
      <c r="B401" s="47" t="s">
        <v>43</v>
      </c>
      <c r="C401" s="47" t="s">
        <v>20</v>
      </c>
      <c r="D401" s="47" t="s">
        <v>95</v>
      </c>
      <c r="E401" s="47" t="s">
        <v>22</v>
      </c>
      <c r="F401" s="47" t="s">
        <v>86</v>
      </c>
      <c r="G401" s="47" t="s">
        <v>579</v>
      </c>
      <c r="H401" s="47" t="s">
        <v>97</v>
      </c>
      <c r="I401" s="47" t="s">
        <v>67</v>
      </c>
      <c r="J401" s="47" t="s">
        <v>70</v>
      </c>
      <c r="K401" s="327"/>
      <c r="L401" s="47" t="s">
        <v>71</v>
      </c>
      <c r="M401" s="47" t="s">
        <v>1345</v>
      </c>
    </row>
    <row r="402">
      <c r="A402" s="328">
        <v>44650.0</v>
      </c>
      <c r="B402" s="47" t="s">
        <v>43</v>
      </c>
      <c r="C402" s="47" t="s">
        <v>20</v>
      </c>
      <c r="D402" s="47" t="s">
        <v>95</v>
      </c>
      <c r="E402" s="47" t="s">
        <v>22</v>
      </c>
      <c r="F402" s="47" t="s">
        <v>86</v>
      </c>
      <c r="G402" s="47" t="s">
        <v>580</v>
      </c>
      <c r="H402" s="47" t="s">
        <v>97</v>
      </c>
      <c r="I402" s="47" t="s">
        <v>67</v>
      </c>
      <c r="J402" s="47" t="s">
        <v>70</v>
      </c>
      <c r="K402" s="327"/>
      <c r="L402" s="47" t="s">
        <v>71</v>
      </c>
      <c r="M402" s="47" t="s">
        <v>1345</v>
      </c>
    </row>
    <row r="403">
      <c r="A403" s="328">
        <v>44650.0</v>
      </c>
      <c r="B403" s="47" t="s">
        <v>43</v>
      </c>
      <c r="C403" s="47" t="s">
        <v>49</v>
      </c>
      <c r="D403" s="47" t="s">
        <v>58</v>
      </c>
      <c r="E403" s="47" t="s">
        <v>15</v>
      </c>
      <c r="F403" s="47" t="s">
        <v>16</v>
      </c>
      <c r="G403" s="47" t="s">
        <v>581</v>
      </c>
      <c r="H403" s="47" t="s">
        <v>61</v>
      </c>
      <c r="I403" s="47" t="s">
        <v>115</v>
      </c>
      <c r="J403" s="47" t="s">
        <v>70</v>
      </c>
      <c r="K403" s="327"/>
      <c r="L403" s="47" t="s">
        <v>167</v>
      </c>
      <c r="M403" s="47" t="s">
        <v>1345</v>
      </c>
    </row>
    <row r="404">
      <c r="A404" s="328">
        <v>44650.0</v>
      </c>
      <c r="B404" s="47" t="s">
        <v>43</v>
      </c>
      <c r="C404" s="47" t="s">
        <v>30</v>
      </c>
      <c r="D404" s="47" t="s">
        <v>58</v>
      </c>
      <c r="E404" s="47" t="s">
        <v>22</v>
      </c>
      <c r="F404" s="47" t="s">
        <v>16</v>
      </c>
      <c r="G404" s="47" t="s">
        <v>582</v>
      </c>
      <c r="H404" s="327"/>
      <c r="I404" s="47" t="s">
        <v>127</v>
      </c>
      <c r="J404" s="47" t="s">
        <v>70</v>
      </c>
      <c r="K404" s="327"/>
      <c r="L404" s="47" t="s">
        <v>167</v>
      </c>
      <c r="M404" s="47" t="s">
        <v>1345</v>
      </c>
    </row>
    <row r="405">
      <c r="A405" s="328">
        <v>44622.0</v>
      </c>
      <c r="B405" s="47" t="s">
        <v>43</v>
      </c>
      <c r="C405" s="47" t="s">
        <v>57</v>
      </c>
      <c r="D405" s="47" t="s">
        <v>21</v>
      </c>
      <c r="E405" s="47" t="s">
        <v>22</v>
      </c>
      <c r="F405" s="47" t="s">
        <v>16</v>
      </c>
      <c r="G405" s="47" t="s">
        <v>583</v>
      </c>
      <c r="H405" s="47" t="s">
        <v>61</v>
      </c>
      <c r="I405" s="47" t="s">
        <v>334</v>
      </c>
      <c r="J405" s="47" t="s">
        <v>115</v>
      </c>
      <c r="K405" s="327"/>
      <c r="L405" s="327"/>
      <c r="M405" s="47" t="s">
        <v>1345</v>
      </c>
    </row>
    <row r="406">
      <c r="A406" s="328">
        <v>44657.0</v>
      </c>
      <c r="B406" s="47" t="s">
        <v>43</v>
      </c>
      <c r="C406" s="47" t="s">
        <v>83</v>
      </c>
      <c r="D406" s="47" t="s">
        <v>27</v>
      </c>
      <c r="E406" s="47" t="s">
        <v>64</v>
      </c>
      <c r="F406" s="47" t="s">
        <v>16</v>
      </c>
      <c r="G406" s="47" t="s">
        <v>584</v>
      </c>
      <c r="H406" s="47" t="s">
        <v>61</v>
      </c>
      <c r="I406" s="47" t="s">
        <v>66</v>
      </c>
      <c r="J406" s="47" t="s">
        <v>127</v>
      </c>
      <c r="K406" s="327"/>
      <c r="L406" s="47" t="s">
        <v>71</v>
      </c>
      <c r="M406" s="47" t="s">
        <v>1345</v>
      </c>
    </row>
    <row r="407">
      <c r="A407" s="328">
        <v>44664.0</v>
      </c>
      <c r="B407" s="47" t="s">
        <v>25</v>
      </c>
      <c r="C407" s="47" t="s">
        <v>26</v>
      </c>
      <c r="D407" s="47" t="s">
        <v>27</v>
      </c>
      <c r="E407" s="47" t="s">
        <v>64</v>
      </c>
      <c r="F407" s="47" t="s">
        <v>16</v>
      </c>
      <c r="G407" s="47" t="s">
        <v>585</v>
      </c>
      <c r="H407" s="47" t="s">
        <v>61</v>
      </c>
      <c r="I407" s="47" t="s">
        <v>66</v>
      </c>
      <c r="J407" s="327"/>
      <c r="K407" s="47" t="s">
        <v>1349</v>
      </c>
      <c r="L407" s="47" t="s">
        <v>71</v>
      </c>
      <c r="M407" s="47" t="s">
        <v>1345</v>
      </c>
    </row>
    <row r="408">
      <c r="A408" s="328">
        <v>44610.0</v>
      </c>
      <c r="B408" s="47" t="s">
        <v>43</v>
      </c>
      <c r="C408" s="47" t="s">
        <v>76</v>
      </c>
      <c r="D408" s="47" t="s">
        <v>44</v>
      </c>
      <c r="E408" s="47" t="s">
        <v>22</v>
      </c>
      <c r="F408" s="47" t="s">
        <v>16</v>
      </c>
      <c r="G408" s="47" t="s">
        <v>587</v>
      </c>
      <c r="H408" s="47" t="s">
        <v>97</v>
      </c>
      <c r="I408" s="47" t="s">
        <v>346</v>
      </c>
      <c r="J408" s="327"/>
      <c r="K408" s="327"/>
      <c r="L408" s="47" t="s">
        <v>144</v>
      </c>
      <c r="M408" s="47" t="s">
        <v>1345</v>
      </c>
    </row>
    <row r="409">
      <c r="A409" s="328">
        <v>44603.0</v>
      </c>
      <c r="B409" s="47" t="s">
        <v>56</v>
      </c>
      <c r="C409" s="47" t="s">
        <v>33</v>
      </c>
      <c r="D409" s="47" t="s">
        <v>44</v>
      </c>
      <c r="E409" s="47" t="s">
        <v>22</v>
      </c>
      <c r="F409" s="47" t="s">
        <v>16</v>
      </c>
      <c r="G409" s="47" t="s">
        <v>588</v>
      </c>
      <c r="H409" s="47" t="s">
        <v>61</v>
      </c>
      <c r="I409" s="47" t="s">
        <v>463</v>
      </c>
      <c r="J409" s="327"/>
      <c r="K409" s="327"/>
      <c r="L409" s="47" t="s">
        <v>63</v>
      </c>
      <c r="M409" s="47" t="s">
        <v>1345</v>
      </c>
    </row>
    <row r="410">
      <c r="A410" s="328">
        <v>44571.0</v>
      </c>
      <c r="B410" s="47" t="s">
        <v>56</v>
      </c>
      <c r="C410" s="47" t="s">
        <v>20</v>
      </c>
      <c r="D410" s="47" t="s">
        <v>44</v>
      </c>
      <c r="E410" s="47" t="s">
        <v>22</v>
      </c>
      <c r="F410" s="47" t="s">
        <v>16</v>
      </c>
      <c r="G410" s="47" t="s">
        <v>589</v>
      </c>
      <c r="H410" s="47" t="s">
        <v>97</v>
      </c>
      <c r="I410" s="47" t="s">
        <v>67</v>
      </c>
      <c r="J410" s="327"/>
      <c r="K410" s="327"/>
      <c r="L410" s="47" t="s">
        <v>144</v>
      </c>
      <c r="M410" s="47" t="s">
        <v>1345</v>
      </c>
    </row>
    <row r="411">
      <c r="A411" s="328">
        <v>44581.0</v>
      </c>
      <c r="B411" s="47" t="s">
        <v>56</v>
      </c>
      <c r="C411" s="47" t="s">
        <v>36</v>
      </c>
      <c r="D411" s="47" t="s">
        <v>21</v>
      </c>
      <c r="E411" s="47" t="s">
        <v>22</v>
      </c>
      <c r="F411" s="47" t="s">
        <v>16</v>
      </c>
      <c r="G411" s="47" t="s">
        <v>590</v>
      </c>
      <c r="H411" s="47" t="s">
        <v>61</v>
      </c>
      <c r="I411" s="47" t="s">
        <v>66</v>
      </c>
      <c r="J411" s="327"/>
      <c r="K411" s="327"/>
      <c r="L411" s="47" t="s">
        <v>63</v>
      </c>
      <c r="M411" s="47" t="s">
        <v>1345</v>
      </c>
    </row>
    <row r="412">
      <c r="A412" s="328">
        <v>44575.0</v>
      </c>
      <c r="B412" s="47" t="s">
        <v>56</v>
      </c>
      <c r="C412" s="47" t="s">
        <v>72</v>
      </c>
      <c r="D412" s="47" t="s">
        <v>27</v>
      </c>
      <c r="E412" s="47" t="s">
        <v>22</v>
      </c>
      <c r="F412" s="47" t="s">
        <v>16</v>
      </c>
      <c r="G412" s="47" t="s">
        <v>592</v>
      </c>
      <c r="H412" s="327"/>
      <c r="I412" s="47" t="s">
        <v>127</v>
      </c>
      <c r="J412" s="327"/>
      <c r="K412" s="327"/>
      <c r="L412" s="47" t="s">
        <v>68</v>
      </c>
      <c r="M412" s="47" t="s">
        <v>1345</v>
      </c>
    </row>
    <row r="413">
      <c r="A413" s="328">
        <v>44569.0</v>
      </c>
      <c r="B413" s="47" t="s">
        <v>56</v>
      </c>
      <c r="C413" s="47" t="s">
        <v>20</v>
      </c>
      <c r="D413" s="47" t="s">
        <v>27</v>
      </c>
      <c r="E413" s="47" t="s">
        <v>22</v>
      </c>
      <c r="F413" s="47" t="s">
        <v>16</v>
      </c>
      <c r="G413" s="47" t="s">
        <v>593</v>
      </c>
      <c r="H413" s="47" t="s">
        <v>61</v>
      </c>
      <c r="I413" s="47" t="s">
        <v>463</v>
      </c>
      <c r="J413" s="47" t="s">
        <v>66</v>
      </c>
      <c r="K413" s="327"/>
      <c r="L413" s="47" t="s">
        <v>63</v>
      </c>
      <c r="M413" s="47" t="s">
        <v>1345</v>
      </c>
    </row>
    <row r="414">
      <c r="A414" s="328">
        <v>44547.0</v>
      </c>
      <c r="B414" s="47" t="s">
        <v>75</v>
      </c>
      <c r="C414" s="47" t="s">
        <v>13</v>
      </c>
      <c r="D414" s="47" t="s">
        <v>27</v>
      </c>
      <c r="E414" s="47" t="s">
        <v>22</v>
      </c>
      <c r="F414" s="47" t="s">
        <v>16</v>
      </c>
      <c r="G414" s="47" t="s">
        <v>594</v>
      </c>
      <c r="H414" s="327"/>
      <c r="I414" s="47" t="s">
        <v>79</v>
      </c>
      <c r="J414" s="47" t="s">
        <v>66</v>
      </c>
      <c r="K414" s="327"/>
      <c r="L414" s="327"/>
      <c r="M414" s="47" t="s">
        <v>1345</v>
      </c>
    </row>
    <row r="415">
      <c r="A415" s="328">
        <v>44543.0</v>
      </c>
      <c r="B415" s="47" t="s">
        <v>75</v>
      </c>
      <c r="C415" s="47" t="s">
        <v>36</v>
      </c>
      <c r="D415" s="47" t="s">
        <v>77</v>
      </c>
      <c r="E415" s="47" t="s">
        <v>22</v>
      </c>
      <c r="F415" s="47" t="s">
        <v>16</v>
      </c>
      <c r="G415" s="47" t="s">
        <v>595</v>
      </c>
      <c r="H415" s="47" t="s">
        <v>61</v>
      </c>
      <c r="I415" s="327"/>
      <c r="J415" s="327"/>
      <c r="K415" s="47" t="s">
        <v>596</v>
      </c>
      <c r="L415" s="47" t="s">
        <v>63</v>
      </c>
      <c r="M415" s="47" t="s">
        <v>1345</v>
      </c>
    </row>
    <row r="416">
      <c r="A416" s="328">
        <v>44462.0</v>
      </c>
      <c r="B416" s="47" t="s">
        <v>75</v>
      </c>
      <c r="C416" s="47" t="s">
        <v>30</v>
      </c>
      <c r="D416" s="47" t="s">
        <v>81</v>
      </c>
      <c r="E416" s="47" t="s">
        <v>22</v>
      </c>
      <c r="F416" s="47" t="s">
        <v>16</v>
      </c>
      <c r="G416" s="47" t="s">
        <v>597</v>
      </c>
      <c r="H416" s="47" t="s">
        <v>97</v>
      </c>
      <c r="I416" s="47" t="s">
        <v>127</v>
      </c>
      <c r="J416" s="47" t="s">
        <v>346</v>
      </c>
      <c r="K416" s="327"/>
      <c r="L416" s="327"/>
      <c r="M416" s="47" t="s">
        <v>1345</v>
      </c>
    </row>
    <row r="417">
      <c r="A417" s="328">
        <v>44462.0</v>
      </c>
      <c r="B417" s="47" t="s">
        <v>75</v>
      </c>
      <c r="C417" s="47" t="s">
        <v>49</v>
      </c>
      <c r="D417" s="47" t="s">
        <v>386</v>
      </c>
      <c r="E417" s="47" t="s">
        <v>64</v>
      </c>
      <c r="F417" s="47" t="s">
        <v>16</v>
      </c>
      <c r="G417" s="47" t="s">
        <v>598</v>
      </c>
      <c r="H417" s="327"/>
      <c r="I417" s="47" t="s">
        <v>66</v>
      </c>
      <c r="J417" s="47" t="s">
        <v>115</v>
      </c>
      <c r="K417" s="327"/>
      <c r="L417" s="47" t="s">
        <v>68</v>
      </c>
      <c r="M417" s="47" t="s">
        <v>1345</v>
      </c>
    </row>
    <row r="418">
      <c r="A418" s="328">
        <v>44756.0</v>
      </c>
      <c r="B418" s="47" t="s">
        <v>172</v>
      </c>
      <c r="C418" s="47" t="s">
        <v>26</v>
      </c>
      <c r="D418" s="47" t="s">
        <v>95</v>
      </c>
      <c r="E418" s="47" t="s">
        <v>64</v>
      </c>
      <c r="F418" s="47" t="s">
        <v>16</v>
      </c>
      <c r="G418" s="47" t="s">
        <v>599</v>
      </c>
      <c r="H418" s="327"/>
      <c r="I418" s="47" t="s">
        <v>66</v>
      </c>
      <c r="J418" s="327"/>
      <c r="K418" s="47" t="s">
        <v>600</v>
      </c>
      <c r="L418" s="47" t="s">
        <v>68</v>
      </c>
      <c r="M418" s="47" t="s">
        <v>1350</v>
      </c>
    </row>
    <row r="419">
      <c r="A419" s="328">
        <v>44657.0</v>
      </c>
      <c r="B419" s="47" t="s">
        <v>25</v>
      </c>
      <c r="C419" s="47" t="s">
        <v>20</v>
      </c>
      <c r="D419" s="47" t="s">
        <v>89</v>
      </c>
      <c r="E419" s="47" t="s">
        <v>64</v>
      </c>
      <c r="F419" s="47" t="s">
        <v>16</v>
      </c>
      <c r="G419" s="47" t="s">
        <v>601</v>
      </c>
      <c r="H419" s="47" t="s">
        <v>61</v>
      </c>
      <c r="I419" s="47" t="s">
        <v>70</v>
      </c>
      <c r="J419" s="327"/>
      <c r="K419" s="327"/>
      <c r="L419" s="327"/>
      <c r="M419" s="47" t="s">
        <v>1350</v>
      </c>
    </row>
    <row r="420">
      <c r="A420" s="328">
        <v>44629.0</v>
      </c>
      <c r="B420" s="47" t="s">
        <v>19</v>
      </c>
      <c r="C420" s="47" t="s">
        <v>30</v>
      </c>
      <c r="D420" s="47" t="s">
        <v>14</v>
      </c>
      <c r="E420" s="47" t="s">
        <v>22</v>
      </c>
      <c r="F420" s="47" t="s">
        <v>16</v>
      </c>
      <c r="G420" s="47" t="s">
        <v>602</v>
      </c>
      <c r="H420" s="327"/>
      <c r="I420" s="47" t="s">
        <v>127</v>
      </c>
      <c r="J420" s="327"/>
      <c r="K420" s="327"/>
      <c r="L420" s="327"/>
      <c r="M420" s="47" t="s">
        <v>1350</v>
      </c>
    </row>
    <row r="421">
      <c r="A421" s="328">
        <v>44560.0</v>
      </c>
      <c r="B421" s="47" t="s">
        <v>19</v>
      </c>
      <c r="C421" s="47" t="s">
        <v>57</v>
      </c>
      <c r="D421" s="47" t="s">
        <v>21</v>
      </c>
      <c r="E421" s="47" t="s">
        <v>22</v>
      </c>
      <c r="F421" s="47" t="s">
        <v>16</v>
      </c>
      <c r="G421" s="47" t="s">
        <v>603</v>
      </c>
      <c r="H421" s="327"/>
      <c r="I421" s="47" t="s">
        <v>334</v>
      </c>
      <c r="J421" s="47" t="s">
        <v>115</v>
      </c>
      <c r="K421" s="327"/>
      <c r="L421" s="327"/>
      <c r="M421" s="47" t="s">
        <v>1350</v>
      </c>
    </row>
    <row r="422">
      <c r="A422" s="328">
        <v>44540.0</v>
      </c>
      <c r="B422" s="47" t="s">
        <v>19</v>
      </c>
      <c r="C422" s="47" t="s">
        <v>57</v>
      </c>
      <c r="D422" s="47" t="s">
        <v>21</v>
      </c>
      <c r="E422" s="47" t="s">
        <v>22</v>
      </c>
      <c r="F422" s="47" t="s">
        <v>16</v>
      </c>
      <c r="G422" s="47" t="s">
        <v>604</v>
      </c>
      <c r="H422" s="327"/>
      <c r="I422" s="47" t="s">
        <v>334</v>
      </c>
      <c r="J422" s="47" t="s">
        <v>115</v>
      </c>
      <c r="K422" s="327"/>
      <c r="L422" s="327"/>
      <c r="M422" s="47" t="s">
        <v>1350</v>
      </c>
    </row>
    <row r="423">
      <c r="A423" s="328">
        <v>44550.0</v>
      </c>
      <c r="B423" s="47" t="s">
        <v>43</v>
      </c>
      <c r="C423" s="47" t="s">
        <v>36</v>
      </c>
      <c r="D423" s="47" t="s">
        <v>14</v>
      </c>
      <c r="E423" s="47" t="s">
        <v>22</v>
      </c>
      <c r="F423" s="47" t="s">
        <v>16</v>
      </c>
      <c r="G423" s="47" t="s">
        <v>605</v>
      </c>
      <c r="H423" s="47" t="s">
        <v>606</v>
      </c>
      <c r="I423" s="47" t="s">
        <v>70</v>
      </c>
      <c r="J423" s="47" t="s">
        <v>66</v>
      </c>
      <c r="K423" s="327"/>
      <c r="L423" s="327"/>
      <c r="M423" s="47" t="s">
        <v>1350</v>
      </c>
    </row>
    <row r="424">
      <c r="A424" s="328">
        <v>44547.0</v>
      </c>
      <c r="B424" s="47" t="s">
        <v>43</v>
      </c>
      <c r="C424" s="47" t="s">
        <v>36</v>
      </c>
      <c r="D424" s="47" t="s">
        <v>14</v>
      </c>
      <c r="E424" s="47" t="s">
        <v>22</v>
      </c>
      <c r="F424" s="47" t="s">
        <v>16</v>
      </c>
      <c r="G424" s="47" t="s">
        <v>607</v>
      </c>
      <c r="H424" s="47" t="s">
        <v>61</v>
      </c>
      <c r="I424" s="47" t="s">
        <v>66</v>
      </c>
      <c r="J424" s="327"/>
      <c r="K424" s="327"/>
      <c r="L424" s="327"/>
      <c r="M424" s="47" t="s">
        <v>1350</v>
      </c>
    </row>
    <row r="425">
      <c r="A425" s="328">
        <v>44540.0</v>
      </c>
      <c r="B425" s="47" t="s">
        <v>43</v>
      </c>
      <c r="C425" s="47" t="s">
        <v>57</v>
      </c>
      <c r="D425" s="47" t="s">
        <v>21</v>
      </c>
      <c r="E425" s="47" t="s">
        <v>22</v>
      </c>
      <c r="F425" s="47" t="s">
        <v>16</v>
      </c>
      <c r="G425" s="47" t="s">
        <v>608</v>
      </c>
      <c r="H425" s="327"/>
      <c r="I425" s="47" t="s">
        <v>334</v>
      </c>
      <c r="J425" s="47" t="s">
        <v>115</v>
      </c>
      <c r="K425" s="327"/>
      <c r="L425" s="327"/>
      <c r="M425" s="47" t="s">
        <v>1350</v>
      </c>
    </row>
    <row r="426">
      <c r="A426" s="328">
        <v>44536.0</v>
      </c>
      <c r="B426" s="47" t="s">
        <v>43</v>
      </c>
      <c r="C426" s="47" t="s">
        <v>20</v>
      </c>
      <c r="D426" s="47" t="s">
        <v>21</v>
      </c>
      <c r="E426" s="47" t="s">
        <v>22</v>
      </c>
      <c r="F426" s="47" t="s">
        <v>16</v>
      </c>
      <c r="G426" s="47" t="s">
        <v>609</v>
      </c>
      <c r="H426" s="47" t="s">
        <v>97</v>
      </c>
      <c r="I426" s="47" t="s">
        <v>67</v>
      </c>
      <c r="J426" s="47" t="s">
        <v>70</v>
      </c>
      <c r="K426" s="327"/>
      <c r="L426" s="327"/>
      <c r="M426" s="47" t="s">
        <v>1350</v>
      </c>
    </row>
    <row r="427">
      <c r="A427" s="328">
        <v>44523.0</v>
      </c>
      <c r="B427" s="47" t="s">
        <v>43</v>
      </c>
      <c r="C427" s="47" t="s">
        <v>57</v>
      </c>
      <c r="D427" s="47" t="s">
        <v>21</v>
      </c>
      <c r="E427" s="47" t="s">
        <v>22</v>
      </c>
      <c r="F427" s="47" t="s">
        <v>16</v>
      </c>
      <c r="G427" s="47" t="s">
        <v>610</v>
      </c>
      <c r="H427" s="47" t="s">
        <v>61</v>
      </c>
      <c r="I427" s="47" t="s">
        <v>334</v>
      </c>
      <c r="J427" s="47" t="s">
        <v>115</v>
      </c>
      <c r="K427" s="327"/>
      <c r="L427" s="327"/>
      <c r="M427" s="47" t="s">
        <v>1350</v>
      </c>
    </row>
    <row r="428">
      <c r="A428" s="328">
        <v>44504.0</v>
      </c>
      <c r="B428" s="47" t="s">
        <v>43</v>
      </c>
      <c r="C428" s="47" t="s">
        <v>49</v>
      </c>
      <c r="D428" s="47" t="s">
        <v>95</v>
      </c>
      <c r="E428" s="47" t="s">
        <v>22</v>
      </c>
      <c r="F428" s="47" t="s">
        <v>16</v>
      </c>
      <c r="G428" s="47" t="s">
        <v>611</v>
      </c>
      <c r="H428" s="47" t="s">
        <v>112</v>
      </c>
      <c r="I428" s="47" t="s">
        <v>115</v>
      </c>
      <c r="J428" s="47" t="s">
        <v>70</v>
      </c>
      <c r="K428" s="327"/>
      <c r="L428" s="327"/>
      <c r="M428" s="47" t="s">
        <v>1350</v>
      </c>
    </row>
    <row r="429">
      <c r="A429" s="328">
        <v>44504.0</v>
      </c>
      <c r="B429" s="47" t="s">
        <v>43</v>
      </c>
      <c r="C429" s="47" t="s">
        <v>72</v>
      </c>
      <c r="D429" s="47" t="s">
        <v>95</v>
      </c>
      <c r="E429" s="47" t="s">
        <v>15</v>
      </c>
      <c r="F429" s="47" t="s">
        <v>16</v>
      </c>
      <c r="G429" s="47" t="s">
        <v>612</v>
      </c>
      <c r="H429" s="47" t="s">
        <v>97</v>
      </c>
      <c r="I429" s="47" t="s">
        <v>74</v>
      </c>
      <c r="J429" s="47" t="s">
        <v>70</v>
      </c>
      <c r="K429" s="327"/>
      <c r="L429" s="327"/>
      <c r="M429" s="47" t="s">
        <v>1350</v>
      </c>
    </row>
    <row r="430">
      <c r="A430" s="328">
        <v>44483.0</v>
      </c>
      <c r="B430" s="47" t="s">
        <v>56</v>
      </c>
      <c r="C430" s="47" t="s">
        <v>20</v>
      </c>
      <c r="D430" s="47" t="s">
        <v>95</v>
      </c>
      <c r="E430" s="47" t="s">
        <v>22</v>
      </c>
      <c r="F430" s="47" t="s">
        <v>16</v>
      </c>
      <c r="G430" s="47" t="s">
        <v>613</v>
      </c>
      <c r="H430" s="47" t="s">
        <v>97</v>
      </c>
      <c r="I430" s="47" t="s">
        <v>67</v>
      </c>
      <c r="J430" s="47" t="s">
        <v>70</v>
      </c>
      <c r="K430" s="327"/>
      <c r="L430" s="327"/>
      <c r="M430" s="47" t="s">
        <v>1350</v>
      </c>
    </row>
    <row r="431">
      <c r="A431" s="328">
        <v>44516.0</v>
      </c>
      <c r="B431" s="47" t="s">
        <v>43</v>
      </c>
      <c r="C431" s="47" t="s">
        <v>36</v>
      </c>
      <c r="D431" s="47" t="s">
        <v>21</v>
      </c>
      <c r="E431" s="47" t="s">
        <v>22</v>
      </c>
      <c r="F431" s="47" t="s">
        <v>16</v>
      </c>
      <c r="G431" s="47" t="s">
        <v>614</v>
      </c>
      <c r="H431" s="47" t="s">
        <v>61</v>
      </c>
      <c r="I431" s="47" t="s">
        <v>66</v>
      </c>
      <c r="J431" s="327"/>
      <c r="K431" s="327"/>
      <c r="L431" s="327"/>
      <c r="M431" s="47" t="s">
        <v>1350</v>
      </c>
    </row>
    <row r="432">
      <c r="A432" s="328">
        <v>44515.0</v>
      </c>
      <c r="B432" s="47" t="s">
        <v>43</v>
      </c>
      <c r="C432" s="47" t="s">
        <v>36</v>
      </c>
      <c r="D432" s="47" t="s">
        <v>44</v>
      </c>
      <c r="E432" s="47" t="s">
        <v>64</v>
      </c>
      <c r="F432" s="47" t="s">
        <v>16</v>
      </c>
      <c r="G432" s="47" t="s">
        <v>615</v>
      </c>
      <c r="H432" s="47" t="s">
        <v>61</v>
      </c>
      <c r="I432" s="47" t="s">
        <v>66</v>
      </c>
      <c r="J432" s="327"/>
      <c r="K432" s="327"/>
      <c r="L432" s="327"/>
      <c r="M432" s="47" t="s">
        <v>1350</v>
      </c>
    </row>
    <row r="433">
      <c r="A433" s="328">
        <v>44509.0</v>
      </c>
      <c r="B433" s="47" t="s">
        <v>43</v>
      </c>
      <c r="C433" s="47" t="s">
        <v>49</v>
      </c>
      <c r="D433" s="47" t="s">
        <v>95</v>
      </c>
      <c r="E433" s="47" t="s">
        <v>22</v>
      </c>
      <c r="F433" s="47" t="s">
        <v>16</v>
      </c>
      <c r="G433" s="47" t="s">
        <v>616</v>
      </c>
      <c r="H433" s="327"/>
      <c r="I433" s="47" t="s">
        <v>115</v>
      </c>
      <c r="J433" s="47" t="s">
        <v>70</v>
      </c>
      <c r="K433" s="327"/>
      <c r="L433" s="327"/>
      <c r="M433" s="47" t="s">
        <v>1350</v>
      </c>
    </row>
    <row r="434">
      <c r="A434" s="328">
        <v>44509.0</v>
      </c>
      <c r="B434" s="47" t="s">
        <v>43</v>
      </c>
      <c r="C434" s="47" t="s">
        <v>36</v>
      </c>
      <c r="D434" s="47" t="s">
        <v>44</v>
      </c>
      <c r="E434" s="47" t="s">
        <v>22</v>
      </c>
      <c r="F434" s="47" t="s">
        <v>16</v>
      </c>
      <c r="G434" s="47" t="s">
        <v>617</v>
      </c>
      <c r="H434" s="47" t="s">
        <v>61</v>
      </c>
      <c r="I434" s="47" t="s">
        <v>66</v>
      </c>
      <c r="J434" s="327"/>
      <c r="K434" s="327"/>
      <c r="L434" s="327"/>
      <c r="M434" s="47" t="s">
        <v>1350</v>
      </c>
    </row>
    <row r="435">
      <c r="A435" s="328">
        <v>44491.0</v>
      </c>
      <c r="B435" s="47" t="s">
        <v>56</v>
      </c>
      <c r="C435" s="47" t="s">
        <v>36</v>
      </c>
      <c r="D435" s="47" t="s">
        <v>95</v>
      </c>
      <c r="E435" s="47" t="s">
        <v>22</v>
      </c>
      <c r="F435" s="47" t="s">
        <v>16</v>
      </c>
      <c r="G435" s="47" t="s">
        <v>618</v>
      </c>
      <c r="H435" s="47" t="s">
        <v>61</v>
      </c>
      <c r="I435" s="47" t="s">
        <v>66</v>
      </c>
      <c r="J435" s="327"/>
      <c r="K435" s="327"/>
      <c r="L435" s="327"/>
      <c r="M435" s="47" t="s">
        <v>1350</v>
      </c>
    </row>
    <row r="436">
      <c r="A436" s="328">
        <v>44462.0</v>
      </c>
      <c r="B436" s="47" t="s">
        <v>56</v>
      </c>
      <c r="C436" s="47" t="s">
        <v>20</v>
      </c>
      <c r="D436" s="47" t="s">
        <v>44</v>
      </c>
      <c r="E436" s="47" t="s">
        <v>64</v>
      </c>
      <c r="F436" s="47" t="s">
        <v>16</v>
      </c>
      <c r="G436" s="47" t="s">
        <v>619</v>
      </c>
      <c r="H436" s="327"/>
      <c r="I436" s="47" t="s">
        <v>67</v>
      </c>
      <c r="J436" s="47" t="s">
        <v>66</v>
      </c>
      <c r="K436" s="327"/>
      <c r="L436" s="327"/>
      <c r="M436" s="47" t="s">
        <v>1350</v>
      </c>
    </row>
    <row r="437">
      <c r="A437" s="328">
        <v>44491.0</v>
      </c>
      <c r="B437" s="47" t="s">
        <v>56</v>
      </c>
      <c r="C437" s="47" t="s">
        <v>36</v>
      </c>
      <c r="D437" s="47" t="s">
        <v>95</v>
      </c>
      <c r="E437" s="47" t="s">
        <v>64</v>
      </c>
      <c r="F437" s="47" t="s">
        <v>16</v>
      </c>
      <c r="G437" s="47" t="s">
        <v>620</v>
      </c>
      <c r="H437" s="327"/>
      <c r="I437" s="47" t="s">
        <v>66</v>
      </c>
      <c r="J437" s="327"/>
      <c r="K437" s="327"/>
      <c r="L437" s="47" t="s">
        <v>68</v>
      </c>
      <c r="M437" s="47" t="s">
        <v>1350</v>
      </c>
    </row>
    <row r="438">
      <c r="A438" s="328">
        <v>44478.0</v>
      </c>
      <c r="B438" s="47" t="s">
        <v>56</v>
      </c>
      <c r="C438" s="47" t="s">
        <v>30</v>
      </c>
      <c r="D438" s="47" t="s">
        <v>95</v>
      </c>
      <c r="E438" s="47" t="s">
        <v>22</v>
      </c>
      <c r="F438" s="47" t="s">
        <v>16</v>
      </c>
      <c r="G438" s="47" t="s">
        <v>621</v>
      </c>
      <c r="H438" s="47" t="s">
        <v>61</v>
      </c>
      <c r="I438" s="47" t="s">
        <v>127</v>
      </c>
      <c r="J438" s="327"/>
      <c r="K438" s="327"/>
      <c r="L438" s="47" t="s">
        <v>144</v>
      </c>
      <c r="M438" s="47" t="s">
        <v>1350</v>
      </c>
    </row>
    <row r="439">
      <c r="A439" s="328">
        <v>44478.0</v>
      </c>
      <c r="B439" s="47" t="s">
        <v>56</v>
      </c>
      <c r="C439" s="47" t="s">
        <v>76</v>
      </c>
      <c r="D439" s="47" t="s">
        <v>58</v>
      </c>
      <c r="E439" s="47" t="s">
        <v>22</v>
      </c>
      <c r="F439" s="47" t="s">
        <v>16</v>
      </c>
      <c r="G439" s="47" t="s">
        <v>622</v>
      </c>
      <c r="H439" s="327"/>
      <c r="I439" s="47" t="s">
        <v>79</v>
      </c>
      <c r="J439" s="327"/>
      <c r="K439" s="327"/>
      <c r="L439" s="47" t="s">
        <v>71</v>
      </c>
      <c r="M439" s="47" t="s">
        <v>1350</v>
      </c>
    </row>
    <row r="440">
      <c r="A440" s="328">
        <v>44483.0</v>
      </c>
      <c r="B440" s="47" t="s">
        <v>56</v>
      </c>
      <c r="C440" s="47" t="s">
        <v>83</v>
      </c>
      <c r="D440" s="47" t="s">
        <v>44</v>
      </c>
      <c r="E440" s="47" t="s">
        <v>64</v>
      </c>
      <c r="F440" s="47" t="s">
        <v>16</v>
      </c>
      <c r="G440" s="47" t="s">
        <v>623</v>
      </c>
      <c r="H440" s="327"/>
      <c r="I440" s="47" t="s">
        <v>66</v>
      </c>
      <c r="J440" s="327"/>
      <c r="K440" s="327"/>
      <c r="L440" s="47" t="s">
        <v>68</v>
      </c>
      <c r="M440" s="47" t="s">
        <v>1350</v>
      </c>
    </row>
    <row r="441">
      <c r="A441" s="328">
        <v>44478.0</v>
      </c>
      <c r="B441" s="47" t="s">
        <v>56</v>
      </c>
      <c r="C441" s="47" t="s">
        <v>36</v>
      </c>
      <c r="D441" s="47" t="s">
        <v>81</v>
      </c>
      <c r="E441" s="47" t="s">
        <v>64</v>
      </c>
      <c r="F441" s="47" t="s">
        <v>16</v>
      </c>
      <c r="G441" s="47" t="s">
        <v>624</v>
      </c>
      <c r="H441" s="327"/>
      <c r="I441" s="47" t="s">
        <v>66</v>
      </c>
      <c r="J441" s="327"/>
      <c r="K441" s="327"/>
      <c r="L441" s="47" t="s">
        <v>63</v>
      </c>
      <c r="M441" s="47" t="s">
        <v>1350</v>
      </c>
    </row>
    <row r="442">
      <c r="A442" s="328">
        <v>44480.0</v>
      </c>
      <c r="B442" s="47" t="s">
        <v>56</v>
      </c>
      <c r="C442" s="47" t="s">
        <v>26</v>
      </c>
      <c r="D442" s="47" t="s">
        <v>27</v>
      </c>
      <c r="E442" s="47" t="s">
        <v>22</v>
      </c>
      <c r="F442" s="47" t="s">
        <v>16</v>
      </c>
      <c r="G442" s="47" t="s">
        <v>625</v>
      </c>
      <c r="H442" s="327"/>
      <c r="I442" s="47" t="s">
        <v>66</v>
      </c>
      <c r="J442" s="327"/>
      <c r="K442" s="327"/>
      <c r="L442" s="327"/>
      <c r="M442" s="47" t="s">
        <v>1350</v>
      </c>
    </row>
    <row r="443">
      <c r="A443" s="328">
        <v>44453.0</v>
      </c>
      <c r="B443" s="47" t="s">
        <v>75</v>
      </c>
      <c r="C443" s="47" t="s">
        <v>20</v>
      </c>
      <c r="D443" s="47" t="s">
        <v>77</v>
      </c>
      <c r="E443" s="47" t="s">
        <v>64</v>
      </c>
      <c r="F443" s="47" t="s">
        <v>16</v>
      </c>
      <c r="G443" s="47" t="s">
        <v>626</v>
      </c>
      <c r="H443" s="327"/>
      <c r="I443" s="47" t="s">
        <v>70</v>
      </c>
      <c r="J443" s="327"/>
      <c r="K443" s="327"/>
      <c r="L443" s="327"/>
      <c r="M443" s="47" t="s">
        <v>1350</v>
      </c>
    </row>
    <row r="444">
      <c r="A444" s="328">
        <v>44453.0</v>
      </c>
      <c r="B444" s="47" t="s">
        <v>75</v>
      </c>
      <c r="C444" s="47" t="s">
        <v>83</v>
      </c>
      <c r="D444" s="47" t="s">
        <v>77</v>
      </c>
      <c r="E444" s="47" t="s">
        <v>22</v>
      </c>
      <c r="F444" s="47" t="s">
        <v>16</v>
      </c>
      <c r="G444" s="47" t="s">
        <v>627</v>
      </c>
      <c r="H444" s="47" t="s">
        <v>61</v>
      </c>
      <c r="I444" s="47" t="s">
        <v>334</v>
      </c>
      <c r="J444" s="47" t="s">
        <v>66</v>
      </c>
      <c r="K444" s="327"/>
      <c r="L444" s="327"/>
      <c r="M444" s="47" t="s">
        <v>1350</v>
      </c>
    </row>
    <row r="445">
      <c r="A445" s="328">
        <v>44452.0</v>
      </c>
      <c r="B445" s="47" t="s">
        <v>75</v>
      </c>
      <c r="C445" s="47" t="s">
        <v>36</v>
      </c>
      <c r="D445" s="47" t="s">
        <v>77</v>
      </c>
      <c r="E445" s="47" t="s">
        <v>22</v>
      </c>
      <c r="F445" s="47" t="s">
        <v>16</v>
      </c>
      <c r="G445" s="47" t="s">
        <v>628</v>
      </c>
      <c r="H445" s="47" t="s">
        <v>61</v>
      </c>
      <c r="I445" s="47" t="s">
        <v>67</v>
      </c>
      <c r="J445" s="47" t="s">
        <v>66</v>
      </c>
      <c r="K445" s="327"/>
      <c r="L445" s="47" t="s">
        <v>144</v>
      </c>
      <c r="M445" s="47" t="s">
        <v>1350</v>
      </c>
    </row>
    <row r="446">
      <c r="A446" s="328">
        <v>44442.0</v>
      </c>
      <c r="B446" s="47" t="s">
        <v>75</v>
      </c>
      <c r="C446" s="47" t="s">
        <v>26</v>
      </c>
      <c r="D446" s="47" t="s">
        <v>44</v>
      </c>
      <c r="E446" s="47" t="s">
        <v>22</v>
      </c>
      <c r="F446" s="47" t="s">
        <v>16</v>
      </c>
      <c r="G446" s="47" t="s">
        <v>629</v>
      </c>
      <c r="H446" s="327"/>
      <c r="I446" s="47" t="s">
        <v>66</v>
      </c>
      <c r="J446" s="327"/>
      <c r="K446" s="327"/>
      <c r="L446" s="47" t="s">
        <v>144</v>
      </c>
      <c r="M446" s="47" t="s">
        <v>1350</v>
      </c>
    </row>
    <row r="447">
      <c r="A447" s="328">
        <v>44481.0</v>
      </c>
      <c r="B447" s="47" t="s">
        <v>25</v>
      </c>
      <c r="C447" s="47" t="s">
        <v>20</v>
      </c>
      <c r="D447" s="47" t="s">
        <v>14</v>
      </c>
      <c r="E447" s="47" t="s">
        <v>64</v>
      </c>
      <c r="F447" s="47" t="s">
        <v>16</v>
      </c>
      <c r="G447" s="47" t="s">
        <v>630</v>
      </c>
      <c r="H447" s="327"/>
      <c r="I447" s="47" t="s">
        <v>66</v>
      </c>
      <c r="J447" s="327"/>
      <c r="K447" s="327"/>
      <c r="L447" s="47" t="s">
        <v>68</v>
      </c>
      <c r="M447" s="47" t="s">
        <v>1351</v>
      </c>
    </row>
    <row r="448">
      <c r="A448" s="328">
        <v>44468.0</v>
      </c>
      <c r="B448" s="47" t="s">
        <v>25</v>
      </c>
      <c r="C448" s="47" t="s">
        <v>13</v>
      </c>
      <c r="D448" s="47" t="s">
        <v>14</v>
      </c>
      <c r="E448" s="47" t="s">
        <v>64</v>
      </c>
      <c r="F448" s="47" t="s">
        <v>16</v>
      </c>
      <c r="G448" s="47" t="s">
        <v>1352</v>
      </c>
      <c r="H448" s="47" t="s">
        <v>112</v>
      </c>
      <c r="I448" s="47" t="s">
        <v>79</v>
      </c>
      <c r="J448" s="327"/>
      <c r="K448" s="327"/>
      <c r="L448" s="47" t="s">
        <v>68</v>
      </c>
      <c r="M448" s="47" t="s">
        <v>1351</v>
      </c>
    </row>
    <row r="449">
      <c r="A449" s="328">
        <v>44478.0</v>
      </c>
      <c r="B449" s="47" t="s">
        <v>25</v>
      </c>
      <c r="C449" s="47" t="s">
        <v>20</v>
      </c>
      <c r="D449" s="47" t="s">
        <v>14</v>
      </c>
      <c r="E449" s="47" t="s">
        <v>64</v>
      </c>
      <c r="F449" s="47" t="s">
        <v>16</v>
      </c>
      <c r="G449" s="47" t="s">
        <v>632</v>
      </c>
      <c r="H449" s="327"/>
      <c r="I449" s="47" t="s">
        <v>70</v>
      </c>
      <c r="J449" s="327"/>
      <c r="K449" s="327"/>
      <c r="L449" s="47" t="s">
        <v>71</v>
      </c>
      <c r="M449" s="47" t="s">
        <v>1351</v>
      </c>
    </row>
    <row r="450">
      <c r="A450" s="328">
        <v>44463.0</v>
      </c>
      <c r="B450" s="47" t="s">
        <v>25</v>
      </c>
      <c r="C450" s="47" t="s">
        <v>57</v>
      </c>
      <c r="D450" s="47" t="s">
        <v>21</v>
      </c>
      <c r="E450" s="47" t="s">
        <v>22</v>
      </c>
      <c r="F450" s="47" t="s">
        <v>16</v>
      </c>
      <c r="G450" s="47" t="s">
        <v>633</v>
      </c>
      <c r="H450" s="327"/>
      <c r="I450" s="327"/>
      <c r="J450" s="327"/>
      <c r="K450" s="327"/>
      <c r="L450" s="47" t="s">
        <v>68</v>
      </c>
      <c r="M450" s="47" t="s">
        <v>1351</v>
      </c>
    </row>
    <row r="451">
      <c r="A451" s="328">
        <v>44478.0</v>
      </c>
      <c r="B451" s="47" t="s">
        <v>25</v>
      </c>
      <c r="C451" s="47" t="s">
        <v>76</v>
      </c>
      <c r="D451" s="47" t="s">
        <v>58</v>
      </c>
      <c r="E451" s="47" t="s">
        <v>22</v>
      </c>
      <c r="F451" s="47" t="s">
        <v>16</v>
      </c>
      <c r="G451" s="47" t="s">
        <v>1353</v>
      </c>
      <c r="H451" s="47" t="s">
        <v>97</v>
      </c>
      <c r="I451" s="47" t="s">
        <v>346</v>
      </c>
      <c r="J451" s="47" t="s">
        <v>132</v>
      </c>
      <c r="K451" s="327"/>
      <c r="L451" s="47" t="s">
        <v>68</v>
      </c>
      <c r="M451" s="47" t="s">
        <v>1351</v>
      </c>
    </row>
    <row r="452">
      <c r="A452" s="328">
        <v>44478.0</v>
      </c>
      <c r="B452" s="47" t="s">
        <v>25</v>
      </c>
      <c r="C452" s="47" t="s">
        <v>26</v>
      </c>
      <c r="D452" s="47" t="s">
        <v>27</v>
      </c>
      <c r="E452" s="47" t="s">
        <v>22</v>
      </c>
      <c r="F452" s="47" t="s">
        <v>16</v>
      </c>
      <c r="G452" s="47" t="s">
        <v>635</v>
      </c>
      <c r="H452" s="47" t="s">
        <v>61</v>
      </c>
      <c r="I452" s="47" t="s">
        <v>334</v>
      </c>
      <c r="J452" s="47" t="s">
        <v>66</v>
      </c>
      <c r="K452" s="327"/>
      <c r="L452" s="47" t="s">
        <v>144</v>
      </c>
      <c r="M452" s="47" t="s">
        <v>1351</v>
      </c>
    </row>
    <row r="453">
      <c r="A453" s="328">
        <v>44445.0</v>
      </c>
      <c r="B453" s="47" t="s">
        <v>19</v>
      </c>
      <c r="C453" s="47" t="s">
        <v>30</v>
      </c>
      <c r="D453" s="47" t="s">
        <v>21</v>
      </c>
      <c r="E453" s="47" t="s">
        <v>64</v>
      </c>
      <c r="F453" s="47" t="s">
        <v>16</v>
      </c>
      <c r="G453" s="47" t="s">
        <v>636</v>
      </c>
      <c r="H453" s="47" t="s">
        <v>112</v>
      </c>
      <c r="I453" s="47" t="s">
        <v>127</v>
      </c>
      <c r="J453" s="327"/>
      <c r="K453" s="327"/>
      <c r="L453" s="47" t="s">
        <v>68</v>
      </c>
      <c r="M453" s="47" t="s">
        <v>1351</v>
      </c>
    </row>
    <row r="454">
      <c r="A454" s="328">
        <v>44468.0</v>
      </c>
      <c r="B454" s="47" t="s">
        <v>25</v>
      </c>
      <c r="C454" s="47" t="s">
        <v>20</v>
      </c>
      <c r="D454" s="47" t="s">
        <v>14</v>
      </c>
      <c r="E454" s="47" t="s">
        <v>64</v>
      </c>
      <c r="F454" s="47" t="s">
        <v>16</v>
      </c>
      <c r="G454" s="47" t="s">
        <v>1354</v>
      </c>
      <c r="H454" s="327"/>
      <c r="I454" s="47" t="s">
        <v>67</v>
      </c>
      <c r="J454" s="327"/>
      <c r="K454" s="327"/>
      <c r="L454" s="47" t="s">
        <v>68</v>
      </c>
      <c r="M454" s="47" t="s">
        <v>1351</v>
      </c>
    </row>
    <row r="455">
      <c r="A455" s="328">
        <v>44435.0</v>
      </c>
      <c r="B455" s="47" t="s">
        <v>19</v>
      </c>
      <c r="C455" s="47" t="s">
        <v>57</v>
      </c>
      <c r="D455" s="47" t="s">
        <v>21</v>
      </c>
      <c r="E455" s="47" t="s">
        <v>64</v>
      </c>
      <c r="F455" s="47" t="s">
        <v>16</v>
      </c>
      <c r="G455" s="47" t="s">
        <v>638</v>
      </c>
      <c r="H455" s="327"/>
      <c r="I455" s="47" t="s">
        <v>334</v>
      </c>
      <c r="J455" s="47" t="s">
        <v>79</v>
      </c>
      <c r="K455" s="327"/>
      <c r="L455" s="47" t="s">
        <v>68</v>
      </c>
      <c r="M455" s="47" t="s">
        <v>1351</v>
      </c>
    </row>
    <row r="456">
      <c r="A456" s="328">
        <v>44465.0</v>
      </c>
      <c r="B456" s="47" t="s">
        <v>25</v>
      </c>
      <c r="C456" s="47" t="s">
        <v>36</v>
      </c>
      <c r="D456" s="47" t="s">
        <v>89</v>
      </c>
      <c r="E456" s="47" t="s">
        <v>22</v>
      </c>
      <c r="F456" s="47" t="s">
        <v>16</v>
      </c>
      <c r="G456" s="47" t="s">
        <v>639</v>
      </c>
      <c r="H456" s="327"/>
      <c r="I456" s="47" t="s">
        <v>66</v>
      </c>
      <c r="J456" s="327"/>
      <c r="K456" s="327"/>
      <c r="L456" s="47" t="s">
        <v>68</v>
      </c>
      <c r="M456" s="47" t="s">
        <v>1351</v>
      </c>
    </row>
    <row r="457">
      <c r="A457" s="328">
        <v>44434.0</v>
      </c>
      <c r="B457" s="47" t="s">
        <v>19</v>
      </c>
      <c r="C457" s="47" t="s">
        <v>36</v>
      </c>
      <c r="D457" s="47" t="s">
        <v>14</v>
      </c>
      <c r="E457" s="47" t="s">
        <v>22</v>
      </c>
      <c r="F457" s="47" t="s">
        <v>16</v>
      </c>
      <c r="G457" s="47" t="s">
        <v>1355</v>
      </c>
      <c r="H457" s="327"/>
      <c r="I457" s="47" t="s">
        <v>66</v>
      </c>
      <c r="J457" s="327"/>
      <c r="K457" s="327"/>
      <c r="L457" s="47" t="s">
        <v>68</v>
      </c>
      <c r="M457" s="47" t="s">
        <v>1351</v>
      </c>
    </row>
    <row r="458">
      <c r="A458" s="328">
        <v>44454.0</v>
      </c>
      <c r="B458" s="47" t="s">
        <v>19</v>
      </c>
      <c r="C458" s="47" t="s">
        <v>20</v>
      </c>
      <c r="D458" s="47" t="s">
        <v>58</v>
      </c>
      <c r="E458" s="47" t="s">
        <v>22</v>
      </c>
      <c r="F458" s="47" t="s">
        <v>16</v>
      </c>
      <c r="G458" s="47" t="s">
        <v>641</v>
      </c>
      <c r="H458" s="327"/>
      <c r="I458" s="47" t="s">
        <v>67</v>
      </c>
      <c r="J458" s="47" t="s">
        <v>74</v>
      </c>
      <c r="K458" s="327"/>
      <c r="L458" s="47" t="s">
        <v>68</v>
      </c>
      <c r="M458" s="47" t="s">
        <v>1351</v>
      </c>
    </row>
    <row r="459">
      <c r="A459" s="328">
        <v>44445.0</v>
      </c>
      <c r="B459" s="47" t="s">
        <v>19</v>
      </c>
      <c r="C459" s="47" t="s">
        <v>57</v>
      </c>
      <c r="D459" s="47" t="s">
        <v>21</v>
      </c>
      <c r="E459" s="47" t="s">
        <v>22</v>
      </c>
      <c r="F459" s="47" t="s">
        <v>16</v>
      </c>
      <c r="G459" s="47" t="s">
        <v>642</v>
      </c>
      <c r="H459" s="47" t="s">
        <v>643</v>
      </c>
      <c r="I459" s="47" t="s">
        <v>334</v>
      </c>
      <c r="J459" s="47" t="s">
        <v>115</v>
      </c>
      <c r="K459" s="327"/>
      <c r="L459" s="47" t="s">
        <v>68</v>
      </c>
      <c r="M459" s="47" t="s">
        <v>1351</v>
      </c>
    </row>
    <row r="460">
      <c r="A460" s="328">
        <v>44445.0</v>
      </c>
      <c r="B460" s="47" t="s">
        <v>19</v>
      </c>
      <c r="C460" s="47" t="s">
        <v>36</v>
      </c>
      <c r="D460" s="47" t="s">
        <v>14</v>
      </c>
      <c r="E460" s="47" t="s">
        <v>64</v>
      </c>
      <c r="F460" s="47" t="s">
        <v>16</v>
      </c>
      <c r="G460" s="47" t="s">
        <v>644</v>
      </c>
      <c r="H460" s="47" t="s">
        <v>61</v>
      </c>
      <c r="I460" s="47" t="s">
        <v>66</v>
      </c>
      <c r="J460" s="47" t="s">
        <v>334</v>
      </c>
      <c r="K460" s="327"/>
      <c r="L460" s="47" t="s">
        <v>71</v>
      </c>
      <c r="M460" s="47" t="s">
        <v>1351</v>
      </c>
    </row>
    <row r="461">
      <c r="A461" s="328">
        <v>44445.0</v>
      </c>
      <c r="B461" s="47" t="s">
        <v>19</v>
      </c>
      <c r="C461" s="47" t="s">
        <v>20</v>
      </c>
      <c r="D461" s="47" t="s">
        <v>14</v>
      </c>
      <c r="E461" s="47" t="s">
        <v>64</v>
      </c>
      <c r="F461" s="47" t="s">
        <v>16</v>
      </c>
      <c r="G461" s="47" t="s">
        <v>645</v>
      </c>
      <c r="H461" s="47" t="s">
        <v>646</v>
      </c>
      <c r="I461" s="47" t="s">
        <v>67</v>
      </c>
      <c r="J461" s="47" t="s">
        <v>66</v>
      </c>
      <c r="K461" s="327"/>
      <c r="L461" s="47" t="s">
        <v>68</v>
      </c>
      <c r="M461" s="47" t="s">
        <v>1351</v>
      </c>
    </row>
    <row r="462">
      <c r="A462" s="328">
        <v>44445.0</v>
      </c>
      <c r="B462" s="47" t="s">
        <v>19</v>
      </c>
      <c r="C462" s="47" t="s">
        <v>49</v>
      </c>
      <c r="D462" s="47" t="s">
        <v>58</v>
      </c>
      <c r="E462" s="47" t="s">
        <v>22</v>
      </c>
      <c r="F462" s="47" t="s">
        <v>16</v>
      </c>
      <c r="G462" s="47" t="s">
        <v>647</v>
      </c>
      <c r="H462" s="47" t="s">
        <v>61</v>
      </c>
      <c r="I462" s="47" t="s">
        <v>115</v>
      </c>
      <c r="J462" s="327"/>
      <c r="K462" s="327"/>
      <c r="L462" s="47" t="s">
        <v>71</v>
      </c>
      <c r="M462" s="47" t="s">
        <v>1351</v>
      </c>
    </row>
    <row r="463">
      <c r="A463" s="328">
        <v>44428.0</v>
      </c>
      <c r="B463" s="47" t="s">
        <v>43</v>
      </c>
      <c r="C463" s="47" t="s">
        <v>33</v>
      </c>
      <c r="D463" s="47" t="s">
        <v>21</v>
      </c>
      <c r="E463" s="47" t="s">
        <v>22</v>
      </c>
      <c r="F463" s="47" t="s">
        <v>16</v>
      </c>
      <c r="G463" s="47" t="s">
        <v>648</v>
      </c>
      <c r="H463" s="327"/>
      <c r="I463" s="47" t="s">
        <v>463</v>
      </c>
      <c r="J463" s="327"/>
      <c r="K463" s="327"/>
      <c r="L463" s="47" t="s">
        <v>71</v>
      </c>
      <c r="M463" s="47" t="s">
        <v>1351</v>
      </c>
    </row>
    <row r="464">
      <c r="A464" s="328">
        <v>44396.0</v>
      </c>
      <c r="B464" s="47" t="s">
        <v>43</v>
      </c>
      <c r="C464" s="47" t="s">
        <v>57</v>
      </c>
      <c r="D464" s="47" t="s">
        <v>21</v>
      </c>
      <c r="E464" s="47" t="s">
        <v>22</v>
      </c>
      <c r="F464" s="47" t="s">
        <v>16</v>
      </c>
      <c r="G464" s="47" t="s">
        <v>649</v>
      </c>
      <c r="H464" s="327"/>
      <c r="I464" s="47" t="s">
        <v>334</v>
      </c>
      <c r="J464" s="47" t="s">
        <v>70</v>
      </c>
      <c r="K464" s="327"/>
      <c r="L464" s="47" t="s">
        <v>68</v>
      </c>
      <c r="M464" s="47" t="s">
        <v>1351</v>
      </c>
    </row>
    <row r="465">
      <c r="A465" s="328">
        <v>44396.0</v>
      </c>
      <c r="B465" s="47" t="s">
        <v>43</v>
      </c>
      <c r="C465" s="47" t="s">
        <v>13</v>
      </c>
      <c r="D465" s="47" t="s">
        <v>44</v>
      </c>
      <c r="E465" s="47" t="s">
        <v>22</v>
      </c>
      <c r="F465" s="47" t="s">
        <v>16</v>
      </c>
      <c r="G465" s="47" t="s">
        <v>650</v>
      </c>
      <c r="H465" s="47" t="s">
        <v>112</v>
      </c>
      <c r="I465" s="47" t="s">
        <v>79</v>
      </c>
      <c r="J465" s="327"/>
      <c r="K465" s="327"/>
      <c r="L465" s="47" t="s">
        <v>167</v>
      </c>
      <c r="M465" s="47" t="s">
        <v>1351</v>
      </c>
    </row>
    <row r="466">
      <c r="A466" s="328">
        <v>44369.0</v>
      </c>
      <c r="B466" s="47" t="s">
        <v>56</v>
      </c>
      <c r="C466" s="47" t="s">
        <v>20</v>
      </c>
      <c r="D466" s="47" t="s">
        <v>44</v>
      </c>
      <c r="E466" s="47" t="s">
        <v>22</v>
      </c>
      <c r="F466" s="47" t="s">
        <v>16</v>
      </c>
      <c r="G466" s="47" t="s">
        <v>651</v>
      </c>
      <c r="H466" s="47" t="s">
        <v>97</v>
      </c>
      <c r="I466" s="47" t="s">
        <v>67</v>
      </c>
      <c r="J466" s="47" t="s">
        <v>66</v>
      </c>
      <c r="K466" s="327"/>
      <c r="L466" s="47" t="s">
        <v>63</v>
      </c>
      <c r="M466" s="47" t="s">
        <v>1351</v>
      </c>
    </row>
    <row r="467">
      <c r="A467" s="328">
        <v>44375.0</v>
      </c>
      <c r="B467" s="47" t="s">
        <v>56</v>
      </c>
      <c r="C467" s="47" t="s">
        <v>76</v>
      </c>
      <c r="D467" s="47" t="s">
        <v>44</v>
      </c>
      <c r="E467" s="47" t="s">
        <v>22</v>
      </c>
      <c r="F467" s="47" t="s">
        <v>16</v>
      </c>
      <c r="G467" s="47" t="s">
        <v>652</v>
      </c>
      <c r="H467" s="47" t="s">
        <v>112</v>
      </c>
      <c r="I467" s="47" t="s">
        <v>346</v>
      </c>
      <c r="J467" s="47" t="s">
        <v>132</v>
      </c>
      <c r="K467" s="327"/>
      <c r="L467" s="47" t="s">
        <v>144</v>
      </c>
      <c r="M467" s="47" t="s">
        <v>1351</v>
      </c>
    </row>
    <row r="468">
      <c r="A468" s="328">
        <v>44396.0</v>
      </c>
      <c r="B468" s="47" t="s">
        <v>43</v>
      </c>
      <c r="C468" s="47" t="s">
        <v>76</v>
      </c>
      <c r="D468" s="47" t="s">
        <v>44</v>
      </c>
      <c r="E468" s="47" t="s">
        <v>22</v>
      </c>
      <c r="F468" s="47" t="s">
        <v>16</v>
      </c>
      <c r="G468" s="47" t="s">
        <v>653</v>
      </c>
      <c r="H468" s="47" t="s">
        <v>112</v>
      </c>
      <c r="I468" s="47" t="s">
        <v>79</v>
      </c>
      <c r="J468" s="327"/>
      <c r="K468" s="327"/>
      <c r="L468" s="47" t="s">
        <v>71</v>
      </c>
      <c r="M468" s="47" t="s">
        <v>1351</v>
      </c>
    </row>
    <row r="469">
      <c r="A469" s="328">
        <v>44410.0</v>
      </c>
      <c r="B469" s="47" t="s">
        <v>43</v>
      </c>
      <c r="C469" s="47" t="s">
        <v>26</v>
      </c>
      <c r="D469" s="47" t="s">
        <v>89</v>
      </c>
      <c r="E469" s="47" t="s">
        <v>64</v>
      </c>
      <c r="F469" s="47" t="s">
        <v>16</v>
      </c>
      <c r="G469" s="47" t="s">
        <v>654</v>
      </c>
      <c r="H469" s="327"/>
      <c r="I469" s="47" t="s">
        <v>70</v>
      </c>
      <c r="J469" s="47" t="s">
        <v>66</v>
      </c>
      <c r="K469" s="327"/>
      <c r="L469" s="47" t="s">
        <v>144</v>
      </c>
      <c r="M469" s="47" t="s">
        <v>1351</v>
      </c>
    </row>
    <row r="470">
      <c r="A470" s="328">
        <v>44390.0</v>
      </c>
      <c r="B470" s="47" t="s">
        <v>56</v>
      </c>
      <c r="C470" s="47" t="s">
        <v>57</v>
      </c>
      <c r="D470" s="47" t="s">
        <v>89</v>
      </c>
      <c r="E470" s="47" t="s">
        <v>22</v>
      </c>
      <c r="F470" s="47" t="s">
        <v>16</v>
      </c>
      <c r="G470" s="47" t="s">
        <v>655</v>
      </c>
      <c r="H470" s="47" t="s">
        <v>112</v>
      </c>
      <c r="I470" s="47" t="s">
        <v>127</v>
      </c>
      <c r="J470" s="47" t="s">
        <v>70</v>
      </c>
      <c r="K470" s="327"/>
      <c r="L470" s="47" t="s">
        <v>144</v>
      </c>
      <c r="M470" s="47" t="s">
        <v>1351</v>
      </c>
    </row>
    <row r="471">
      <c r="A471" s="328">
        <v>44375.0</v>
      </c>
      <c r="B471" s="47" t="s">
        <v>56</v>
      </c>
      <c r="C471" s="47" t="s">
        <v>76</v>
      </c>
      <c r="D471" s="47" t="s">
        <v>44</v>
      </c>
      <c r="E471" s="47" t="s">
        <v>15</v>
      </c>
      <c r="F471" s="47" t="s">
        <v>16</v>
      </c>
      <c r="G471" s="47" t="s">
        <v>656</v>
      </c>
      <c r="H471" s="327"/>
      <c r="I471" s="47" t="s">
        <v>346</v>
      </c>
      <c r="J471" s="47" t="s">
        <v>132</v>
      </c>
      <c r="K471" s="327"/>
      <c r="L471" s="47" t="s">
        <v>167</v>
      </c>
      <c r="M471" s="47" t="s">
        <v>1351</v>
      </c>
    </row>
    <row r="472">
      <c r="A472" s="328">
        <v>44375.0</v>
      </c>
      <c r="B472" s="47" t="s">
        <v>56</v>
      </c>
      <c r="C472" s="47" t="s">
        <v>76</v>
      </c>
      <c r="D472" s="47" t="s">
        <v>27</v>
      </c>
      <c r="E472" s="47" t="s">
        <v>22</v>
      </c>
      <c r="F472" s="47" t="s">
        <v>16</v>
      </c>
      <c r="G472" s="47" t="s">
        <v>1356</v>
      </c>
      <c r="H472" s="47" t="s">
        <v>112</v>
      </c>
      <c r="I472" s="47" t="s">
        <v>79</v>
      </c>
      <c r="J472" s="327"/>
      <c r="K472" s="327"/>
      <c r="L472" s="47" t="s">
        <v>71</v>
      </c>
      <c r="M472" s="47" t="s">
        <v>1351</v>
      </c>
    </row>
    <row r="473">
      <c r="A473" s="328">
        <v>44375.0</v>
      </c>
      <c r="B473" s="47" t="s">
        <v>56</v>
      </c>
      <c r="C473" s="47" t="s">
        <v>13</v>
      </c>
      <c r="D473" s="47" t="s">
        <v>44</v>
      </c>
      <c r="E473" s="47" t="s">
        <v>22</v>
      </c>
      <c r="F473" s="47" t="s">
        <v>16</v>
      </c>
      <c r="G473" s="47" t="s">
        <v>658</v>
      </c>
      <c r="H473" s="47" t="s">
        <v>61</v>
      </c>
      <c r="I473" s="47" t="s">
        <v>79</v>
      </c>
      <c r="J473" s="327"/>
      <c r="K473" s="327"/>
      <c r="L473" s="47" t="s">
        <v>68</v>
      </c>
      <c r="M473" s="47" t="s">
        <v>1351</v>
      </c>
    </row>
    <row r="474">
      <c r="A474" s="328">
        <v>44368.0</v>
      </c>
      <c r="B474" s="47" t="s">
        <v>56</v>
      </c>
      <c r="C474" s="47" t="s">
        <v>76</v>
      </c>
      <c r="D474" s="47" t="s">
        <v>27</v>
      </c>
      <c r="E474" s="47" t="s">
        <v>64</v>
      </c>
      <c r="F474" s="47" t="s">
        <v>16</v>
      </c>
      <c r="G474" s="47" t="s">
        <v>1357</v>
      </c>
      <c r="H474" s="327"/>
      <c r="I474" s="47" t="s">
        <v>346</v>
      </c>
      <c r="J474" s="327"/>
      <c r="K474" s="327"/>
      <c r="L474" s="47" t="s">
        <v>71</v>
      </c>
      <c r="M474" s="47" t="s">
        <v>1351</v>
      </c>
    </row>
    <row r="475">
      <c r="A475" s="328">
        <v>44375.0</v>
      </c>
      <c r="B475" s="47" t="s">
        <v>56</v>
      </c>
      <c r="C475" s="47" t="s">
        <v>30</v>
      </c>
      <c r="D475" s="47" t="s">
        <v>44</v>
      </c>
      <c r="E475" s="47" t="s">
        <v>22</v>
      </c>
      <c r="F475" s="47" t="s">
        <v>16</v>
      </c>
      <c r="G475" s="47" t="s">
        <v>660</v>
      </c>
      <c r="H475" s="47" t="s">
        <v>61</v>
      </c>
      <c r="I475" s="47" t="s">
        <v>127</v>
      </c>
      <c r="J475" s="327"/>
      <c r="K475" s="327"/>
      <c r="L475" s="47" t="s">
        <v>71</v>
      </c>
      <c r="M475" s="47" t="s">
        <v>1351</v>
      </c>
    </row>
    <row r="476">
      <c r="A476" s="328">
        <v>44369.0</v>
      </c>
      <c r="B476" s="47" t="s">
        <v>56</v>
      </c>
      <c r="C476" s="47" t="s">
        <v>13</v>
      </c>
      <c r="D476" s="47" t="s">
        <v>27</v>
      </c>
      <c r="E476" s="47" t="s">
        <v>22</v>
      </c>
      <c r="F476" s="47" t="s">
        <v>16</v>
      </c>
      <c r="G476" s="47" t="s">
        <v>661</v>
      </c>
      <c r="H476" s="327"/>
      <c r="I476" s="47" t="s">
        <v>79</v>
      </c>
      <c r="J476" s="47" t="s">
        <v>346</v>
      </c>
      <c r="K476" s="327"/>
      <c r="L476" s="47" t="s">
        <v>167</v>
      </c>
      <c r="M476" s="47" t="s">
        <v>1351</v>
      </c>
    </row>
    <row r="477">
      <c r="A477" s="328">
        <v>44368.0</v>
      </c>
      <c r="B477" s="47" t="s">
        <v>56</v>
      </c>
      <c r="C477" s="47" t="s">
        <v>30</v>
      </c>
      <c r="D477" s="47" t="s">
        <v>27</v>
      </c>
      <c r="E477" s="47" t="s">
        <v>22</v>
      </c>
      <c r="F477" s="47" t="s">
        <v>16</v>
      </c>
      <c r="G477" s="47" t="s">
        <v>662</v>
      </c>
      <c r="H477" s="47" t="s">
        <v>61</v>
      </c>
      <c r="I477" s="47" t="s">
        <v>127</v>
      </c>
      <c r="J477" s="47" t="s">
        <v>66</v>
      </c>
      <c r="K477" s="327"/>
      <c r="L477" s="47" t="s">
        <v>63</v>
      </c>
      <c r="M477" s="47" t="s">
        <v>1351</v>
      </c>
    </row>
    <row r="478">
      <c r="A478" s="328">
        <v>44368.0</v>
      </c>
      <c r="B478" s="47" t="s">
        <v>56</v>
      </c>
      <c r="C478" s="47" t="s">
        <v>49</v>
      </c>
      <c r="D478" s="47" t="s">
        <v>27</v>
      </c>
      <c r="E478" s="47" t="s">
        <v>22</v>
      </c>
      <c r="F478" s="47" t="s">
        <v>16</v>
      </c>
      <c r="G478" s="47" t="s">
        <v>663</v>
      </c>
      <c r="H478" s="47" t="s">
        <v>61</v>
      </c>
      <c r="I478" s="47" t="s">
        <v>115</v>
      </c>
      <c r="J478" s="327"/>
      <c r="K478" s="327"/>
      <c r="L478" s="47" t="s">
        <v>162</v>
      </c>
      <c r="M478" s="47" t="s">
        <v>1351</v>
      </c>
    </row>
    <row r="479">
      <c r="A479" s="328">
        <v>44478.0</v>
      </c>
      <c r="B479" s="47" t="s">
        <v>172</v>
      </c>
      <c r="C479" s="47" t="s">
        <v>20</v>
      </c>
      <c r="D479" s="47" t="s">
        <v>14</v>
      </c>
      <c r="E479" s="47" t="s">
        <v>22</v>
      </c>
      <c r="F479" s="47" t="s">
        <v>64</v>
      </c>
      <c r="G479" s="47" t="s">
        <v>664</v>
      </c>
      <c r="H479" s="327"/>
      <c r="I479" s="47" t="s">
        <v>70</v>
      </c>
      <c r="J479" s="327"/>
      <c r="K479" s="327"/>
      <c r="L479" s="47" t="s">
        <v>68</v>
      </c>
      <c r="M479" s="47" t="s">
        <v>1358</v>
      </c>
    </row>
    <row r="480">
      <c r="A480" s="328">
        <v>44392.0</v>
      </c>
      <c r="B480" s="47" t="s">
        <v>12</v>
      </c>
      <c r="C480" s="47" t="s">
        <v>36</v>
      </c>
      <c r="D480" s="47" t="s">
        <v>27</v>
      </c>
      <c r="E480" s="47" t="s">
        <v>22</v>
      </c>
      <c r="F480" s="47" t="s">
        <v>16</v>
      </c>
      <c r="G480" s="47" t="s">
        <v>665</v>
      </c>
      <c r="H480" s="327"/>
      <c r="I480" s="47" t="s">
        <v>66</v>
      </c>
      <c r="J480" s="47" t="s">
        <v>463</v>
      </c>
      <c r="K480" s="327"/>
      <c r="L480" s="47" t="s">
        <v>71</v>
      </c>
      <c r="M480" s="47" t="s">
        <v>1358</v>
      </c>
    </row>
    <row r="481">
      <c r="A481" s="328">
        <v>44389.0</v>
      </c>
      <c r="B481" s="47" t="s">
        <v>25</v>
      </c>
      <c r="C481" s="47" t="s">
        <v>33</v>
      </c>
      <c r="D481" s="47" t="s">
        <v>14</v>
      </c>
      <c r="E481" s="47" t="s">
        <v>22</v>
      </c>
      <c r="F481" s="47" t="s">
        <v>16</v>
      </c>
      <c r="G481" s="47" t="s">
        <v>666</v>
      </c>
      <c r="H481" s="327"/>
      <c r="I481" s="47" t="s">
        <v>463</v>
      </c>
      <c r="J481" s="327"/>
      <c r="K481" s="327"/>
      <c r="L481" s="47" t="s">
        <v>71</v>
      </c>
      <c r="M481" s="47" t="s">
        <v>1358</v>
      </c>
    </row>
    <row r="482">
      <c r="A482" s="328">
        <v>44358.0</v>
      </c>
      <c r="B482" s="47" t="s">
        <v>19</v>
      </c>
      <c r="C482" s="47" t="s">
        <v>83</v>
      </c>
      <c r="D482" s="47" t="s">
        <v>27</v>
      </c>
      <c r="E482" s="47" t="s">
        <v>22</v>
      </c>
      <c r="F482" s="47" t="s">
        <v>16</v>
      </c>
      <c r="G482" s="47" t="s">
        <v>667</v>
      </c>
      <c r="H482" s="327"/>
      <c r="I482" s="327"/>
      <c r="J482" s="327"/>
      <c r="K482" s="327"/>
      <c r="L482" s="47" t="s">
        <v>71</v>
      </c>
      <c r="M482" s="47" t="s">
        <v>1358</v>
      </c>
    </row>
    <row r="483">
      <c r="A483" s="328">
        <v>44389.0</v>
      </c>
      <c r="B483" s="47" t="s">
        <v>25</v>
      </c>
      <c r="C483" s="47" t="s">
        <v>83</v>
      </c>
      <c r="D483" s="47" t="s">
        <v>21</v>
      </c>
      <c r="E483" s="47" t="s">
        <v>22</v>
      </c>
      <c r="F483" s="47" t="s">
        <v>16</v>
      </c>
      <c r="G483" s="47" t="s">
        <v>668</v>
      </c>
      <c r="H483" s="327"/>
      <c r="I483" s="47" t="s">
        <v>127</v>
      </c>
      <c r="J483" s="47" t="s">
        <v>66</v>
      </c>
      <c r="K483" s="327"/>
      <c r="L483" s="47" t="s">
        <v>71</v>
      </c>
      <c r="M483" s="47" t="s">
        <v>1358</v>
      </c>
    </row>
    <row r="484">
      <c r="A484" s="328">
        <v>44365.0</v>
      </c>
      <c r="B484" s="47" t="s">
        <v>19</v>
      </c>
      <c r="C484" s="47" t="s">
        <v>83</v>
      </c>
      <c r="D484" s="47" t="s">
        <v>14</v>
      </c>
      <c r="E484" s="47" t="s">
        <v>22</v>
      </c>
      <c r="F484" s="47" t="s">
        <v>16</v>
      </c>
      <c r="G484" s="47" t="s">
        <v>669</v>
      </c>
      <c r="H484" s="327"/>
      <c r="I484" s="327"/>
      <c r="J484" s="327"/>
      <c r="K484" s="327"/>
      <c r="L484" s="47" t="s">
        <v>71</v>
      </c>
      <c r="M484" s="47" t="s">
        <v>1358</v>
      </c>
    </row>
    <row r="485">
      <c r="A485" s="328">
        <v>44325.0</v>
      </c>
      <c r="B485" s="47" t="s">
        <v>19</v>
      </c>
      <c r="C485" s="47" t="s">
        <v>36</v>
      </c>
      <c r="D485" s="47" t="s">
        <v>14</v>
      </c>
      <c r="E485" s="47" t="s">
        <v>22</v>
      </c>
      <c r="F485" s="47" t="s">
        <v>16</v>
      </c>
      <c r="G485" s="47" t="s">
        <v>670</v>
      </c>
      <c r="H485" s="47" t="s">
        <v>97</v>
      </c>
      <c r="I485" s="47" t="s">
        <v>79</v>
      </c>
      <c r="J485" s="47" t="s">
        <v>66</v>
      </c>
      <c r="K485" s="327"/>
      <c r="L485" s="47" t="s">
        <v>71</v>
      </c>
      <c r="M485" s="47" t="s">
        <v>1358</v>
      </c>
    </row>
    <row r="486">
      <c r="A486" s="328">
        <v>44325.0</v>
      </c>
      <c r="B486" s="47" t="s">
        <v>19</v>
      </c>
      <c r="C486" s="47" t="s">
        <v>36</v>
      </c>
      <c r="D486" s="47" t="s">
        <v>14</v>
      </c>
      <c r="E486" s="47" t="s">
        <v>22</v>
      </c>
      <c r="F486" s="47" t="s">
        <v>16</v>
      </c>
      <c r="G486" s="47" t="s">
        <v>671</v>
      </c>
      <c r="H486" s="47" t="s">
        <v>97</v>
      </c>
      <c r="I486" s="47" t="s">
        <v>79</v>
      </c>
      <c r="J486" s="47" t="s">
        <v>66</v>
      </c>
      <c r="K486" s="327"/>
      <c r="L486" s="47" t="s">
        <v>71</v>
      </c>
      <c r="M486" s="47" t="s">
        <v>1358</v>
      </c>
    </row>
    <row r="487">
      <c r="A487" s="328">
        <v>44349.0</v>
      </c>
      <c r="B487" s="47" t="s">
        <v>43</v>
      </c>
      <c r="C487" s="47" t="s">
        <v>57</v>
      </c>
      <c r="D487" s="47" t="s">
        <v>21</v>
      </c>
      <c r="E487" s="47" t="s">
        <v>64</v>
      </c>
      <c r="F487" s="47" t="s">
        <v>16</v>
      </c>
      <c r="G487" s="47" t="s">
        <v>672</v>
      </c>
      <c r="H487" s="327"/>
      <c r="I487" s="47" t="s">
        <v>334</v>
      </c>
      <c r="J487" s="47" t="s">
        <v>463</v>
      </c>
      <c r="K487" s="327"/>
      <c r="L487" s="47" t="s">
        <v>71</v>
      </c>
      <c r="M487" s="47" t="s">
        <v>1358</v>
      </c>
    </row>
    <row r="488">
      <c r="A488" s="328">
        <v>44349.0</v>
      </c>
      <c r="B488" s="47" t="s">
        <v>43</v>
      </c>
      <c r="C488" s="47" t="s">
        <v>36</v>
      </c>
      <c r="D488" s="47" t="s">
        <v>44</v>
      </c>
      <c r="E488" s="47" t="s">
        <v>22</v>
      </c>
      <c r="F488" s="47" t="s">
        <v>16</v>
      </c>
      <c r="G488" s="47" t="s">
        <v>673</v>
      </c>
      <c r="H488" s="47" t="s">
        <v>61</v>
      </c>
      <c r="I488" s="47" t="s">
        <v>66</v>
      </c>
      <c r="J488" s="47" t="s">
        <v>463</v>
      </c>
      <c r="K488" s="327"/>
      <c r="L488" s="47" t="s">
        <v>71</v>
      </c>
      <c r="M488" s="47" t="s">
        <v>1358</v>
      </c>
    </row>
    <row r="489">
      <c r="A489" s="328">
        <v>44343.0</v>
      </c>
      <c r="B489" s="47" t="s">
        <v>19</v>
      </c>
      <c r="C489" s="47" t="s">
        <v>33</v>
      </c>
      <c r="D489" s="47" t="s">
        <v>21</v>
      </c>
      <c r="E489" s="47" t="s">
        <v>22</v>
      </c>
      <c r="F489" s="47" t="s">
        <v>16</v>
      </c>
      <c r="G489" s="47" t="s">
        <v>674</v>
      </c>
      <c r="H489" s="327"/>
      <c r="I489" s="47" t="s">
        <v>463</v>
      </c>
      <c r="J489" s="327"/>
      <c r="K489" s="327"/>
      <c r="L489" s="47" t="s">
        <v>162</v>
      </c>
      <c r="M489" s="47" t="s">
        <v>1358</v>
      </c>
    </row>
    <row r="490">
      <c r="A490" s="328">
        <v>44353.0</v>
      </c>
      <c r="B490" s="47" t="s">
        <v>25</v>
      </c>
      <c r="C490" s="47" t="s">
        <v>36</v>
      </c>
      <c r="D490" s="47" t="s">
        <v>44</v>
      </c>
      <c r="E490" s="47" t="s">
        <v>64</v>
      </c>
      <c r="F490" s="47" t="s">
        <v>16</v>
      </c>
      <c r="G490" s="47" t="s">
        <v>675</v>
      </c>
      <c r="H490" s="330" t="s">
        <v>676</v>
      </c>
      <c r="I490" s="47" t="s">
        <v>66</v>
      </c>
      <c r="J490" s="327"/>
      <c r="K490" s="327"/>
      <c r="L490" s="47" t="s">
        <v>71</v>
      </c>
      <c r="M490" s="47" t="s">
        <v>1358</v>
      </c>
    </row>
    <row r="491">
      <c r="A491" s="328">
        <v>44334.0</v>
      </c>
      <c r="B491" s="47" t="s">
        <v>43</v>
      </c>
      <c r="C491" s="47" t="s">
        <v>36</v>
      </c>
      <c r="D491" s="47" t="s">
        <v>44</v>
      </c>
      <c r="E491" s="47" t="s">
        <v>64</v>
      </c>
      <c r="F491" s="47" t="s">
        <v>16</v>
      </c>
      <c r="G491" s="47" t="s">
        <v>677</v>
      </c>
      <c r="H491" s="47" t="s">
        <v>61</v>
      </c>
      <c r="I491" s="47" t="s">
        <v>70</v>
      </c>
      <c r="J491" s="47" t="s">
        <v>66</v>
      </c>
      <c r="K491" s="327"/>
      <c r="L491" s="47" t="s">
        <v>71</v>
      </c>
      <c r="M491" s="47" t="s">
        <v>1358</v>
      </c>
    </row>
    <row r="492">
      <c r="A492" s="328">
        <v>44344.0</v>
      </c>
      <c r="B492" s="47" t="s">
        <v>43</v>
      </c>
      <c r="C492" s="47" t="s">
        <v>20</v>
      </c>
      <c r="D492" s="47" t="s">
        <v>44</v>
      </c>
      <c r="E492" s="47" t="s">
        <v>22</v>
      </c>
      <c r="F492" s="47" t="s">
        <v>16</v>
      </c>
      <c r="G492" s="47" t="s">
        <v>678</v>
      </c>
      <c r="H492" s="47" t="s">
        <v>679</v>
      </c>
      <c r="I492" s="47" t="s">
        <v>66</v>
      </c>
      <c r="J492" s="327"/>
      <c r="K492" s="327"/>
      <c r="L492" s="47" t="s">
        <v>71</v>
      </c>
      <c r="M492" s="47" t="s">
        <v>1358</v>
      </c>
    </row>
    <row r="493">
      <c r="A493" s="328">
        <v>44340.0</v>
      </c>
      <c r="B493" s="47" t="s">
        <v>56</v>
      </c>
      <c r="C493" s="47" t="s">
        <v>83</v>
      </c>
      <c r="D493" s="47" t="s">
        <v>21</v>
      </c>
      <c r="E493" s="47" t="s">
        <v>64</v>
      </c>
      <c r="F493" s="47" t="s">
        <v>16</v>
      </c>
      <c r="G493" s="47" t="s">
        <v>680</v>
      </c>
      <c r="H493" s="327"/>
      <c r="I493" s="47" t="s">
        <v>127</v>
      </c>
      <c r="J493" s="327"/>
      <c r="K493" s="327"/>
      <c r="L493" s="47" t="s">
        <v>71</v>
      </c>
      <c r="M493" s="47" t="s">
        <v>1358</v>
      </c>
    </row>
    <row r="494">
      <c r="A494" s="328">
        <v>44306.0</v>
      </c>
      <c r="B494" s="47" t="s">
        <v>56</v>
      </c>
      <c r="C494" s="47" t="s">
        <v>83</v>
      </c>
      <c r="D494" s="47" t="s">
        <v>21</v>
      </c>
      <c r="E494" s="47" t="s">
        <v>15</v>
      </c>
      <c r="F494" s="47" t="s">
        <v>16</v>
      </c>
      <c r="G494" s="47" t="s">
        <v>681</v>
      </c>
      <c r="H494" s="327"/>
      <c r="I494" s="47" t="s">
        <v>127</v>
      </c>
      <c r="J494" s="327"/>
      <c r="K494" s="327"/>
      <c r="L494" s="47" t="s">
        <v>71</v>
      </c>
      <c r="M494" s="47" t="s">
        <v>1358</v>
      </c>
    </row>
    <row r="495">
      <c r="A495" s="328">
        <v>44328.0</v>
      </c>
      <c r="B495" s="47" t="s">
        <v>43</v>
      </c>
      <c r="C495" s="47" t="s">
        <v>83</v>
      </c>
      <c r="D495" s="47" t="s">
        <v>44</v>
      </c>
      <c r="E495" s="47" t="s">
        <v>22</v>
      </c>
      <c r="F495" s="47" t="s">
        <v>16</v>
      </c>
      <c r="G495" s="47" t="s">
        <v>682</v>
      </c>
      <c r="H495" s="47" t="s">
        <v>97</v>
      </c>
      <c r="I495" s="47" t="s">
        <v>66</v>
      </c>
      <c r="J495" s="47" t="s">
        <v>127</v>
      </c>
      <c r="K495" s="327"/>
      <c r="L495" s="47" t="s">
        <v>71</v>
      </c>
      <c r="M495" s="47" t="s">
        <v>1358</v>
      </c>
    </row>
    <row r="496">
      <c r="A496" s="328">
        <v>44311.0</v>
      </c>
      <c r="B496" s="47" t="s">
        <v>43</v>
      </c>
      <c r="C496" s="47" t="s">
        <v>49</v>
      </c>
      <c r="D496" s="47" t="s">
        <v>58</v>
      </c>
      <c r="E496" s="47" t="s">
        <v>22</v>
      </c>
      <c r="F496" s="47" t="s">
        <v>16</v>
      </c>
      <c r="G496" s="47" t="s">
        <v>683</v>
      </c>
      <c r="H496" s="47" t="s">
        <v>97</v>
      </c>
      <c r="I496" s="47" t="s">
        <v>115</v>
      </c>
      <c r="J496" s="327"/>
      <c r="K496" s="327"/>
      <c r="L496" s="47" t="s">
        <v>71</v>
      </c>
      <c r="M496" s="47" t="s">
        <v>1358</v>
      </c>
    </row>
    <row r="497">
      <c r="A497" s="328">
        <v>44311.0</v>
      </c>
      <c r="B497" s="47" t="s">
        <v>43</v>
      </c>
      <c r="C497" s="47" t="s">
        <v>76</v>
      </c>
      <c r="D497" s="47" t="s">
        <v>58</v>
      </c>
      <c r="E497" s="47" t="s">
        <v>22</v>
      </c>
      <c r="F497" s="47" t="s">
        <v>16</v>
      </c>
      <c r="G497" s="47" t="s">
        <v>684</v>
      </c>
      <c r="H497" s="47" t="s">
        <v>97</v>
      </c>
      <c r="I497" s="47" t="s">
        <v>70</v>
      </c>
      <c r="J497" s="47" t="s">
        <v>346</v>
      </c>
      <c r="K497" s="327"/>
      <c r="L497" s="47" t="s">
        <v>71</v>
      </c>
      <c r="M497" s="47" t="s">
        <v>1358</v>
      </c>
    </row>
    <row r="498">
      <c r="A498" s="328">
        <v>44309.0</v>
      </c>
      <c r="B498" s="47" t="s">
        <v>43</v>
      </c>
      <c r="C498" s="47" t="s">
        <v>20</v>
      </c>
      <c r="D498" s="47" t="s">
        <v>58</v>
      </c>
      <c r="E498" s="47" t="s">
        <v>22</v>
      </c>
      <c r="F498" s="47" t="s">
        <v>16</v>
      </c>
      <c r="G498" s="47" t="s">
        <v>685</v>
      </c>
      <c r="H498" s="47" t="s">
        <v>97</v>
      </c>
      <c r="I498" s="47" t="s">
        <v>463</v>
      </c>
      <c r="J498" s="47" t="s">
        <v>66</v>
      </c>
      <c r="K498" s="327"/>
      <c r="L498" s="47" t="s">
        <v>71</v>
      </c>
      <c r="M498" s="47" t="s">
        <v>1358</v>
      </c>
    </row>
    <row r="499">
      <c r="A499" s="328">
        <v>44300.0</v>
      </c>
      <c r="B499" s="47" t="s">
        <v>43</v>
      </c>
      <c r="C499" s="47" t="s">
        <v>20</v>
      </c>
      <c r="D499" s="47" t="s">
        <v>44</v>
      </c>
      <c r="E499" s="47" t="s">
        <v>22</v>
      </c>
      <c r="F499" s="47" t="s">
        <v>16</v>
      </c>
      <c r="G499" s="47" t="s">
        <v>686</v>
      </c>
      <c r="H499" s="47" t="s">
        <v>97</v>
      </c>
      <c r="I499" s="327"/>
      <c r="J499" s="327"/>
      <c r="K499" s="327"/>
      <c r="L499" s="47" t="s">
        <v>167</v>
      </c>
      <c r="M499" s="47" t="s">
        <v>1358</v>
      </c>
    </row>
    <row r="500">
      <c r="A500" s="328">
        <v>44297.0</v>
      </c>
      <c r="B500" s="47" t="s">
        <v>43</v>
      </c>
      <c r="C500" s="47" t="s">
        <v>30</v>
      </c>
      <c r="D500" s="47" t="s">
        <v>44</v>
      </c>
      <c r="E500" s="47" t="s">
        <v>22</v>
      </c>
      <c r="F500" s="47" t="s">
        <v>16</v>
      </c>
      <c r="G500" s="47" t="s">
        <v>687</v>
      </c>
      <c r="H500" s="47" t="s">
        <v>97</v>
      </c>
      <c r="I500" s="47" t="s">
        <v>127</v>
      </c>
      <c r="J500" s="327"/>
      <c r="K500" s="327"/>
      <c r="L500" s="47" t="s">
        <v>144</v>
      </c>
      <c r="M500" s="47" t="s">
        <v>1358</v>
      </c>
    </row>
    <row r="501">
      <c r="A501" s="328">
        <v>44297.0</v>
      </c>
      <c r="B501" s="47" t="s">
        <v>43</v>
      </c>
      <c r="C501" s="47" t="s">
        <v>30</v>
      </c>
      <c r="D501" s="47" t="s">
        <v>44</v>
      </c>
      <c r="E501" s="47" t="s">
        <v>22</v>
      </c>
      <c r="F501" s="47" t="s">
        <v>16</v>
      </c>
      <c r="G501" s="47" t="s">
        <v>688</v>
      </c>
      <c r="H501" s="47" t="s">
        <v>97</v>
      </c>
      <c r="I501" s="47" t="s">
        <v>127</v>
      </c>
      <c r="J501" s="327"/>
      <c r="K501" s="327"/>
      <c r="L501" s="47" t="s">
        <v>63</v>
      </c>
      <c r="M501" s="47" t="s">
        <v>1358</v>
      </c>
    </row>
    <row r="502">
      <c r="A502" s="328">
        <v>44298.0</v>
      </c>
      <c r="B502" s="47" t="s">
        <v>43</v>
      </c>
      <c r="C502" s="47" t="s">
        <v>36</v>
      </c>
      <c r="D502" s="47" t="s">
        <v>44</v>
      </c>
      <c r="E502" s="47" t="s">
        <v>22</v>
      </c>
      <c r="F502" s="47" t="s">
        <v>16</v>
      </c>
      <c r="G502" s="47" t="s">
        <v>689</v>
      </c>
      <c r="H502" s="47" t="s">
        <v>61</v>
      </c>
      <c r="I502" s="47" t="s">
        <v>66</v>
      </c>
      <c r="J502" s="327"/>
      <c r="K502" s="327"/>
      <c r="L502" s="47" t="s">
        <v>71</v>
      </c>
      <c r="M502" s="47" t="s">
        <v>1358</v>
      </c>
    </row>
    <row r="503">
      <c r="A503" s="328">
        <v>44298.0</v>
      </c>
      <c r="B503" s="47" t="s">
        <v>43</v>
      </c>
      <c r="C503" s="47" t="s">
        <v>36</v>
      </c>
      <c r="D503" s="47" t="s">
        <v>44</v>
      </c>
      <c r="E503" s="47" t="s">
        <v>22</v>
      </c>
      <c r="F503" s="47" t="s">
        <v>16</v>
      </c>
      <c r="G503" s="47" t="s">
        <v>690</v>
      </c>
      <c r="H503" s="327"/>
      <c r="I503" s="47" t="s">
        <v>66</v>
      </c>
      <c r="J503" s="47" t="s">
        <v>463</v>
      </c>
      <c r="K503" s="327"/>
      <c r="L503" s="47" t="s">
        <v>71</v>
      </c>
      <c r="M503" s="47" t="s">
        <v>1358</v>
      </c>
    </row>
    <row r="504">
      <c r="A504" s="328">
        <v>44298.0</v>
      </c>
      <c r="B504" s="47" t="s">
        <v>43</v>
      </c>
      <c r="C504" s="47" t="s">
        <v>36</v>
      </c>
      <c r="D504" s="47" t="s">
        <v>386</v>
      </c>
      <c r="E504" s="47" t="s">
        <v>22</v>
      </c>
      <c r="F504" s="47" t="s">
        <v>16</v>
      </c>
      <c r="G504" s="47" t="s">
        <v>691</v>
      </c>
      <c r="H504" s="47" t="s">
        <v>61</v>
      </c>
      <c r="I504" s="47" t="s">
        <v>66</v>
      </c>
      <c r="J504" s="47" t="s">
        <v>463</v>
      </c>
      <c r="K504" s="327"/>
      <c r="L504" s="47" t="s">
        <v>71</v>
      </c>
      <c r="M504" s="47" t="s">
        <v>1358</v>
      </c>
    </row>
    <row r="505">
      <c r="A505" s="328">
        <v>44275.0</v>
      </c>
      <c r="B505" s="47" t="s">
        <v>56</v>
      </c>
      <c r="C505" s="47" t="s">
        <v>57</v>
      </c>
      <c r="D505" s="47" t="s">
        <v>21</v>
      </c>
      <c r="E505" s="47" t="s">
        <v>22</v>
      </c>
      <c r="F505" s="47" t="s">
        <v>16</v>
      </c>
      <c r="G505" s="47" t="s">
        <v>692</v>
      </c>
      <c r="H505" s="327"/>
      <c r="I505" s="47" t="s">
        <v>334</v>
      </c>
      <c r="J505" s="327"/>
      <c r="K505" s="327"/>
      <c r="L505" s="47" t="s">
        <v>68</v>
      </c>
      <c r="M505" s="47" t="s">
        <v>1358</v>
      </c>
    </row>
    <row r="506">
      <c r="A506" s="328">
        <v>44231.0</v>
      </c>
      <c r="B506" s="47" t="s">
        <v>75</v>
      </c>
      <c r="C506" s="47" t="s">
        <v>26</v>
      </c>
      <c r="D506" s="47" t="s">
        <v>77</v>
      </c>
      <c r="E506" s="47" t="s">
        <v>22</v>
      </c>
      <c r="F506" s="47" t="s">
        <v>16</v>
      </c>
      <c r="G506" s="47" t="s">
        <v>693</v>
      </c>
      <c r="H506" s="327"/>
      <c r="I506" s="47" t="s">
        <v>70</v>
      </c>
      <c r="J506" s="47" t="s">
        <v>66</v>
      </c>
      <c r="K506" s="327"/>
      <c r="L506" s="47" t="s">
        <v>63</v>
      </c>
      <c r="M506" s="47" t="s">
        <v>1358</v>
      </c>
    </row>
    <row r="507">
      <c r="A507" s="328">
        <v>44221.0</v>
      </c>
      <c r="B507" s="47" t="s">
        <v>75</v>
      </c>
      <c r="C507" s="47" t="s">
        <v>49</v>
      </c>
      <c r="D507" s="47" t="s">
        <v>77</v>
      </c>
      <c r="E507" s="47" t="s">
        <v>22</v>
      </c>
      <c r="F507" s="47" t="s">
        <v>16</v>
      </c>
      <c r="G507" s="47" t="s">
        <v>694</v>
      </c>
      <c r="H507" s="327"/>
      <c r="I507" s="47" t="s">
        <v>115</v>
      </c>
      <c r="J507" s="47" t="s">
        <v>66</v>
      </c>
      <c r="K507" s="327"/>
      <c r="L507" s="47" t="s">
        <v>63</v>
      </c>
      <c r="M507" s="47" t="s">
        <v>1358</v>
      </c>
    </row>
    <row r="508">
      <c r="A508" s="328">
        <v>44221.0</v>
      </c>
      <c r="B508" s="47" t="s">
        <v>75</v>
      </c>
      <c r="C508" s="47" t="s">
        <v>76</v>
      </c>
      <c r="D508" s="47" t="s">
        <v>77</v>
      </c>
      <c r="E508" s="47" t="s">
        <v>22</v>
      </c>
      <c r="F508" s="47" t="s">
        <v>16</v>
      </c>
      <c r="G508" s="47" t="s">
        <v>695</v>
      </c>
      <c r="H508" s="327"/>
      <c r="I508" s="47" t="s">
        <v>346</v>
      </c>
      <c r="J508" s="327"/>
      <c r="K508" s="327"/>
      <c r="L508" s="47" t="s">
        <v>63</v>
      </c>
      <c r="M508" s="47" t="s">
        <v>1358</v>
      </c>
    </row>
    <row r="509">
      <c r="A509" s="328">
        <v>44221.0</v>
      </c>
      <c r="B509" s="47" t="s">
        <v>75</v>
      </c>
      <c r="C509" s="47" t="s">
        <v>36</v>
      </c>
      <c r="D509" s="47" t="s">
        <v>77</v>
      </c>
      <c r="E509" s="47" t="s">
        <v>22</v>
      </c>
      <c r="F509" s="47" t="s">
        <v>16</v>
      </c>
      <c r="G509" s="47" t="s">
        <v>696</v>
      </c>
      <c r="H509" s="327"/>
      <c r="I509" s="47" t="s">
        <v>66</v>
      </c>
      <c r="J509" s="47" t="s">
        <v>334</v>
      </c>
      <c r="K509" s="327"/>
      <c r="L509" s="47" t="s">
        <v>63</v>
      </c>
      <c r="M509" s="47" t="s">
        <v>1358</v>
      </c>
    </row>
    <row r="510">
      <c r="A510" s="328">
        <v>44292.0</v>
      </c>
      <c r="B510" s="47" t="s">
        <v>25</v>
      </c>
      <c r="C510" s="47" t="s">
        <v>30</v>
      </c>
      <c r="D510" s="47" t="s">
        <v>95</v>
      </c>
      <c r="E510" s="47" t="s">
        <v>22</v>
      </c>
      <c r="F510" s="47" t="s">
        <v>16</v>
      </c>
      <c r="G510" s="47" t="s">
        <v>697</v>
      </c>
      <c r="H510" s="47" t="s">
        <v>112</v>
      </c>
      <c r="I510" s="47" t="s">
        <v>127</v>
      </c>
      <c r="J510" s="47" t="s">
        <v>127</v>
      </c>
      <c r="K510" s="327"/>
      <c r="L510" s="47" t="s">
        <v>71</v>
      </c>
      <c r="M510" s="47" t="s">
        <v>1359</v>
      </c>
    </row>
    <row r="511">
      <c r="A511" s="328">
        <v>44269.0</v>
      </c>
      <c r="B511" s="47" t="s">
        <v>25</v>
      </c>
      <c r="C511" s="47" t="s">
        <v>49</v>
      </c>
      <c r="D511" s="47" t="s">
        <v>89</v>
      </c>
      <c r="E511" s="47" t="s">
        <v>15</v>
      </c>
      <c r="F511" s="47" t="s">
        <v>16</v>
      </c>
      <c r="G511" s="47" t="s">
        <v>1360</v>
      </c>
      <c r="H511" s="47" t="s">
        <v>112</v>
      </c>
      <c r="I511" s="47" t="s">
        <v>115</v>
      </c>
      <c r="J511" s="47" t="s">
        <v>699</v>
      </c>
      <c r="K511" s="327"/>
      <c r="L511" s="47" t="s">
        <v>71</v>
      </c>
      <c r="M511" s="47" t="s">
        <v>1359</v>
      </c>
    </row>
    <row r="512">
      <c r="A512" s="328">
        <v>44222.0</v>
      </c>
      <c r="B512" s="47" t="s">
        <v>19</v>
      </c>
      <c r="C512" s="47" t="s">
        <v>76</v>
      </c>
      <c r="D512" s="47" t="s">
        <v>700</v>
      </c>
      <c r="E512" s="47" t="s">
        <v>22</v>
      </c>
      <c r="F512" s="47" t="s">
        <v>16</v>
      </c>
      <c r="G512" s="47" t="s">
        <v>701</v>
      </c>
      <c r="H512" s="47" t="s">
        <v>61</v>
      </c>
      <c r="I512" s="47" t="s">
        <v>70</v>
      </c>
      <c r="J512" s="327"/>
      <c r="K512" s="327"/>
      <c r="L512" s="47" t="s">
        <v>71</v>
      </c>
      <c r="M512" s="47" t="s">
        <v>1359</v>
      </c>
    </row>
    <row r="513">
      <c r="A513" s="328">
        <v>44222.0</v>
      </c>
      <c r="B513" s="47" t="s">
        <v>19</v>
      </c>
      <c r="C513" s="47" t="s">
        <v>76</v>
      </c>
      <c r="D513" s="47" t="s">
        <v>700</v>
      </c>
      <c r="E513" s="47" t="s">
        <v>22</v>
      </c>
      <c r="F513" s="47" t="s">
        <v>16</v>
      </c>
      <c r="G513" s="47" t="s">
        <v>702</v>
      </c>
      <c r="H513" s="47" t="s">
        <v>61</v>
      </c>
      <c r="I513" s="47" t="s">
        <v>346</v>
      </c>
      <c r="J513" s="47" t="s">
        <v>699</v>
      </c>
      <c r="K513" s="327"/>
      <c r="L513" s="47" t="s">
        <v>71</v>
      </c>
      <c r="M513" s="47" t="s">
        <v>1359</v>
      </c>
    </row>
    <row r="514">
      <c r="A514" s="328">
        <v>44217.0</v>
      </c>
      <c r="B514" s="47" t="s">
        <v>43</v>
      </c>
      <c r="C514" s="47" t="s">
        <v>49</v>
      </c>
      <c r="D514" s="47" t="s">
        <v>58</v>
      </c>
      <c r="E514" s="47" t="s">
        <v>22</v>
      </c>
      <c r="F514" s="47" t="s">
        <v>16</v>
      </c>
      <c r="G514" s="47" t="s">
        <v>703</v>
      </c>
      <c r="H514" s="47" t="s">
        <v>97</v>
      </c>
      <c r="I514" s="47" t="s">
        <v>115</v>
      </c>
      <c r="J514" s="327"/>
      <c r="K514" s="327"/>
      <c r="L514" s="47" t="s">
        <v>162</v>
      </c>
      <c r="M514" s="47" t="s">
        <v>1359</v>
      </c>
    </row>
    <row r="515">
      <c r="A515" s="328">
        <v>44175.0</v>
      </c>
      <c r="B515" s="47" t="s">
        <v>43</v>
      </c>
      <c r="C515" s="47" t="s">
        <v>26</v>
      </c>
      <c r="D515" s="47" t="s">
        <v>58</v>
      </c>
      <c r="E515" s="47" t="s">
        <v>22</v>
      </c>
      <c r="F515" s="47" t="s">
        <v>16</v>
      </c>
      <c r="G515" s="47" t="s">
        <v>704</v>
      </c>
      <c r="H515" s="327"/>
      <c r="I515" s="47" t="s">
        <v>334</v>
      </c>
      <c r="J515" s="327"/>
      <c r="K515" s="327"/>
      <c r="L515" s="47" t="s">
        <v>68</v>
      </c>
      <c r="M515" s="47" t="s">
        <v>1359</v>
      </c>
    </row>
    <row r="516">
      <c r="A516" s="328">
        <v>44175.0</v>
      </c>
      <c r="B516" s="47" t="s">
        <v>56</v>
      </c>
      <c r="C516" s="47" t="s">
        <v>371</v>
      </c>
      <c r="D516" s="47" t="s">
        <v>58</v>
      </c>
      <c r="E516" s="47" t="s">
        <v>22</v>
      </c>
      <c r="F516" s="47" t="s">
        <v>16</v>
      </c>
      <c r="G516" s="47" t="s">
        <v>705</v>
      </c>
      <c r="H516" s="47" t="s">
        <v>97</v>
      </c>
      <c r="I516" s="47" t="s">
        <v>70</v>
      </c>
      <c r="J516" s="327"/>
      <c r="K516" s="327"/>
      <c r="L516" s="47" t="s">
        <v>71</v>
      </c>
      <c r="M516" s="47" t="s">
        <v>1359</v>
      </c>
    </row>
    <row r="517">
      <c r="A517" s="328">
        <v>44218.0</v>
      </c>
      <c r="B517" s="47" t="s">
        <v>43</v>
      </c>
      <c r="C517" s="47" t="s">
        <v>49</v>
      </c>
      <c r="D517" s="47" t="s">
        <v>58</v>
      </c>
      <c r="E517" s="47" t="s">
        <v>64</v>
      </c>
      <c r="F517" s="47" t="s">
        <v>16</v>
      </c>
      <c r="G517" s="47" t="s">
        <v>706</v>
      </c>
      <c r="H517" s="47" t="s">
        <v>61</v>
      </c>
      <c r="I517" s="47" t="s">
        <v>115</v>
      </c>
      <c r="J517" s="327"/>
      <c r="K517" s="327"/>
      <c r="L517" s="47" t="s">
        <v>68</v>
      </c>
      <c r="M517" s="47" t="s">
        <v>1359</v>
      </c>
    </row>
    <row r="518">
      <c r="A518" s="328">
        <v>44179.0</v>
      </c>
      <c r="B518" s="47" t="s">
        <v>56</v>
      </c>
      <c r="C518" s="47" t="s">
        <v>26</v>
      </c>
      <c r="D518" s="47" t="s">
        <v>14</v>
      </c>
      <c r="E518" s="47" t="s">
        <v>22</v>
      </c>
      <c r="F518" s="47" t="s">
        <v>16</v>
      </c>
      <c r="G518" s="47" t="s">
        <v>707</v>
      </c>
      <c r="H518" s="47" t="s">
        <v>708</v>
      </c>
      <c r="I518" s="47" t="s">
        <v>70</v>
      </c>
      <c r="J518" s="327"/>
      <c r="K518" s="327"/>
      <c r="L518" s="47" t="s">
        <v>68</v>
      </c>
      <c r="M518" s="47" t="s">
        <v>1359</v>
      </c>
    </row>
    <row r="519">
      <c r="A519" s="328">
        <v>44168.0</v>
      </c>
      <c r="B519" s="47" t="s">
        <v>56</v>
      </c>
      <c r="C519" s="47" t="s">
        <v>30</v>
      </c>
      <c r="D519" s="47" t="s">
        <v>44</v>
      </c>
      <c r="E519" s="47" t="s">
        <v>22</v>
      </c>
      <c r="F519" s="47" t="s">
        <v>16</v>
      </c>
      <c r="G519" s="47" t="s">
        <v>709</v>
      </c>
      <c r="H519" s="327"/>
      <c r="I519" s="47" t="s">
        <v>127</v>
      </c>
      <c r="J519" s="327"/>
      <c r="K519" s="327"/>
      <c r="L519" s="47" t="s">
        <v>167</v>
      </c>
      <c r="M519" s="47" t="s">
        <v>1359</v>
      </c>
    </row>
    <row r="520">
      <c r="A520" s="328">
        <v>44168.0</v>
      </c>
      <c r="B520" s="47" t="s">
        <v>56</v>
      </c>
      <c r="C520" s="47" t="s">
        <v>26</v>
      </c>
      <c r="D520" s="47" t="s">
        <v>14</v>
      </c>
      <c r="E520" s="47" t="s">
        <v>64</v>
      </c>
      <c r="F520" s="47" t="s">
        <v>16</v>
      </c>
      <c r="G520" s="47" t="s">
        <v>710</v>
      </c>
      <c r="H520" s="47" t="s">
        <v>61</v>
      </c>
      <c r="I520" s="327"/>
      <c r="J520" s="327"/>
      <c r="K520" s="327"/>
      <c r="L520" s="47" t="s">
        <v>68</v>
      </c>
      <c r="M520" s="47" t="s">
        <v>1359</v>
      </c>
    </row>
    <row r="521">
      <c r="A521" s="328">
        <v>44159.0</v>
      </c>
      <c r="B521" s="47" t="s">
        <v>56</v>
      </c>
      <c r="C521" s="47" t="s">
        <v>26</v>
      </c>
      <c r="D521" s="47" t="s">
        <v>27</v>
      </c>
      <c r="E521" s="47" t="s">
        <v>64</v>
      </c>
      <c r="F521" s="47" t="s">
        <v>16</v>
      </c>
      <c r="G521" s="47" t="s">
        <v>711</v>
      </c>
      <c r="H521" s="327"/>
      <c r="I521" s="47" t="s">
        <v>66</v>
      </c>
      <c r="J521" s="47" t="s">
        <v>67</v>
      </c>
      <c r="K521" s="327"/>
      <c r="L521" s="47" t="s">
        <v>63</v>
      </c>
      <c r="M521" s="47" t="s">
        <v>1359</v>
      </c>
    </row>
    <row r="522">
      <c r="A522" s="328">
        <v>44166.0</v>
      </c>
      <c r="B522" s="47" t="s">
        <v>56</v>
      </c>
      <c r="C522" s="47" t="s">
        <v>83</v>
      </c>
      <c r="D522" s="47" t="s">
        <v>44</v>
      </c>
      <c r="E522" s="47" t="s">
        <v>64</v>
      </c>
      <c r="F522" s="47" t="s">
        <v>16</v>
      </c>
      <c r="G522" s="47" t="s">
        <v>712</v>
      </c>
      <c r="H522" s="47" t="s">
        <v>61</v>
      </c>
      <c r="I522" s="47" t="s">
        <v>66</v>
      </c>
      <c r="J522" s="327"/>
      <c r="K522" s="327"/>
      <c r="L522" s="47" t="s">
        <v>71</v>
      </c>
      <c r="M522" s="47" t="s">
        <v>1359</v>
      </c>
    </row>
    <row r="523">
      <c r="A523" s="328">
        <v>43987.0</v>
      </c>
      <c r="B523" s="47" t="s">
        <v>327</v>
      </c>
      <c r="C523" s="47" t="s">
        <v>72</v>
      </c>
      <c r="D523" s="47" t="s">
        <v>27</v>
      </c>
      <c r="E523" s="47" t="s">
        <v>64</v>
      </c>
      <c r="F523" s="47" t="s">
        <v>16</v>
      </c>
      <c r="G523" s="47" t="s">
        <v>713</v>
      </c>
      <c r="H523" s="327"/>
      <c r="I523" s="47" t="s">
        <v>74</v>
      </c>
      <c r="J523" s="47" t="s">
        <v>70</v>
      </c>
      <c r="K523" s="327"/>
      <c r="L523" s="47" t="s">
        <v>71</v>
      </c>
      <c r="M523" s="47" t="s">
        <v>1359</v>
      </c>
    </row>
    <row r="524">
      <c r="A524" s="328">
        <v>43705.0</v>
      </c>
      <c r="B524" s="47" t="s">
        <v>172</v>
      </c>
      <c r="C524" s="47" t="s">
        <v>49</v>
      </c>
      <c r="D524" s="47" t="s">
        <v>14</v>
      </c>
      <c r="E524" s="47" t="s">
        <v>22</v>
      </c>
      <c r="F524" s="47" t="s">
        <v>16</v>
      </c>
      <c r="G524" s="47" t="s">
        <v>715</v>
      </c>
      <c r="H524" s="47" t="s">
        <v>61</v>
      </c>
      <c r="I524" s="327"/>
      <c r="J524" s="327"/>
      <c r="K524" s="327"/>
      <c r="L524" s="47" t="s">
        <v>71</v>
      </c>
      <c r="M524" s="47" t="s">
        <v>1361</v>
      </c>
    </row>
    <row r="525">
      <c r="A525" s="328">
        <v>43697.0</v>
      </c>
      <c r="B525" s="47" t="s">
        <v>172</v>
      </c>
      <c r="C525" s="47" t="s">
        <v>13</v>
      </c>
      <c r="D525" s="47" t="s">
        <v>14</v>
      </c>
      <c r="E525" s="47" t="s">
        <v>22</v>
      </c>
      <c r="F525" s="47" t="s">
        <v>16</v>
      </c>
      <c r="G525" s="47" t="s">
        <v>716</v>
      </c>
      <c r="H525" s="47" t="s">
        <v>97</v>
      </c>
      <c r="I525" s="47" t="s">
        <v>717</v>
      </c>
      <c r="J525" s="47" t="s">
        <v>66</v>
      </c>
      <c r="K525" s="327"/>
      <c r="L525" s="47" t="s">
        <v>71</v>
      </c>
      <c r="M525" s="47" t="s">
        <v>1361</v>
      </c>
    </row>
    <row r="526">
      <c r="A526" s="328">
        <v>43686.0</v>
      </c>
      <c r="B526" s="47" t="s">
        <v>172</v>
      </c>
      <c r="C526" s="47" t="s">
        <v>49</v>
      </c>
      <c r="D526" s="47" t="s">
        <v>14</v>
      </c>
      <c r="E526" s="47" t="s">
        <v>15</v>
      </c>
      <c r="F526" s="47" t="s">
        <v>16</v>
      </c>
      <c r="G526" s="47" t="s">
        <v>718</v>
      </c>
      <c r="H526" s="47" t="s">
        <v>97</v>
      </c>
      <c r="I526" s="47" t="s">
        <v>66</v>
      </c>
      <c r="J526" s="47" t="s">
        <v>115</v>
      </c>
      <c r="K526" s="327"/>
      <c r="L526" s="47" t="s">
        <v>71</v>
      </c>
      <c r="M526" s="47" t="s">
        <v>1361</v>
      </c>
    </row>
    <row r="527">
      <c r="A527" s="328">
        <v>43686.0</v>
      </c>
      <c r="B527" s="47" t="s">
        <v>172</v>
      </c>
      <c r="C527" s="47" t="s">
        <v>49</v>
      </c>
      <c r="D527" s="47" t="s">
        <v>14</v>
      </c>
      <c r="E527" s="47" t="s">
        <v>22</v>
      </c>
      <c r="F527" s="47" t="s">
        <v>16</v>
      </c>
      <c r="G527" s="47" t="s">
        <v>1362</v>
      </c>
      <c r="H527" s="47" t="s">
        <v>61</v>
      </c>
      <c r="I527" s="47" t="s">
        <v>66</v>
      </c>
      <c r="J527" s="47" t="s">
        <v>720</v>
      </c>
      <c r="K527" s="327"/>
      <c r="L527" s="47" t="s">
        <v>71</v>
      </c>
      <c r="M527" s="47" t="s">
        <v>1361</v>
      </c>
    </row>
    <row r="528">
      <c r="A528" s="328">
        <v>43686.0</v>
      </c>
      <c r="B528" s="47" t="s">
        <v>172</v>
      </c>
      <c r="C528" s="47" t="s">
        <v>20</v>
      </c>
      <c r="D528" s="47" t="s">
        <v>14</v>
      </c>
      <c r="E528" s="47" t="s">
        <v>22</v>
      </c>
      <c r="F528" s="47" t="s">
        <v>64</v>
      </c>
      <c r="G528" s="47" t="s">
        <v>721</v>
      </c>
      <c r="H528" s="327"/>
      <c r="I528" s="47" t="s">
        <v>67</v>
      </c>
      <c r="J528" s="327"/>
      <c r="K528" s="327"/>
      <c r="L528" s="47" t="s">
        <v>68</v>
      </c>
      <c r="M528" s="47" t="s">
        <v>1361</v>
      </c>
    </row>
    <row r="529">
      <c r="A529" s="328">
        <v>43686.0</v>
      </c>
      <c r="B529" s="47" t="s">
        <v>172</v>
      </c>
      <c r="C529" s="47" t="s">
        <v>72</v>
      </c>
      <c r="D529" s="47" t="s">
        <v>14</v>
      </c>
      <c r="E529" s="47" t="s">
        <v>22</v>
      </c>
      <c r="F529" s="47" t="s">
        <v>16</v>
      </c>
      <c r="G529" s="47" t="s">
        <v>722</v>
      </c>
      <c r="H529" s="47" t="s">
        <v>97</v>
      </c>
      <c r="I529" s="47" t="s">
        <v>74</v>
      </c>
      <c r="J529" s="327"/>
      <c r="K529" s="327"/>
      <c r="L529" s="47" t="s">
        <v>68</v>
      </c>
      <c r="M529" s="47" t="s">
        <v>1361</v>
      </c>
    </row>
    <row r="530">
      <c r="A530" s="328">
        <v>43686.0</v>
      </c>
      <c r="B530" s="47" t="s">
        <v>172</v>
      </c>
      <c r="C530" s="47" t="s">
        <v>723</v>
      </c>
      <c r="D530" s="47" t="s">
        <v>14</v>
      </c>
      <c r="E530" s="47" t="s">
        <v>22</v>
      </c>
      <c r="F530" s="47" t="s">
        <v>16</v>
      </c>
      <c r="G530" s="47" t="s">
        <v>724</v>
      </c>
      <c r="H530" s="47" t="s">
        <v>97</v>
      </c>
      <c r="I530" s="47" t="s">
        <v>346</v>
      </c>
      <c r="J530" s="327"/>
      <c r="K530" s="327"/>
      <c r="L530" s="47" t="s">
        <v>68</v>
      </c>
      <c r="M530" s="47" t="s">
        <v>1361</v>
      </c>
    </row>
    <row r="531">
      <c r="A531" s="328">
        <v>43686.0</v>
      </c>
      <c r="B531" s="47" t="s">
        <v>172</v>
      </c>
      <c r="C531" s="47" t="s">
        <v>13</v>
      </c>
      <c r="D531" s="47" t="s">
        <v>14</v>
      </c>
      <c r="E531" s="47" t="s">
        <v>22</v>
      </c>
      <c r="F531" s="47" t="s">
        <v>16</v>
      </c>
      <c r="G531" s="47" t="s">
        <v>725</v>
      </c>
      <c r="H531" s="47" t="s">
        <v>97</v>
      </c>
      <c r="I531" s="47" t="s">
        <v>79</v>
      </c>
      <c r="J531" s="327"/>
      <c r="K531" s="327"/>
      <c r="L531" s="47" t="s">
        <v>68</v>
      </c>
      <c r="M531" s="47" t="s">
        <v>1361</v>
      </c>
    </row>
    <row r="532">
      <c r="A532" s="328">
        <v>43686.0</v>
      </c>
      <c r="B532" s="47" t="s">
        <v>172</v>
      </c>
      <c r="C532" s="47" t="s">
        <v>30</v>
      </c>
      <c r="D532" s="47" t="s">
        <v>14</v>
      </c>
      <c r="E532" s="47" t="s">
        <v>22</v>
      </c>
      <c r="F532" s="47" t="s">
        <v>16</v>
      </c>
      <c r="G532" s="47" t="s">
        <v>726</v>
      </c>
      <c r="H532" s="47" t="s">
        <v>97</v>
      </c>
      <c r="I532" s="47" t="s">
        <v>127</v>
      </c>
      <c r="J532" s="327"/>
      <c r="K532" s="327"/>
      <c r="L532" s="47" t="s">
        <v>71</v>
      </c>
      <c r="M532" s="47" t="s">
        <v>1361</v>
      </c>
    </row>
    <row r="533">
      <c r="A533" s="328">
        <v>43667.0</v>
      </c>
      <c r="B533" s="47" t="s">
        <v>172</v>
      </c>
      <c r="C533" s="47" t="s">
        <v>49</v>
      </c>
      <c r="D533" s="47" t="s">
        <v>14</v>
      </c>
      <c r="E533" s="47" t="s">
        <v>22</v>
      </c>
      <c r="F533" s="47" t="s">
        <v>16</v>
      </c>
      <c r="G533" s="47" t="s">
        <v>727</v>
      </c>
      <c r="H533" s="47" t="s">
        <v>97</v>
      </c>
      <c r="I533" s="47" t="s">
        <v>66</v>
      </c>
      <c r="J533" s="47" t="s">
        <v>720</v>
      </c>
      <c r="K533" s="327"/>
      <c r="L533" s="47" t="s">
        <v>71</v>
      </c>
      <c r="M533" s="47" t="s">
        <v>1361</v>
      </c>
    </row>
    <row r="534">
      <c r="A534" s="328">
        <v>43665.0</v>
      </c>
      <c r="B534" s="47" t="s">
        <v>172</v>
      </c>
      <c r="C534" s="47" t="s">
        <v>30</v>
      </c>
      <c r="D534" s="47" t="s">
        <v>27</v>
      </c>
      <c r="E534" s="47" t="s">
        <v>22</v>
      </c>
      <c r="F534" s="47" t="s">
        <v>16</v>
      </c>
      <c r="G534" s="47" t="s">
        <v>728</v>
      </c>
      <c r="H534" s="47" t="s">
        <v>61</v>
      </c>
      <c r="I534" s="47" t="s">
        <v>127</v>
      </c>
      <c r="J534" s="327"/>
      <c r="K534" s="327"/>
      <c r="L534" s="47" t="s">
        <v>71</v>
      </c>
      <c r="M534" s="47" t="s">
        <v>1361</v>
      </c>
    </row>
    <row r="535">
      <c r="A535" s="328">
        <v>43654.0</v>
      </c>
      <c r="B535" s="47" t="s">
        <v>172</v>
      </c>
      <c r="C535" s="47" t="s">
        <v>83</v>
      </c>
      <c r="D535" s="47" t="s">
        <v>27</v>
      </c>
      <c r="E535" s="47" t="s">
        <v>22</v>
      </c>
      <c r="F535" s="47" t="s">
        <v>16</v>
      </c>
      <c r="G535" s="47" t="s">
        <v>729</v>
      </c>
      <c r="H535" s="327"/>
      <c r="I535" s="327"/>
      <c r="J535" s="327"/>
      <c r="K535" s="327"/>
      <c r="L535" s="47" t="s">
        <v>71</v>
      </c>
      <c r="M535" s="47" t="s">
        <v>1361</v>
      </c>
    </row>
    <row r="536">
      <c r="A536" s="328">
        <v>43606.0</v>
      </c>
      <c r="B536" s="47" t="s">
        <v>172</v>
      </c>
      <c r="C536" s="47" t="s">
        <v>76</v>
      </c>
      <c r="D536" s="47" t="s">
        <v>27</v>
      </c>
      <c r="E536" s="47" t="s">
        <v>15</v>
      </c>
      <c r="F536" s="47" t="s">
        <v>64</v>
      </c>
      <c r="G536" s="47" t="s">
        <v>730</v>
      </c>
      <c r="H536" s="327"/>
      <c r="I536" s="327"/>
      <c r="J536" s="327"/>
      <c r="K536" s="47" t="s">
        <v>1363</v>
      </c>
      <c r="L536" s="47" t="s">
        <v>71</v>
      </c>
      <c r="M536" s="47" t="s">
        <v>1361</v>
      </c>
    </row>
    <row r="537">
      <c r="A537" s="328">
        <v>43592.0</v>
      </c>
      <c r="B537" s="47" t="s">
        <v>12</v>
      </c>
      <c r="C537" s="47" t="s">
        <v>20</v>
      </c>
      <c r="D537" s="327"/>
      <c r="E537" s="47" t="s">
        <v>15</v>
      </c>
      <c r="F537" s="47" t="s">
        <v>64</v>
      </c>
      <c r="G537" s="47" t="s">
        <v>731</v>
      </c>
      <c r="H537" s="47" t="s">
        <v>61</v>
      </c>
      <c r="I537" s="47" t="s">
        <v>67</v>
      </c>
      <c r="J537" s="47" t="s">
        <v>699</v>
      </c>
      <c r="K537" s="327"/>
      <c r="L537" s="47" t="s">
        <v>71</v>
      </c>
      <c r="M537" s="47" t="s">
        <v>1361</v>
      </c>
    </row>
    <row r="538">
      <c r="A538" s="328">
        <v>43581.0</v>
      </c>
      <c r="B538" s="47" t="s">
        <v>12</v>
      </c>
      <c r="C538" s="47" t="s">
        <v>20</v>
      </c>
      <c r="D538" s="47" t="s">
        <v>14</v>
      </c>
      <c r="E538" s="47" t="s">
        <v>22</v>
      </c>
      <c r="F538" s="47" t="s">
        <v>64</v>
      </c>
      <c r="G538" s="47" t="s">
        <v>732</v>
      </c>
      <c r="H538" s="327"/>
      <c r="I538" s="47" t="s">
        <v>67</v>
      </c>
      <c r="J538" s="327"/>
      <c r="K538" s="327"/>
      <c r="L538" s="47" t="s">
        <v>71</v>
      </c>
      <c r="M538" s="47" t="s">
        <v>1361</v>
      </c>
    </row>
    <row r="539">
      <c r="A539" s="328">
        <v>43556.0</v>
      </c>
      <c r="B539" s="47" t="s">
        <v>12</v>
      </c>
      <c r="C539" s="47" t="s">
        <v>20</v>
      </c>
      <c r="D539" s="47" t="s">
        <v>27</v>
      </c>
      <c r="E539" s="47" t="s">
        <v>22</v>
      </c>
      <c r="F539" s="47" t="s">
        <v>16</v>
      </c>
      <c r="G539" s="47" t="s">
        <v>733</v>
      </c>
      <c r="H539" s="327"/>
      <c r="I539" s="47" t="s">
        <v>67</v>
      </c>
      <c r="J539" s="47" t="s">
        <v>720</v>
      </c>
      <c r="K539" s="327"/>
      <c r="L539" s="47" t="s">
        <v>71</v>
      </c>
      <c r="M539" s="47" t="s">
        <v>1361</v>
      </c>
    </row>
    <row r="540">
      <c r="A540" s="328">
        <v>43556.0</v>
      </c>
      <c r="B540" s="47" t="s">
        <v>25</v>
      </c>
      <c r="C540" s="47" t="s">
        <v>723</v>
      </c>
      <c r="D540" s="47" t="s">
        <v>44</v>
      </c>
      <c r="E540" s="47" t="s">
        <v>22</v>
      </c>
      <c r="F540" s="47" t="s">
        <v>16</v>
      </c>
      <c r="G540" s="47" t="s">
        <v>734</v>
      </c>
      <c r="H540" s="47" t="s">
        <v>61</v>
      </c>
      <c r="I540" s="47" t="s">
        <v>346</v>
      </c>
      <c r="J540" s="47" t="s">
        <v>66</v>
      </c>
      <c r="K540" s="327"/>
      <c r="L540" s="47" t="s">
        <v>162</v>
      </c>
      <c r="M540" s="47" t="s">
        <v>1361</v>
      </c>
    </row>
    <row r="541">
      <c r="A541" s="328">
        <v>43549.0</v>
      </c>
      <c r="B541" s="47" t="s">
        <v>19</v>
      </c>
      <c r="C541" s="47" t="s">
        <v>49</v>
      </c>
      <c r="D541" s="47" t="s">
        <v>44</v>
      </c>
      <c r="E541" s="47" t="s">
        <v>22</v>
      </c>
      <c r="F541" s="47" t="s">
        <v>16</v>
      </c>
      <c r="G541" s="47" t="s">
        <v>735</v>
      </c>
      <c r="H541" s="327"/>
      <c r="I541" s="47" t="s">
        <v>115</v>
      </c>
      <c r="J541" s="327"/>
      <c r="K541" s="327"/>
      <c r="L541" s="47" t="s">
        <v>68</v>
      </c>
      <c r="M541" s="47" t="s">
        <v>1361</v>
      </c>
    </row>
    <row r="542">
      <c r="A542" s="328">
        <v>43549.0</v>
      </c>
      <c r="B542" s="47" t="s">
        <v>19</v>
      </c>
      <c r="C542" s="47" t="s">
        <v>49</v>
      </c>
      <c r="D542" s="47" t="s">
        <v>44</v>
      </c>
      <c r="E542" s="47" t="s">
        <v>22</v>
      </c>
      <c r="F542" s="47" t="s">
        <v>16</v>
      </c>
      <c r="G542" s="47" t="s">
        <v>736</v>
      </c>
      <c r="H542" s="327"/>
      <c r="I542" s="47" t="s">
        <v>115</v>
      </c>
      <c r="J542" s="327"/>
      <c r="K542" s="327"/>
      <c r="L542" s="47" t="s">
        <v>68</v>
      </c>
      <c r="M542" s="47" t="s">
        <v>1361</v>
      </c>
    </row>
    <row r="543">
      <c r="A543" s="328">
        <v>43549.0</v>
      </c>
      <c r="B543" s="47" t="s">
        <v>19</v>
      </c>
      <c r="C543" s="47" t="s">
        <v>26</v>
      </c>
      <c r="D543" s="47" t="s">
        <v>14</v>
      </c>
      <c r="E543" s="47" t="s">
        <v>22</v>
      </c>
      <c r="F543" s="47" t="s">
        <v>16</v>
      </c>
      <c r="G543" s="47" t="s">
        <v>737</v>
      </c>
      <c r="H543" s="327"/>
      <c r="I543" s="47" t="s">
        <v>66</v>
      </c>
      <c r="J543" s="327"/>
      <c r="K543" s="327"/>
      <c r="L543" s="47" t="s">
        <v>68</v>
      </c>
      <c r="M543" s="47" t="s">
        <v>1361</v>
      </c>
    </row>
    <row r="544">
      <c r="A544" s="328">
        <v>43528.0</v>
      </c>
      <c r="B544" s="47" t="s">
        <v>25</v>
      </c>
      <c r="C544" s="47" t="s">
        <v>72</v>
      </c>
      <c r="D544" s="47" t="s">
        <v>58</v>
      </c>
      <c r="E544" s="47" t="s">
        <v>15</v>
      </c>
      <c r="F544" s="47" t="s">
        <v>16</v>
      </c>
      <c r="G544" s="47" t="s">
        <v>738</v>
      </c>
      <c r="H544" s="47" t="s">
        <v>61</v>
      </c>
      <c r="I544" s="47" t="s">
        <v>74</v>
      </c>
      <c r="J544" s="47" t="s">
        <v>66</v>
      </c>
      <c r="K544" s="47" t="s">
        <v>748</v>
      </c>
      <c r="L544" s="47" t="s">
        <v>71</v>
      </c>
      <c r="M544" s="47" t="s">
        <v>1361</v>
      </c>
    </row>
    <row r="545">
      <c r="A545" s="328">
        <v>43488.0</v>
      </c>
      <c r="B545" s="47" t="s">
        <v>19</v>
      </c>
      <c r="C545" s="47" t="s">
        <v>26</v>
      </c>
      <c r="D545" s="47" t="s">
        <v>21</v>
      </c>
      <c r="E545" s="47" t="s">
        <v>22</v>
      </c>
      <c r="F545" s="47" t="s">
        <v>16</v>
      </c>
      <c r="G545" s="47" t="s">
        <v>739</v>
      </c>
      <c r="H545" s="327"/>
      <c r="I545" s="47" t="s">
        <v>463</v>
      </c>
      <c r="J545" s="327"/>
      <c r="K545" s="327"/>
      <c r="L545" s="47" t="s">
        <v>71</v>
      </c>
      <c r="M545" s="47" t="s">
        <v>1361</v>
      </c>
    </row>
    <row r="546">
      <c r="A546" s="328">
        <v>43528.0</v>
      </c>
      <c r="B546" s="47" t="s">
        <v>19</v>
      </c>
      <c r="C546" s="47" t="s">
        <v>57</v>
      </c>
      <c r="D546" s="47" t="s">
        <v>58</v>
      </c>
      <c r="E546" s="47" t="s">
        <v>22</v>
      </c>
      <c r="F546" s="47" t="s">
        <v>16</v>
      </c>
      <c r="G546" s="47" t="s">
        <v>1364</v>
      </c>
      <c r="H546" s="327"/>
      <c r="I546" s="47" t="s">
        <v>717</v>
      </c>
      <c r="J546" s="327"/>
      <c r="K546" s="327"/>
      <c r="L546" s="47" t="s">
        <v>68</v>
      </c>
      <c r="M546" s="47" t="s">
        <v>1361</v>
      </c>
    </row>
    <row r="547">
      <c r="A547" s="328">
        <v>43532.0</v>
      </c>
      <c r="B547" s="47" t="s">
        <v>25</v>
      </c>
      <c r="C547" s="47" t="s">
        <v>57</v>
      </c>
      <c r="D547" s="47" t="s">
        <v>58</v>
      </c>
      <c r="E547" s="47" t="s">
        <v>22</v>
      </c>
      <c r="F547" s="47" t="s">
        <v>16</v>
      </c>
      <c r="G547" s="47" t="s">
        <v>741</v>
      </c>
      <c r="H547" s="327"/>
      <c r="I547" s="47" t="s">
        <v>717</v>
      </c>
      <c r="J547" s="327"/>
      <c r="K547" s="327"/>
      <c r="L547" s="47" t="s">
        <v>68</v>
      </c>
      <c r="M547" s="47" t="s">
        <v>1361</v>
      </c>
    </row>
    <row r="548">
      <c r="A548" s="328">
        <v>43528.0</v>
      </c>
      <c r="B548" s="47" t="s">
        <v>19</v>
      </c>
      <c r="C548" s="47" t="s">
        <v>57</v>
      </c>
      <c r="D548" s="47" t="s">
        <v>58</v>
      </c>
      <c r="E548" s="47" t="s">
        <v>22</v>
      </c>
      <c r="F548" s="47" t="s">
        <v>16</v>
      </c>
      <c r="G548" s="47" t="s">
        <v>742</v>
      </c>
      <c r="H548" s="327"/>
      <c r="I548" s="47" t="s">
        <v>717</v>
      </c>
      <c r="J548" s="327"/>
      <c r="K548" s="327"/>
      <c r="L548" s="47" t="s">
        <v>71</v>
      </c>
      <c r="M548" s="47" t="s">
        <v>1361</v>
      </c>
    </row>
    <row r="549">
      <c r="A549" s="328">
        <v>43531.0</v>
      </c>
      <c r="B549" s="47" t="s">
        <v>25</v>
      </c>
      <c r="C549" s="47" t="s">
        <v>57</v>
      </c>
      <c r="D549" s="47" t="s">
        <v>58</v>
      </c>
      <c r="E549" s="47" t="s">
        <v>22</v>
      </c>
      <c r="F549" s="47" t="s">
        <v>16</v>
      </c>
      <c r="G549" s="47" t="s">
        <v>743</v>
      </c>
      <c r="H549" s="327"/>
      <c r="I549" s="47" t="s">
        <v>717</v>
      </c>
      <c r="J549" s="327"/>
      <c r="K549" s="327"/>
      <c r="L549" s="47" t="s">
        <v>68</v>
      </c>
      <c r="M549" s="47" t="s">
        <v>1361</v>
      </c>
    </row>
    <row r="550">
      <c r="A550" s="328">
        <v>43521.0</v>
      </c>
      <c r="B550" s="47" t="s">
        <v>19</v>
      </c>
      <c r="C550" s="47" t="s">
        <v>49</v>
      </c>
      <c r="D550" s="47" t="s">
        <v>14</v>
      </c>
      <c r="E550" s="47" t="s">
        <v>64</v>
      </c>
      <c r="F550" s="47" t="s">
        <v>16</v>
      </c>
      <c r="G550" s="47" t="s">
        <v>744</v>
      </c>
      <c r="H550" s="47" t="s">
        <v>61</v>
      </c>
      <c r="I550" s="47" t="s">
        <v>66</v>
      </c>
      <c r="J550" s="47" t="s">
        <v>115</v>
      </c>
      <c r="K550" s="327"/>
      <c r="L550" s="47" t="s">
        <v>162</v>
      </c>
      <c r="M550" s="47" t="s">
        <v>1361</v>
      </c>
    </row>
    <row r="551">
      <c r="A551" s="328">
        <v>43520.0</v>
      </c>
      <c r="B551" s="47" t="s">
        <v>19</v>
      </c>
      <c r="C551" s="47" t="s">
        <v>26</v>
      </c>
      <c r="D551" s="47" t="s">
        <v>58</v>
      </c>
      <c r="E551" s="47" t="s">
        <v>22</v>
      </c>
      <c r="F551" s="47" t="s">
        <v>16</v>
      </c>
      <c r="G551" s="47" t="s">
        <v>745</v>
      </c>
      <c r="H551" s="327"/>
      <c r="I551" s="327"/>
      <c r="J551" s="327"/>
      <c r="K551" s="327"/>
      <c r="L551" s="47" t="s">
        <v>68</v>
      </c>
      <c r="M551" s="47" t="s">
        <v>1361</v>
      </c>
    </row>
    <row r="552">
      <c r="A552" s="328">
        <v>43520.0</v>
      </c>
      <c r="B552" s="47" t="s">
        <v>43</v>
      </c>
      <c r="C552" s="47" t="s">
        <v>57</v>
      </c>
      <c r="D552" s="47" t="s">
        <v>14</v>
      </c>
      <c r="E552" s="47" t="s">
        <v>22</v>
      </c>
      <c r="F552" s="47" t="s">
        <v>16</v>
      </c>
      <c r="G552" s="47" t="s">
        <v>746</v>
      </c>
      <c r="H552" s="47" t="s">
        <v>748</v>
      </c>
      <c r="I552" s="47" t="s">
        <v>717</v>
      </c>
      <c r="J552" s="47" t="s">
        <v>74</v>
      </c>
      <c r="K552" s="47" t="s">
        <v>748</v>
      </c>
      <c r="L552" s="47" t="s">
        <v>68</v>
      </c>
      <c r="M552" s="47" t="s">
        <v>1361</v>
      </c>
    </row>
    <row r="553">
      <c r="A553" s="328">
        <v>43488.0</v>
      </c>
      <c r="B553" s="47" t="s">
        <v>43</v>
      </c>
      <c r="C553" s="47" t="s">
        <v>26</v>
      </c>
      <c r="D553" s="47" t="s">
        <v>14</v>
      </c>
      <c r="E553" s="47" t="s">
        <v>22</v>
      </c>
      <c r="F553" s="47" t="s">
        <v>16</v>
      </c>
      <c r="G553" s="47" t="s">
        <v>747</v>
      </c>
      <c r="H553" s="47" t="s">
        <v>748</v>
      </c>
      <c r="I553" s="47" t="s">
        <v>66</v>
      </c>
      <c r="J553" s="47" t="s">
        <v>67</v>
      </c>
      <c r="K553" s="327"/>
      <c r="L553" s="47" t="s">
        <v>167</v>
      </c>
      <c r="M553" s="47" t="s">
        <v>1361</v>
      </c>
    </row>
    <row r="554">
      <c r="A554" s="328">
        <v>43495.0</v>
      </c>
      <c r="B554" s="47" t="s">
        <v>19</v>
      </c>
      <c r="C554" s="47" t="s">
        <v>20</v>
      </c>
      <c r="D554" s="47" t="s">
        <v>44</v>
      </c>
      <c r="E554" s="47" t="s">
        <v>22</v>
      </c>
      <c r="F554" s="47" t="s">
        <v>16</v>
      </c>
      <c r="G554" s="47" t="s">
        <v>749</v>
      </c>
      <c r="H554" s="47" t="s">
        <v>748</v>
      </c>
      <c r="I554" s="47" t="s">
        <v>70</v>
      </c>
      <c r="J554" s="47" t="s">
        <v>67</v>
      </c>
      <c r="K554" s="327"/>
      <c r="L554" s="47" t="s">
        <v>68</v>
      </c>
      <c r="M554" s="47" t="s">
        <v>1361</v>
      </c>
    </row>
    <row r="555">
      <c r="A555" s="328">
        <v>43488.0</v>
      </c>
      <c r="B555" s="47" t="s">
        <v>43</v>
      </c>
      <c r="C555" s="47" t="s">
        <v>26</v>
      </c>
      <c r="D555" s="47" t="s">
        <v>21</v>
      </c>
      <c r="E555" s="47" t="s">
        <v>22</v>
      </c>
      <c r="F555" s="47" t="s">
        <v>16</v>
      </c>
      <c r="G555" s="47" t="s">
        <v>750</v>
      </c>
      <c r="H555" s="47" t="s">
        <v>61</v>
      </c>
      <c r="I555" s="47" t="s">
        <v>66</v>
      </c>
      <c r="J555" s="327"/>
      <c r="K555" s="327"/>
      <c r="L555" s="47" t="s">
        <v>68</v>
      </c>
      <c r="M555" s="47" t="s">
        <v>1361</v>
      </c>
    </row>
    <row r="556">
      <c r="A556" s="328">
        <v>43488.0</v>
      </c>
      <c r="B556" s="47" t="s">
        <v>19</v>
      </c>
      <c r="C556" s="47" t="s">
        <v>49</v>
      </c>
      <c r="D556" s="47" t="s">
        <v>27</v>
      </c>
      <c r="E556" s="47" t="s">
        <v>22</v>
      </c>
      <c r="F556" s="47" t="s">
        <v>16</v>
      </c>
      <c r="G556" s="47" t="s">
        <v>751</v>
      </c>
      <c r="H556" s="47" t="s">
        <v>112</v>
      </c>
      <c r="I556" s="47" t="s">
        <v>115</v>
      </c>
      <c r="J556" s="327"/>
      <c r="K556" s="327"/>
      <c r="L556" s="47" t="s">
        <v>71</v>
      </c>
      <c r="M556" s="47" t="s">
        <v>1361</v>
      </c>
    </row>
    <row r="557">
      <c r="A557" s="328">
        <v>43488.0</v>
      </c>
      <c r="B557" s="47" t="s">
        <v>19</v>
      </c>
      <c r="C557" s="47" t="s">
        <v>723</v>
      </c>
      <c r="D557" s="47" t="s">
        <v>44</v>
      </c>
      <c r="E557" s="47" t="s">
        <v>22</v>
      </c>
      <c r="F557" s="47" t="s">
        <v>16</v>
      </c>
      <c r="G557" s="47" t="s">
        <v>752</v>
      </c>
      <c r="H557" s="47" t="s">
        <v>61</v>
      </c>
      <c r="I557" s="47" t="s">
        <v>346</v>
      </c>
      <c r="J557" s="47" t="s">
        <v>127</v>
      </c>
      <c r="K557" s="327"/>
      <c r="L557" s="47" t="s">
        <v>144</v>
      </c>
      <c r="M557" s="47" t="s">
        <v>1361</v>
      </c>
    </row>
    <row r="558">
      <c r="A558" s="328">
        <v>43460.0</v>
      </c>
      <c r="B558" s="47" t="s">
        <v>19</v>
      </c>
      <c r="C558" s="47" t="s">
        <v>57</v>
      </c>
      <c r="D558" s="47" t="s">
        <v>21</v>
      </c>
      <c r="E558" s="47" t="s">
        <v>22</v>
      </c>
      <c r="F558" s="47" t="s">
        <v>16</v>
      </c>
      <c r="G558" s="47" t="s">
        <v>753</v>
      </c>
      <c r="H558" s="47" t="s">
        <v>61</v>
      </c>
      <c r="I558" s="47" t="s">
        <v>717</v>
      </c>
      <c r="J558" s="47" t="s">
        <v>66</v>
      </c>
      <c r="K558" s="327"/>
      <c r="L558" s="47" t="s">
        <v>63</v>
      </c>
      <c r="M558" s="47" t="s">
        <v>1361</v>
      </c>
    </row>
    <row r="559">
      <c r="A559" s="328">
        <v>43488.0</v>
      </c>
      <c r="B559" s="47" t="s">
        <v>19</v>
      </c>
      <c r="C559" s="47" t="s">
        <v>36</v>
      </c>
      <c r="D559" s="47" t="s">
        <v>44</v>
      </c>
      <c r="E559" s="47" t="s">
        <v>22</v>
      </c>
      <c r="F559" s="47" t="s">
        <v>16</v>
      </c>
      <c r="G559" s="47" t="s">
        <v>754</v>
      </c>
      <c r="H559" s="327"/>
      <c r="I559" s="47" t="s">
        <v>127</v>
      </c>
      <c r="J559" s="47" t="s">
        <v>67</v>
      </c>
      <c r="K559" s="47" t="s">
        <v>102</v>
      </c>
      <c r="L559" s="47" t="s">
        <v>68</v>
      </c>
      <c r="M559" s="47" t="s">
        <v>1361</v>
      </c>
    </row>
    <row r="560">
      <c r="A560" s="328">
        <v>43395.0</v>
      </c>
      <c r="B560" s="47" t="s">
        <v>56</v>
      </c>
      <c r="C560" s="47" t="s">
        <v>723</v>
      </c>
      <c r="D560" s="47" t="s">
        <v>77</v>
      </c>
      <c r="E560" s="47" t="s">
        <v>15</v>
      </c>
      <c r="F560" s="47" t="s">
        <v>16</v>
      </c>
      <c r="G560" s="47" t="s">
        <v>755</v>
      </c>
      <c r="H560" s="327"/>
      <c r="I560" s="47" t="s">
        <v>346</v>
      </c>
      <c r="J560" s="47" t="s">
        <v>127</v>
      </c>
      <c r="K560" s="327"/>
      <c r="L560" s="47" t="s">
        <v>71</v>
      </c>
      <c r="M560" s="47" t="s">
        <v>1361</v>
      </c>
    </row>
    <row r="561">
      <c r="A561" s="328">
        <v>43460.0</v>
      </c>
      <c r="B561" s="47" t="s">
        <v>43</v>
      </c>
      <c r="C561" s="47" t="s">
        <v>57</v>
      </c>
      <c r="D561" s="47" t="s">
        <v>14</v>
      </c>
      <c r="E561" s="47" t="s">
        <v>15</v>
      </c>
      <c r="F561" s="47" t="s">
        <v>16</v>
      </c>
      <c r="G561" s="47" t="s">
        <v>756</v>
      </c>
      <c r="H561" s="47" t="s">
        <v>61</v>
      </c>
      <c r="I561" s="47" t="s">
        <v>67</v>
      </c>
      <c r="J561" s="47" t="s">
        <v>74</v>
      </c>
      <c r="K561" s="327"/>
      <c r="L561" s="47" t="s">
        <v>71</v>
      </c>
      <c r="M561" s="47" t="s">
        <v>1361</v>
      </c>
    </row>
    <row r="562">
      <c r="A562" s="328">
        <v>43395.0</v>
      </c>
      <c r="B562" s="47" t="s">
        <v>43</v>
      </c>
      <c r="C562" s="47" t="s">
        <v>723</v>
      </c>
      <c r="D562" s="47" t="s">
        <v>77</v>
      </c>
      <c r="E562" s="47" t="s">
        <v>15</v>
      </c>
      <c r="F562" s="47" t="s">
        <v>16</v>
      </c>
      <c r="G562" s="47" t="s">
        <v>1365</v>
      </c>
      <c r="H562" s="47" t="s">
        <v>748</v>
      </c>
      <c r="I562" s="47" t="s">
        <v>346</v>
      </c>
      <c r="J562" s="47" t="s">
        <v>70</v>
      </c>
      <c r="K562" s="327"/>
      <c r="L562" s="47" t="s">
        <v>63</v>
      </c>
      <c r="M562" s="47" t="s">
        <v>1361</v>
      </c>
    </row>
    <row r="563">
      <c r="A563" s="328">
        <v>43460.0</v>
      </c>
      <c r="B563" s="47" t="s">
        <v>43</v>
      </c>
      <c r="C563" s="47" t="s">
        <v>49</v>
      </c>
      <c r="D563" s="47" t="s">
        <v>14</v>
      </c>
      <c r="E563" s="47" t="s">
        <v>22</v>
      </c>
      <c r="F563" s="47" t="s">
        <v>16</v>
      </c>
      <c r="G563" s="47" t="s">
        <v>1366</v>
      </c>
      <c r="H563" s="327"/>
      <c r="I563" s="47" t="s">
        <v>115</v>
      </c>
      <c r="J563" s="47" t="s">
        <v>66</v>
      </c>
      <c r="K563" s="327"/>
      <c r="L563" s="47" t="s">
        <v>167</v>
      </c>
      <c r="M563" s="47" t="s">
        <v>1361</v>
      </c>
    </row>
    <row r="564">
      <c r="A564" s="328">
        <v>43460.0</v>
      </c>
      <c r="B564" s="47" t="s">
        <v>43</v>
      </c>
      <c r="C564" s="47" t="s">
        <v>49</v>
      </c>
      <c r="D564" s="47" t="s">
        <v>14</v>
      </c>
      <c r="E564" s="47" t="s">
        <v>22</v>
      </c>
      <c r="F564" s="47" t="s">
        <v>16</v>
      </c>
      <c r="G564" s="47" t="s">
        <v>1367</v>
      </c>
      <c r="H564" s="327"/>
      <c r="I564" s="47" t="s">
        <v>115</v>
      </c>
      <c r="J564" s="47" t="s">
        <v>66</v>
      </c>
      <c r="K564" s="327"/>
      <c r="L564" s="47" t="s">
        <v>162</v>
      </c>
      <c r="M564" s="47" t="s">
        <v>1361</v>
      </c>
    </row>
    <row r="565">
      <c r="A565" s="328">
        <v>43395.0</v>
      </c>
      <c r="B565" s="47" t="s">
        <v>56</v>
      </c>
      <c r="C565" s="47" t="s">
        <v>723</v>
      </c>
      <c r="D565" s="47" t="s">
        <v>77</v>
      </c>
      <c r="E565" s="47" t="s">
        <v>15</v>
      </c>
      <c r="F565" s="47" t="s">
        <v>16</v>
      </c>
      <c r="G565" s="47" t="s">
        <v>760</v>
      </c>
      <c r="H565" s="47" t="s">
        <v>748</v>
      </c>
      <c r="I565" s="47" t="s">
        <v>346</v>
      </c>
      <c r="J565" s="47" t="s">
        <v>127</v>
      </c>
      <c r="K565" s="47" t="s">
        <v>748</v>
      </c>
      <c r="L565" s="47" t="s">
        <v>71</v>
      </c>
      <c r="M565" s="47" t="s">
        <v>1361</v>
      </c>
    </row>
    <row r="566">
      <c r="A566" s="328">
        <v>43450.0</v>
      </c>
      <c r="B566" s="47" t="s">
        <v>43</v>
      </c>
      <c r="C566" s="47" t="s">
        <v>26</v>
      </c>
      <c r="D566" s="47" t="s">
        <v>27</v>
      </c>
      <c r="E566" s="47" t="s">
        <v>22</v>
      </c>
      <c r="F566" s="47" t="s">
        <v>16</v>
      </c>
      <c r="G566" s="47" t="s">
        <v>761</v>
      </c>
      <c r="H566" s="47" t="s">
        <v>61</v>
      </c>
      <c r="I566" s="47" t="s">
        <v>66</v>
      </c>
      <c r="J566" s="47" t="s">
        <v>463</v>
      </c>
      <c r="K566" s="47" t="s">
        <v>762</v>
      </c>
      <c r="L566" s="47" t="s">
        <v>71</v>
      </c>
      <c r="M566" s="47" t="s">
        <v>1361</v>
      </c>
    </row>
    <row r="567">
      <c r="A567" s="328">
        <v>43450.0</v>
      </c>
      <c r="B567" s="47" t="s">
        <v>43</v>
      </c>
      <c r="C567" s="47" t="s">
        <v>33</v>
      </c>
      <c r="D567" s="47" t="s">
        <v>21</v>
      </c>
      <c r="E567" s="47" t="s">
        <v>22</v>
      </c>
      <c r="F567" s="47" t="s">
        <v>16</v>
      </c>
      <c r="G567" s="47" t="s">
        <v>763</v>
      </c>
      <c r="H567" s="47" t="s">
        <v>97</v>
      </c>
      <c r="I567" s="47" t="s">
        <v>463</v>
      </c>
      <c r="J567" s="327"/>
      <c r="K567" s="327"/>
      <c r="L567" s="47" t="s">
        <v>162</v>
      </c>
      <c r="M567" s="47" t="s">
        <v>1361</v>
      </c>
    </row>
    <row r="568">
      <c r="A568" s="328">
        <v>43430.0</v>
      </c>
      <c r="B568" s="47" t="s">
        <v>43</v>
      </c>
      <c r="C568" s="47" t="s">
        <v>49</v>
      </c>
      <c r="D568" s="47" t="s">
        <v>44</v>
      </c>
      <c r="E568" s="47" t="s">
        <v>22</v>
      </c>
      <c r="F568" s="47" t="s">
        <v>16</v>
      </c>
      <c r="G568" s="47" t="s">
        <v>764</v>
      </c>
      <c r="H568" s="327"/>
      <c r="I568" s="47" t="s">
        <v>115</v>
      </c>
      <c r="J568" s="47" t="s">
        <v>66</v>
      </c>
      <c r="K568" s="47" t="s">
        <v>1368</v>
      </c>
      <c r="L568" s="47" t="s">
        <v>162</v>
      </c>
      <c r="M568" s="47" t="s">
        <v>1361</v>
      </c>
    </row>
    <row r="569">
      <c r="A569" s="328">
        <v>43460.0</v>
      </c>
      <c r="B569" s="47" t="s">
        <v>43</v>
      </c>
      <c r="C569" s="47" t="s">
        <v>26</v>
      </c>
      <c r="D569" s="47" t="s">
        <v>14</v>
      </c>
      <c r="E569" s="47" t="s">
        <v>22</v>
      </c>
      <c r="F569" s="47" t="s">
        <v>16</v>
      </c>
      <c r="G569" s="47" t="s">
        <v>765</v>
      </c>
      <c r="H569" s="327"/>
      <c r="I569" s="47" t="s">
        <v>66</v>
      </c>
      <c r="J569" s="47" t="s">
        <v>717</v>
      </c>
      <c r="K569" s="327"/>
      <c r="L569" s="47" t="s">
        <v>71</v>
      </c>
      <c r="M569" s="47" t="s">
        <v>1361</v>
      </c>
    </row>
    <row r="570">
      <c r="A570" s="328">
        <v>43460.0</v>
      </c>
      <c r="B570" s="47" t="s">
        <v>43</v>
      </c>
      <c r="C570" s="47" t="s">
        <v>36</v>
      </c>
      <c r="D570" s="47" t="s">
        <v>44</v>
      </c>
      <c r="E570" s="47" t="s">
        <v>22</v>
      </c>
      <c r="F570" s="47" t="s">
        <v>16</v>
      </c>
      <c r="G570" s="47" t="s">
        <v>766</v>
      </c>
      <c r="H570" s="47" t="s">
        <v>61</v>
      </c>
      <c r="I570" s="47" t="s">
        <v>463</v>
      </c>
      <c r="J570" s="47" t="s">
        <v>70</v>
      </c>
      <c r="K570" s="327"/>
      <c r="L570" s="47" t="s">
        <v>71</v>
      </c>
      <c r="M570" s="47" t="s">
        <v>1361</v>
      </c>
    </row>
    <row r="571">
      <c r="A571" s="328">
        <v>43460.0</v>
      </c>
      <c r="B571" s="47" t="s">
        <v>43</v>
      </c>
      <c r="C571" s="47" t="s">
        <v>57</v>
      </c>
      <c r="D571" s="47" t="s">
        <v>44</v>
      </c>
      <c r="E571" s="47" t="s">
        <v>22</v>
      </c>
      <c r="F571" s="47" t="s">
        <v>16</v>
      </c>
      <c r="G571" s="47" t="s">
        <v>767</v>
      </c>
      <c r="H571" s="47" t="s">
        <v>61</v>
      </c>
      <c r="I571" s="47" t="s">
        <v>717</v>
      </c>
      <c r="J571" s="327"/>
      <c r="K571" s="327"/>
      <c r="L571" s="47" t="s">
        <v>68</v>
      </c>
      <c r="M571" s="47" t="s">
        <v>1361</v>
      </c>
    </row>
    <row r="572">
      <c r="A572" s="328">
        <v>43460.0</v>
      </c>
      <c r="B572" s="47" t="s">
        <v>43</v>
      </c>
      <c r="C572" s="47" t="s">
        <v>57</v>
      </c>
      <c r="D572" s="47" t="s">
        <v>44</v>
      </c>
      <c r="E572" s="47" t="s">
        <v>22</v>
      </c>
      <c r="F572" s="47" t="s">
        <v>16</v>
      </c>
      <c r="G572" s="47" t="s">
        <v>768</v>
      </c>
      <c r="H572" s="47" t="s">
        <v>61</v>
      </c>
      <c r="I572" s="47" t="s">
        <v>717</v>
      </c>
      <c r="J572" s="327"/>
      <c r="K572" s="327"/>
      <c r="L572" s="47" t="s">
        <v>167</v>
      </c>
      <c r="M572" s="47" t="s">
        <v>1361</v>
      </c>
    </row>
    <row r="573">
      <c r="A573" s="328">
        <v>43440.0</v>
      </c>
      <c r="B573" s="47" t="s">
        <v>43</v>
      </c>
      <c r="C573" s="47" t="s">
        <v>57</v>
      </c>
      <c r="D573" s="47" t="s">
        <v>21</v>
      </c>
      <c r="E573" s="47" t="s">
        <v>22</v>
      </c>
      <c r="F573" s="47" t="s">
        <v>16</v>
      </c>
      <c r="G573" s="47" t="s">
        <v>1369</v>
      </c>
      <c r="H573" s="327"/>
      <c r="I573" s="47" t="s">
        <v>717</v>
      </c>
      <c r="J573" s="47" t="s">
        <v>66</v>
      </c>
      <c r="K573" s="327"/>
      <c r="L573" s="47" t="s">
        <v>71</v>
      </c>
      <c r="M573" s="47" t="s">
        <v>1361</v>
      </c>
    </row>
    <row r="574">
      <c r="A574" s="328">
        <v>43450.0</v>
      </c>
      <c r="B574" s="47" t="s">
        <v>43</v>
      </c>
      <c r="C574" s="47" t="s">
        <v>26</v>
      </c>
      <c r="D574" s="47" t="s">
        <v>27</v>
      </c>
      <c r="E574" s="47" t="s">
        <v>22</v>
      </c>
      <c r="F574" s="47" t="s">
        <v>16</v>
      </c>
      <c r="G574" s="47" t="s">
        <v>770</v>
      </c>
      <c r="H574" s="327"/>
      <c r="I574" s="47" t="s">
        <v>66</v>
      </c>
      <c r="J574" s="47" t="s">
        <v>463</v>
      </c>
      <c r="K574" s="327"/>
      <c r="L574" s="47" t="s">
        <v>162</v>
      </c>
      <c r="M574" s="47" t="s">
        <v>1361</v>
      </c>
    </row>
    <row r="575">
      <c r="A575" s="328">
        <v>43446.0</v>
      </c>
      <c r="B575" s="47" t="s">
        <v>43</v>
      </c>
      <c r="C575" s="47" t="s">
        <v>76</v>
      </c>
      <c r="D575" s="47" t="s">
        <v>21</v>
      </c>
      <c r="E575" s="47" t="s">
        <v>22</v>
      </c>
      <c r="F575" s="47" t="s">
        <v>16</v>
      </c>
      <c r="G575" s="47" t="s">
        <v>771</v>
      </c>
      <c r="H575" s="47" t="s">
        <v>61</v>
      </c>
      <c r="I575" s="47" t="s">
        <v>66</v>
      </c>
      <c r="J575" s="47" t="s">
        <v>79</v>
      </c>
      <c r="K575" s="327"/>
      <c r="L575" s="47" t="s">
        <v>167</v>
      </c>
      <c r="M575" s="47" t="s">
        <v>1361</v>
      </c>
    </row>
    <row r="576">
      <c r="A576" s="328">
        <v>43440.0</v>
      </c>
      <c r="B576" s="47" t="s">
        <v>43</v>
      </c>
      <c r="C576" s="47" t="s">
        <v>57</v>
      </c>
      <c r="D576" s="47" t="s">
        <v>21</v>
      </c>
      <c r="E576" s="47" t="s">
        <v>22</v>
      </c>
      <c r="F576" s="47" t="s">
        <v>16</v>
      </c>
      <c r="G576" s="47" t="s">
        <v>772</v>
      </c>
      <c r="H576" s="327"/>
      <c r="I576" s="47" t="s">
        <v>717</v>
      </c>
      <c r="J576" s="327"/>
      <c r="K576" s="327"/>
      <c r="L576" s="47" t="s">
        <v>71</v>
      </c>
      <c r="M576" s="47" t="s">
        <v>1361</v>
      </c>
    </row>
    <row r="577">
      <c r="A577" s="328">
        <v>43440.0</v>
      </c>
      <c r="B577" s="47" t="s">
        <v>43</v>
      </c>
      <c r="C577" s="47" t="s">
        <v>57</v>
      </c>
      <c r="D577" s="47" t="s">
        <v>21</v>
      </c>
      <c r="E577" s="47" t="s">
        <v>22</v>
      </c>
      <c r="F577" s="47" t="s">
        <v>16</v>
      </c>
      <c r="G577" s="47" t="s">
        <v>773</v>
      </c>
      <c r="H577" s="327"/>
      <c r="I577" s="47" t="s">
        <v>717</v>
      </c>
      <c r="J577" s="327"/>
      <c r="K577" s="327"/>
      <c r="L577" s="47" t="s">
        <v>167</v>
      </c>
      <c r="M577" s="47" t="s">
        <v>1361</v>
      </c>
    </row>
    <row r="578">
      <c r="A578" s="328">
        <v>43439.0</v>
      </c>
      <c r="B578" s="47" t="s">
        <v>43</v>
      </c>
      <c r="C578" s="47" t="s">
        <v>26</v>
      </c>
      <c r="D578" s="47" t="s">
        <v>58</v>
      </c>
      <c r="E578" s="47" t="s">
        <v>22</v>
      </c>
      <c r="F578" s="47" t="s">
        <v>16</v>
      </c>
      <c r="G578" s="47" t="s">
        <v>774</v>
      </c>
      <c r="H578" s="47" t="s">
        <v>61</v>
      </c>
      <c r="I578" s="47" t="s">
        <v>66</v>
      </c>
      <c r="J578" s="327"/>
      <c r="K578" s="327"/>
      <c r="L578" s="47" t="s">
        <v>68</v>
      </c>
      <c r="M578" s="47" t="s">
        <v>1361</v>
      </c>
    </row>
    <row r="579">
      <c r="A579" s="328">
        <v>43439.0</v>
      </c>
      <c r="B579" s="47" t="s">
        <v>43</v>
      </c>
      <c r="C579" s="47" t="s">
        <v>57</v>
      </c>
      <c r="D579" s="47" t="s">
        <v>21</v>
      </c>
      <c r="E579" s="47" t="s">
        <v>22</v>
      </c>
      <c r="F579" s="47" t="s">
        <v>16</v>
      </c>
      <c r="G579" s="47" t="s">
        <v>775</v>
      </c>
      <c r="H579" s="47" t="s">
        <v>97</v>
      </c>
      <c r="I579" s="47" t="s">
        <v>717</v>
      </c>
      <c r="J579" s="327"/>
      <c r="K579" s="327"/>
      <c r="L579" s="47" t="s">
        <v>167</v>
      </c>
      <c r="M579" s="47" t="s">
        <v>1361</v>
      </c>
    </row>
    <row r="580">
      <c r="A580" s="328">
        <v>43439.0</v>
      </c>
      <c r="B580" s="47" t="s">
        <v>43</v>
      </c>
      <c r="C580" s="47" t="s">
        <v>57</v>
      </c>
      <c r="D580" s="47" t="s">
        <v>21</v>
      </c>
      <c r="E580" s="47" t="s">
        <v>22</v>
      </c>
      <c r="F580" s="47" t="s">
        <v>16</v>
      </c>
      <c r="G580" s="47" t="s">
        <v>776</v>
      </c>
      <c r="H580" s="327"/>
      <c r="I580" s="47" t="s">
        <v>717</v>
      </c>
      <c r="J580" s="327"/>
      <c r="K580" s="327"/>
      <c r="L580" s="47" t="s">
        <v>71</v>
      </c>
      <c r="M580" s="47" t="s">
        <v>1361</v>
      </c>
    </row>
    <row r="581">
      <c r="A581" s="328">
        <v>43438.0</v>
      </c>
      <c r="B581" s="47" t="s">
        <v>43</v>
      </c>
      <c r="C581" s="47" t="s">
        <v>33</v>
      </c>
      <c r="D581" s="47" t="s">
        <v>27</v>
      </c>
      <c r="E581" s="47" t="s">
        <v>22</v>
      </c>
      <c r="F581" s="47" t="s">
        <v>16</v>
      </c>
      <c r="G581" s="47" t="s">
        <v>777</v>
      </c>
      <c r="H581" s="327"/>
      <c r="I581" s="47" t="s">
        <v>463</v>
      </c>
      <c r="J581" s="327"/>
      <c r="K581" s="327"/>
      <c r="L581" s="47" t="s">
        <v>71</v>
      </c>
      <c r="M581" s="47" t="s">
        <v>1361</v>
      </c>
    </row>
    <row r="582">
      <c r="A582" s="328">
        <v>43438.0</v>
      </c>
      <c r="B582" s="47" t="s">
        <v>43</v>
      </c>
      <c r="C582" s="47" t="s">
        <v>57</v>
      </c>
      <c r="D582" s="47" t="s">
        <v>58</v>
      </c>
      <c r="E582" s="47" t="s">
        <v>22</v>
      </c>
      <c r="F582" s="47" t="s">
        <v>16</v>
      </c>
      <c r="G582" s="47" t="s">
        <v>778</v>
      </c>
      <c r="H582" s="327"/>
      <c r="I582" s="47" t="s">
        <v>717</v>
      </c>
      <c r="J582" s="327"/>
      <c r="K582" s="327"/>
      <c r="L582" s="47" t="s">
        <v>71</v>
      </c>
      <c r="M582" s="47" t="s">
        <v>1361</v>
      </c>
    </row>
    <row r="583">
      <c r="A583" s="328">
        <v>43447.0</v>
      </c>
      <c r="B583" s="47" t="s">
        <v>43</v>
      </c>
      <c r="C583" s="47" t="s">
        <v>49</v>
      </c>
      <c r="D583" s="47" t="s">
        <v>58</v>
      </c>
      <c r="E583" s="47" t="s">
        <v>22</v>
      </c>
      <c r="F583" s="47" t="s">
        <v>16</v>
      </c>
      <c r="G583" s="47" t="s">
        <v>779</v>
      </c>
      <c r="H583" s="327"/>
      <c r="I583" s="47" t="s">
        <v>115</v>
      </c>
      <c r="J583" s="47" t="s">
        <v>66</v>
      </c>
      <c r="K583" s="327"/>
      <c r="L583" s="47" t="s">
        <v>167</v>
      </c>
      <c r="M583" s="47" t="s">
        <v>1361</v>
      </c>
    </row>
    <row r="584">
      <c r="A584" s="328">
        <v>43436.0</v>
      </c>
      <c r="B584" s="47" t="s">
        <v>43</v>
      </c>
      <c r="C584" s="47" t="s">
        <v>49</v>
      </c>
      <c r="D584" s="47" t="s">
        <v>58</v>
      </c>
      <c r="E584" s="47" t="s">
        <v>22</v>
      </c>
      <c r="F584" s="47" t="s">
        <v>16</v>
      </c>
      <c r="G584" s="47" t="s">
        <v>1370</v>
      </c>
      <c r="H584" s="327"/>
      <c r="I584" s="47" t="s">
        <v>115</v>
      </c>
      <c r="J584" s="47" t="s">
        <v>70</v>
      </c>
      <c r="K584" s="47" t="s">
        <v>1371</v>
      </c>
      <c r="L584" s="47" t="s">
        <v>71</v>
      </c>
      <c r="M584" s="47" t="s">
        <v>1361</v>
      </c>
    </row>
    <row r="585">
      <c r="A585" s="328">
        <v>43433.0</v>
      </c>
      <c r="B585" s="47" t="s">
        <v>43</v>
      </c>
      <c r="C585" s="47" t="s">
        <v>49</v>
      </c>
      <c r="D585" s="47" t="s">
        <v>58</v>
      </c>
      <c r="E585" s="47" t="s">
        <v>22</v>
      </c>
      <c r="F585" s="47" t="s">
        <v>16</v>
      </c>
      <c r="G585" s="47" t="s">
        <v>1372</v>
      </c>
      <c r="H585" s="327"/>
      <c r="I585" s="47" t="s">
        <v>115</v>
      </c>
      <c r="J585" s="47" t="s">
        <v>67</v>
      </c>
      <c r="K585" s="47" t="s">
        <v>1371</v>
      </c>
      <c r="L585" s="47" t="s">
        <v>68</v>
      </c>
      <c r="M585" s="47" t="s">
        <v>1361</v>
      </c>
    </row>
    <row r="586">
      <c r="A586" s="328">
        <v>43430.0</v>
      </c>
      <c r="B586" s="47" t="s">
        <v>43</v>
      </c>
      <c r="C586" s="47" t="s">
        <v>57</v>
      </c>
      <c r="D586" s="47" t="s">
        <v>58</v>
      </c>
      <c r="E586" s="47" t="s">
        <v>22</v>
      </c>
      <c r="F586" s="47" t="s">
        <v>16</v>
      </c>
      <c r="G586" s="47" t="s">
        <v>782</v>
      </c>
      <c r="H586" s="327"/>
      <c r="I586" s="47" t="s">
        <v>717</v>
      </c>
      <c r="J586" s="47" t="s">
        <v>70</v>
      </c>
      <c r="K586" s="327"/>
      <c r="L586" s="47" t="s">
        <v>68</v>
      </c>
      <c r="M586" s="47" t="s">
        <v>1361</v>
      </c>
    </row>
    <row r="587">
      <c r="A587" s="328">
        <v>43430.0</v>
      </c>
      <c r="B587" s="47" t="s">
        <v>43</v>
      </c>
      <c r="C587" s="47" t="s">
        <v>723</v>
      </c>
      <c r="D587" s="47" t="s">
        <v>27</v>
      </c>
      <c r="E587" s="47" t="s">
        <v>22</v>
      </c>
      <c r="F587" s="47" t="s">
        <v>16</v>
      </c>
      <c r="G587" s="47" t="s">
        <v>783</v>
      </c>
      <c r="H587" s="327"/>
      <c r="I587" s="47" t="s">
        <v>346</v>
      </c>
      <c r="J587" s="327"/>
      <c r="K587" s="327"/>
      <c r="L587" s="47" t="s">
        <v>68</v>
      </c>
      <c r="M587" s="47" t="s">
        <v>1361</v>
      </c>
    </row>
    <row r="588">
      <c r="A588" s="328">
        <v>43420.0</v>
      </c>
      <c r="B588" s="47" t="s">
        <v>56</v>
      </c>
      <c r="C588" s="47" t="s">
        <v>36</v>
      </c>
      <c r="D588" s="47" t="s">
        <v>14</v>
      </c>
      <c r="E588" s="47" t="s">
        <v>22</v>
      </c>
      <c r="F588" s="47" t="s">
        <v>16</v>
      </c>
      <c r="G588" s="47" t="s">
        <v>784</v>
      </c>
      <c r="H588" s="47" t="s">
        <v>97</v>
      </c>
      <c r="I588" s="47" t="s">
        <v>463</v>
      </c>
      <c r="J588" s="327"/>
      <c r="K588" s="327"/>
      <c r="L588" s="47" t="s">
        <v>71</v>
      </c>
      <c r="M588" s="47" t="s">
        <v>1361</v>
      </c>
    </row>
    <row r="589">
      <c r="A589" s="328">
        <v>43417.0</v>
      </c>
      <c r="B589" s="47" t="s">
        <v>56</v>
      </c>
      <c r="C589" s="47" t="s">
        <v>20</v>
      </c>
      <c r="D589" s="47" t="s">
        <v>44</v>
      </c>
      <c r="E589" s="47" t="s">
        <v>22</v>
      </c>
      <c r="F589" s="47" t="s">
        <v>16</v>
      </c>
      <c r="G589" s="47" t="s">
        <v>785</v>
      </c>
      <c r="H589" s="47" t="s">
        <v>97</v>
      </c>
      <c r="I589" s="47" t="s">
        <v>70</v>
      </c>
      <c r="J589" s="47" t="s">
        <v>67</v>
      </c>
      <c r="K589" s="327"/>
      <c r="L589" s="47" t="s">
        <v>71</v>
      </c>
      <c r="M589" s="47" t="s">
        <v>1361</v>
      </c>
    </row>
    <row r="590">
      <c r="A590" s="328">
        <v>43417.0</v>
      </c>
      <c r="B590" s="47" t="s">
        <v>56</v>
      </c>
      <c r="C590" s="47" t="s">
        <v>723</v>
      </c>
      <c r="D590" s="47" t="s">
        <v>44</v>
      </c>
      <c r="E590" s="47" t="s">
        <v>15</v>
      </c>
      <c r="F590" s="47" t="s">
        <v>16</v>
      </c>
      <c r="G590" s="47" t="s">
        <v>786</v>
      </c>
      <c r="H590" s="47" t="s">
        <v>1373</v>
      </c>
      <c r="I590" s="47" t="s">
        <v>346</v>
      </c>
      <c r="J590" s="47" t="s">
        <v>70</v>
      </c>
      <c r="K590" s="327"/>
      <c r="L590" s="47" t="s">
        <v>71</v>
      </c>
      <c r="M590" s="47" t="s">
        <v>1361</v>
      </c>
    </row>
    <row r="591">
      <c r="A591" s="328">
        <v>43412.0</v>
      </c>
      <c r="B591" s="47" t="s">
        <v>56</v>
      </c>
      <c r="C591" s="47" t="s">
        <v>57</v>
      </c>
      <c r="D591" s="47" t="s">
        <v>58</v>
      </c>
      <c r="E591" s="47" t="s">
        <v>22</v>
      </c>
      <c r="F591" s="47" t="s">
        <v>16</v>
      </c>
      <c r="G591" s="47" t="s">
        <v>787</v>
      </c>
      <c r="H591" s="47" t="s">
        <v>1373</v>
      </c>
      <c r="I591" s="47" t="s">
        <v>717</v>
      </c>
      <c r="J591" s="327"/>
      <c r="K591" s="327"/>
      <c r="L591" s="47" t="s">
        <v>63</v>
      </c>
      <c r="M591" s="47" t="s">
        <v>1361</v>
      </c>
    </row>
    <row r="592">
      <c r="A592" s="328">
        <v>43395.0</v>
      </c>
      <c r="B592" s="47" t="s">
        <v>56</v>
      </c>
      <c r="C592" s="47" t="s">
        <v>76</v>
      </c>
      <c r="D592" s="47" t="s">
        <v>58</v>
      </c>
      <c r="E592" s="47" t="s">
        <v>15</v>
      </c>
      <c r="F592" s="47" t="s">
        <v>16</v>
      </c>
      <c r="G592" s="47" t="s">
        <v>788</v>
      </c>
      <c r="H592" s="47" t="s">
        <v>1373</v>
      </c>
      <c r="I592" s="47" t="s">
        <v>79</v>
      </c>
      <c r="J592" s="327"/>
      <c r="K592" s="327"/>
      <c r="L592" s="47" t="s">
        <v>167</v>
      </c>
      <c r="M592" s="47" t="s">
        <v>1361</v>
      </c>
    </row>
    <row r="593">
      <c r="A593" s="328">
        <v>43409.0</v>
      </c>
      <c r="B593" s="47" t="s">
        <v>56</v>
      </c>
      <c r="C593" s="47" t="s">
        <v>20</v>
      </c>
      <c r="D593" s="47" t="s">
        <v>44</v>
      </c>
      <c r="E593" s="47" t="s">
        <v>22</v>
      </c>
      <c r="F593" s="47" t="s">
        <v>16</v>
      </c>
      <c r="G593" s="47" t="s">
        <v>789</v>
      </c>
      <c r="H593" s="327"/>
      <c r="I593" s="47" t="s">
        <v>67</v>
      </c>
      <c r="J593" s="47" t="s">
        <v>79</v>
      </c>
      <c r="K593" s="327"/>
      <c r="L593" s="47" t="s">
        <v>68</v>
      </c>
      <c r="M593" s="47" t="s">
        <v>1361</v>
      </c>
    </row>
    <row r="594">
      <c r="A594" s="328">
        <v>43403.0</v>
      </c>
      <c r="B594" s="47" t="s">
        <v>56</v>
      </c>
      <c r="C594" s="47" t="s">
        <v>13</v>
      </c>
      <c r="D594" s="47" t="s">
        <v>14</v>
      </c>
      <c r="E594" s="47" t="s">
        <v>22</v>
      </c>
      <c r="F594" s="47" t="s">
        <v>16</v>
      </c>
      <c r="G594" s="47" t="s">
        <v>790</v>
      </c>
      <c r="H594" s="327"/>
      <c r="I594" s="47" t="s">
        <v>79</v>
      </c>
      <c r="J594" s="47" t="s">
        <v>70</v>
      </c>
      <c r="K594" s="327"/>
      <c r="L594" s="47" t="s">
        <v>71</v>
      </c>
      <c r="M594" s="47" t="s">
        <v>1361</v>
      </c>
    </row>
    <row r="595">
      <c r="A595" s="328">
        <v>43403.0</v>
      </c>
      <c r="B595" s="47" t="s">
        <v>56</v>
      </c>
      <c r="C595" s="47" t="s">
        <v>30</v>
      </c>
      <c r="D595" s="47" t="s">
        <v>44</v>
      </c>
      <c r="E595" s="47" t="s">
        <v>15</v>
      </c>
      <c r="F595" s="47" t="s">
        <v>16</v>
      </c>
      <c r="G595" s="47" t="s">
        <v>791</v>
      </c>
      <c r="H595" s="327"/>
      <c r="I595" s="47" t="s">
        <v>127</v>
      </c>
      <c r="J595" s="327"/>
      <c r="K595" s="327"/>
      <c r="L595" s="47" t="s">
        <v>71</v>
      </c>
      <c r="M595" s="47" t="s">
        <v>1361</v>
      </c>
    </row>
    <row r="596">
      <c r="A596" s="328">
        <v>43397.0</v>
      </c>
      <c r="B596" s="47" t="s">
        <v>56</v>
      </c>
      <c r="C596" s="47" t="s">
        <v>13</v>
      </c>
      <c r="D596" s="47" t="s">
        <v>58</v>
      </c>
      <c r="E596" s="47" t="s">
        <v>15</v>
      </c>
      <c r="F596" s="47" t="s">
        <v>16</v>
      </c>
      <c r="G596" s="47" t="s">
        <v>792</v>
      </c>
      <c r="H596" s="47" t="s">
        <v>61</v>
      </c>
      <c r="I596" s="47" t="s">
        <v>79</v>
      </c>
      <c r="J596" s="327"/>
      <c r="K596" s="327"/>
      <c r="L596" s="47" t="s">
        <v>167</v>
      </c>
      <c r="M596" s="47" t="s">
        <v>1361</v>
      </c>
    </row>
    <row r="597">
      <c r="A597" s="328">
        <v>43397.0</v>
      </c>
      <c r="B597" s="47" t="s">
        <v>56</v>
      </c>
      <c r="C597" s="47" t="s">
        <v>49</v>
      </c>
      <c r="D597" s="47" t="s">
        <v>44</v>
      </c>
      <c r="E597" s="47" t="s">
        <v>15</v>
      </c>
      <c r="F597" s="47" t="s">
        <v>16</v>
      </c>
      <c r="G597" s="47" t="s">
        <v>793</v>
      </c>
      <c r="H597" s="47" t="s">
        <v>748</v>
      </c>
      <c r="I597" s="47" t="s">
        <v>115</v>
      </c>
      <c r="J597" s="327"/>
      <c r="K597" s="327"/>
      <c r="L597" s="47" t="s">
        <v>63</v>
      </c>
      <c r="M597" s="47" t="s">
        <v>1361</v>
      </c>
    </row>
    <row r="598">
      <c r="A598" s="328">
        <v>43395.0</v>
      </c>
      <c r="B598" s="47" t="s">
        <v>56</v>
      </c>
      <c r="C598" s="47" t="s">
        <v>76</v>
      </c>
      <c r="D598" s="47" t="s">
        <v>77</v>
      </c>
      <c r="E598" s="47" t="s">
        <v>22</v>
      </c>
      <c r="F598" s="47" t="s">
        <v>16</v>
      </c>
      <c r="G598" s="47" t="s">
        <v>794</v>
      </c>
      <c r="H598" s="327"/>
      <c r="I598" s="47" t="s">
        <v>79</v>
      </c>
      <c r="J598" s="327"/>
      <c r="K598" s="327"/>
      <c r="L598" s="47" t="s">
        <v>71</v>
      </c>
      <c r="M598" s="47" t="s">
        <v>1361</v>
      </c>
    </row>
    <row r="599">
      <c r="A599" s="328">
        <v>43395.0</v>
      </c>
      <c r="B599" s="47" t="s">
        <v>56</v>
      </c>
      <c r="C599" s="47" t="s">
        <v>36</v>
      </c>
      <c r="D599" s="47" t="s">
        <v>77</v>
      </c>
      <c r="E599" s="47" t="s">
        <v>15</v>
      </c>
      <c r="F599" s="47" t="s">
        <v>16</v>
      </c>
      <c r="G599" s="47" t="s">
        <v>795</v>
      </c>
      <c r="H599" s="327"/>
      <c r="I599" s="47" t="s">
        <v>463</v>
      </c>
      <c r="J599" s="327"/>
      <c r="K599" s="327"/>
      <c r="L599" s="47" t="s">
        <v>71</v>
      </c>
      <c r="M599" s="47" t="s">
        <v>1361</v>
      </c>
    </row>
    <row r="600">
      <c r="A600" s="328">
        <v>43395.0</v>
      </c>
      <c r="B600" s="47" t="s">
        <v>56</v>
      </c>
      <c r="C600" s="47" t="s">
        <v>49</v>
      </c>
      <c r="D600" s="47" t="s">
        <v>58</v>
      </c>
      <c r="E600" s="47" t="s">
        <v>15</v>
      </c>
      <c r="F600" s="47" t="s">
        <v>16</v>
      </c>
      <c r="G600" s="47" t="s">
        <v>796</v>
      </c>
      <c r="H600" s="47" t="s">
        <v>748</v>
      </c>
      <c r="I600" s="47" t="s">
        <v>115</v>
      </c>
      <c r="J600" s="327"/>
      <c r="K600" s="327"/>
      <c r="L600" s="47" t="s">
        <v>167</v>
      </c>
      <c r="M600" s="47" t="s">
        <v>1361</v>
      </c>
    </row>
    <row r="601">
      <c r="A601" s="328">
        <v>43395.0</v>
      </c>
      <c r="B601" s="47" t="s">
        <v>56</v>
      </c>
      <c r="C601" s="47" t="s">
        <v>49</v>
      </c>
      <c r="D601" s="47" t="s">
        <v>58</v>
      </c>
      <c r="E601" s="47" t="s">
        <v>15</v>
      </c>
      <c r="F601" s="47" t="s">
        <v>16</v>
      </c>
      <c r="G601" s="47" t="s">
        <v>797</v>
      </c>
      <c r="H601" s="47" t="s">
        <v>748</v>
      </c>
      <c r="I601" s="47" t="s">
        <v>115</v>
      </c>
      <c r="J601" s="47" t="s">
        <v>717</v>
      </c>
      <c r="K601" s="327"/>
      <c r="L601" s="47" t="s">
        <v>167</v>
      </c>
      <c r="M601" s="47" t="s">
        <v>1361</v>
      </c>
    </row>
    <row r="602">
      <c r="A602" s="328">
        <v>43395.0</v>
      </c>
      <c r="B602" s="47" t="s">
        <v>56</v>
      </c>
      <c r="C602" s="47" t="s">
        <v>30</v>
      </c>
      <c r="D602" s="47" t="s">
        <v>44</v>
      </c>
      <c r="E602" s="47" t="s">
        <v>22</v>
      </c>
      <c r="F602" s="47" t="s">
        <v>16</v>
      </c>
      <c r="G602" s="47" t="s">
        <v>1374</v>
      </c>
      <c r="H602" s="47" t="s">
        <v>748</v>
      </c>
      <c r="I602" s="47" t="s">
        <v>127</v>
      </c>
      <c r="J602" s="327"/>
      <c r="K602" s="327"/>
      <c r="L602" s="47" t="s">
        <v>63</v>
      </c>
      <c r="M602" s="47" t="s">
        <v>1361</v>
      </c>
    </row>
    <row r="603">
      <c r="A603" s="328">
        <v>43395.0</v>
      </c>
      <c r="B603" s="47" t="s">
        <v>56</v>
      </c>
      <c r="C603" s="47" t="s">
        <v>36</v>
      </c>
      <c r="D603" s="47" t="s">
        <v>21</v>
      </c>
      <c r="E603" s="47" t="s">
        <v>15</v>
      </c>
      <c r="F603" s="47" t="s">
        <v>16</v>
      </c>
      <c r="G603" s="47" t="s">
        <v>799</v>
      </c>
      <c r="H603" s="47" t="s">
        <v>748</v>
      </c>
      <c r="I603" s="47" t="s">
        <v>463</v>
      </c>
      <c r="J603" s="327"/>
      <c r="K603" s="327"/>
      <c r="L603" s="47" t="s">
        <v>68</v>
      </c>
      <c r="M603" s="47" t="s">
        <v>1361</v>
      </c>
    </row>
    <row r="604">
      <c r="A604" s="328">
        <v>43384.0</v>
      </c>
      <c r="B604" s="47" t="s">
        <v>56</v>
      </c>
      <c r="C604" s="47" t="s">
        <v>36</v>
      </c>
      <c r="D604" s="47" t="s">
        <v>44</v>
      </c>
      <c r="E604" s="47" t="s">
        <v>22</v>
      </c>
      <c r="F604" s="47" t="s">
        <v>16</v>
      </c>
      <c r="G604" s="47" t="s">
        <v>800</v>
      </c>
      <c r="H604" s="47" t="s">
        <v>748</v>
      </c>
      <c r="I604" s="47" t="s">
        <v>463</v>
      </c>
      <c r="J604" s="47" t="s">
        <v>66</v>
      </c>
      <c r="K604" s="327"/>
      <c r="L604" s="47" t="s">
        <v>71</v>
      </c>
      <c r="M604" s="47" t="s">
        <v>1361</v>
      </c>
    </row>
    <row r="605">
      <c r="A605" s="328">
        <v>43384.0</v>
      </c>
      <c r="B605" s="47" t="s">
        <v>56</v>
      </c>
      <c r="C605" s="47" t="s">
        <v>57</v>
      </c>
      <c r="D605" s="47" t="s">
        <v>44</v>
      </c>
      <c r="E605" s="47" t="s">
        <v>15</v>
      </c>
      <c r="F605" s="47" t="s">
        <v>16</v>
      </c>
      <c r="G605" s="47" t="s">
        <v>801</v>
      </c>
      <c r="H605" s="47" t="s">
        <v>748</v>
      </c>
      <c r="I605" s="47" t="s">
        <v>802</v>
      </c>
      <c r="J605" s="47" t="s">
        <v>70</v>
      </c>
      <c r="K605" s="327"/>
      <c r="L605" s="47" t="s">
        <v>71</v>
      </c>
      <c r="M605" s="47" t="s">
        <v>1361</v>
      </c>
    </row>
    <row r="606">
      <c r="A606" s="328">
        <v>43384.0</v>
      </c>
      <c r="B606" s="47" t="s">
        <v>56</v>
      </c>
      <c r="C606" s="47" t="s">
        <v>57</v>
      </c>
      <c r="D606" s="47" t="s">
        <v>44</v>
      </c>
      <c r="E606" s="47" t="s">
        <v>15</v>
      </c>
      <c r="F606" s="47" t="s">
        <v>16</v>
      </c>
      <c r="G606" s="47" t="s">
        <v>803</v>
      </c>
      <c r="H606" s="47" t="s">
        <v>748</v>
      </c>
      <c r="I606" s="47" t="s">
        <v>717</v>
      </c>
      <c r="J606" s="47" t="s">
        <v>70</v>
      </c>
      <c r="K606" s="327"/>
      <c r="L606" s="47" t="s">
        <v>71</v>
      </c>
      <c r="M606" s="47" t="s">
        <v>1361</v>
      </c>
    </row>
    <row r="607">
      <c r="A607" s="328">
        <v>43384.0</v>
      </c>
      <c r="B607" s="47" t="s">
        <v>56</v>
      </c>
      <c r="C607" s="47" t="s">
        <v>49</v>
      </c>
      <c r="D607" s="47" t="s">
        <v>58</v>
      </c>
      <c r="E607" s="47" t="s">
        <v>22</v>
      </c>
      <c r="F607" s="47" t="s">
        <v>16</v>
      </c>
      <c r="G607" s="47" t="s">
        <v>804</v>
      </c>
      <c r="H607" s="327"/>
      <c r="I607" s="47" t="s">
        <v>66</v>
      </c>
      <c r="J607" s="47" t="s">
        <v>115</v>
      </c>
      <c r="K607" s="47" t="s">
        <v>1375</v>
      </c>
      <c r="L607" s="47" t="s">
        <v>71</v>
      </c>
      <c r="M607" s="47" t="s">
        <v>1361</v>
      </c>
    </row>
    <row r="608">
      <c r="A608" s="328">
        <v>43384.0</v>
      </c>
      <c r="B608" s="47" t="s">
        <v>56</v>
      </c>
      <c r="C608" s="47" t="s">
        <v>36</v>
      </c>
      <c r="D608" s="47" t="s">
        <v>21</v>
      </c>
      <c r="E608" s="47" t="s">
        <v>22</v>
      </c>
      <c r="F608" s="47" t="s">
        <v>16</v>
      </c>
      <c r="G608" s="47" t="s">
        <v>805</v>
      </c>
      <c r="H608" s="47" t="s">
        <v>748</v>
      </c>
      <c r="I608" s="47" t="s">
        <v>463</v>
      </c>
      <c r="J608" s="327"/>
      <c r="K608" s="327"/>
      <c r="L608" s="47" t="s">
        <v>144</v>
      </c>
      <c r="M608" s="47" t="s">
        <v>1361</v>
      </c>
    </row>
    <row r="609">
      <c r="A609" s="328">
        <v>43384.0</v>
      </c>
      <c r="B609" s="47" t="s">
        <v>56</v>
      </c>
      <c r="C609" s="47" t="s">
        <v>20</v>
      </c>
      <c r="D609" s="47" t="s">
        <v>58</v>
      </c>
      <c r="E609" s="47" t="s">
        <v>15</v>
      </c>
      <c r="F609" s="47" t="s">
        <v>16</v>
      </c>
      <c r="G609" s="47" t="s">
        <v>806</v>
      </c>
      <c r="H609" s="47" t="s">
        <v>61</v>
      </c>
      <c r="I609" s="47" t="s">
        <v>67</v>
      </c>
      <c r="J609" s="47" t="s">
        <v>66</v>
      </c>
      <c r="K609" s="327"/>
      <c r="L609" s="47" t="s">
        <v>167</v>
      </c>
      <c r="M609" s="47" t="s">
        <v>1361</v>
      </c>
    </row>
    <row r="610">
      <c r="A610" s="328">
        <v>43347.0</v>
      </c>
      <c r="B610" s="47" t="s">
        <v>56</v>
      </c>
      <c r="C610" s="47" t="s">
        <v>13</v>
      </c>
      <c r="D610" s="47" t="s">
        <v>77</v>
      </c>
      <c r="E610" s="47" t="s">
        <v>15</v>
      </c>
      <c r="F610" s="47" t="s">
        <v>16</v>
      </c>
      <c r="G610" s="47" t="s">
        <v>807</v>
      </c>
      <c r="H610" s="47" t="s">
        <v>748</v>
      </c>
      <c r="I610" s="47" t="s">
        <v>79</v>
      </c>
      <c r="J610" s="327"/>
      <c r="K610" s="327"/>
      <c r="L610" s="47" t="s">
        <v>71</v>
      </c>
      <c r="M610" s="47" t="s">
        <v>1361</v>
      </c>
    </row>
    <row r="611">
      <c r="A611" s="328">
        <v>43347.0</v>
      </c>
      <c r="B611" s="47" t="s">
        <v>56</v>
      </c>
      <c r="C611" s="47" t="s">
        <v>13</v>
      </c>
      <c r="D611" s="47" t="s">
        <v>77</v>
      </c>
      <c r="E611" s="47" t="s">
        <v>15</v>
      </c>
      <c r="F611" s="47" t="s">
        <v>16</v>
      </c>
      <c r="G611" s="47" t="s">
        <v>808</v>
      </c>
      <c r="H611" s="47" t="s">
        <v>748</v>
      </c>
      <c r="I611" s="47" t="s">
        <v>79</v>
      </c>
      <c r="J611" s="327"/>
      <c r="K611" s="327"/>
      <c r="L611" s="47" t="s">
        <v>71</v>
      </c>
      <c r="M611" s="47" t="s">
        <v>1361</v>
      </c>
    </row>
    <row r="612">
      <c r="A612" s="328">
        <v>43347.0</v>
      </c>
      <c r="B612" s="47" t="s">
        <v>56</v>
      </c>
      <c r="C612" s="47" t="s">
        <v>723</v>
      </c>
      <c r="D612" s="47" t="s">
        <v>77</v>
      </c>
      <c r="E612" s="47" t="s">
        <v>22</v>
      </c>
      <c r="F612" s="47" t="s">
        <v>16</v>
      </c>
      <c r="G612" s="47" t="s">
        <v>809</v>
      </c>
      <c r="H612" s="47" t="s">
        <v>61</v>
      </c>
      <c r="I612" s="47" t="s">
        <v>346</v>
      </c>
      <c r="J612" s="327"/>
      <c r="K612" s="327"/>
      <c r="L612" s="47" t="s">
        <v>63</v>
      </c>
      <c r="M612" s="47" t="s">
        <v>1361</v>
      </c>
    </row>
    <row r="613">
      <c r="A613" s="328">
        <v>43347.0</v>
      </c>
      <c r="B613" s="47" t="s">
        <v>56</v>
      </c>
      <c r="C613" s="47" t="s">
        <v>72</v>
      </c>
      <c r="D613" s="47" t="s">
        <v>77</v>
      </c>
      <c r="E613" s="47" t="s">
        <v>22</v>
      </c>
      <c r="F613" s="47" t="s">
        <v>16</v>
      </c>
      <c r="G613" s="47" t="s">
        <v>810</v>
      </c>
      <c r="H613" s="47" t="s">
        <v>61</v>
      </c>
      <c r="I613" s="47" t="s">
        <v>74</v>
      </c>
      <c r="J613" s="47" t="s">
        <v>66</v>
      </c>
      <c r="K613" s="327"/>
      <c r="L613" s="47" t="s">
        <v>71</v>
      </c>
      <c r="M613" s="47" t="s">
        <v>1361</v>
      </c>
    </row>
    <row r="614">
      <c r="A614" s="328">
        <v>43312.0</v>
      </c>
      <c r="B614" s="47" t="s">
        <v>327</v>
      </c>
      <c r="C614" s="47" t="s">
        <v>30</v>
      </c>
      <c r="D614" s="47" t="s">
        <v>386</v>
      </c>
      <c r="E614" s="47" t="s">
        <v>64</v>
      </c>
      <c r="F614" s="47" t="s">
        <v>16</v>
      </c>
      <c r="G614" s="47" t="s">
        <v>1376</v>
      </c>
      <c r="H614" s="47" t="s">
        <v>97</v>
      </c>
      <c r="I614" s="47" t="s">
        <v>127</v>
      </c>
      <c r="J614" s="47" t="s">
        <v>66</v>
      </c>
      <c r="K614" s="327"/>
      <c r="L614" s="47" t="s">
        <v>68</v>
      </c>
      <c r="M614" s="47" t="s">
        <v>1361</v>
      </c>
    </row>
    <row r="615">
      <c r="A615" s="328">
        <v>43343.0</v>
      </c>
      <c r="B615" s="47" t="s">
        <v>56</v>
      </c>
      <c r="C615" s="47" t="s">
        <v>20</v>
      </c>
      <c r="D615" s="47" t="s">
        <v>27</v>
      </c>
      <c r="E615" s="47" t="s">
        <v>22</v>
      </c>
      <c r="F615" s="47" t="s">
        <v>16</v>
      </c>
      <c r="G615" s="47" t="s">
        <v>812</v>
      </c>
      <c r="H615" s="47" t="s">
        <v>1373</v>
      </c>
      <c r="I615" s="47" t="s">
        <v>70</v>
      </c>
      <c r="J615" s="327"/>
      <c r="K615" s="327"/>
      <c r="L615" s="47" t="s">
        <v>71</v>
      </c>
      <c r="M615" s="47" t="s">
        <v>1361</v>
      </c>
    </row>
    <row r="616">
      <c r="A616" s="328">
        <v>43347.0</v>
      </c>
      <c r="B616" s="47" t="s">
        <v>56</v>
      </c>
      <c r="C616" s="47" t="s">
        <v>72</v>
      </c>
      <c r="D616" s="47" t="s">
        <v>77</v>
      </c>
      <c r="E616" s="47" t="s">
        <v>22</v>
      </c>
      <c r="F616" s="47" t="s">
        <v>16</v>
      </c>
      <c r="G616" s="47" t="s">
        <v>813</v>
      </c>
      <c r="H616" s="47" t="s">
        <v>61</v>
      </c>
      <c r="I616" s="47" t="s">
        <v>74</v>
      </c>
      <c r="J616" s="47" t="s">
        <v>66</v>
      </c>
      <c r="K616" s="327"/>
      <c r="L616" s="47" t="s">
        <v>71</v>
      </c>
      <c r="M616" s="47" t="s">
        <v>1361</v>
      </c>
    </row>
    <row r="617">
      <c r="A617" s="328">
        <v>43339.0</v>
      </c>
      <c r="B617" s="47" t="s">
        <v>56</v>
      </c>
      <c r="C617" s="47" t="s">
        <v>49</v>
      </c>
      <c r="D617" s="47" t="s">
        <v>77</v>
      </c>
      <c r="E617" s="47" t="s">
        <v>22</v>
      </c>
      <c r="F617" s="47" t="s">
        <v>16</v>
      </c>
      <c r="G617" s="47" t="s">
        <v>814</v>
      </c>
      <c r="H617" s="47" t="s">
        <v>748</v>
      </c>
      <c r="I617" s="47" t="s">
        <v>115</v>
      </c>
      <c r="J617" s="47" t="s">
        <v>66</v>
      </c>
      <c r="K617" s="327"/>
      <c r="L617" s="47" t="s">
        <v>71</v>
      </c>
      <c r="M617" s="47" t="s">
        <v>1361</v>
      </c>
    </row>
    <row r="618">
      <c r="A618" s="328">
        <v>43320.0</v>
      </c>
      <c r="B618" s="47" t="s">
        <v>327</v>
      </c>
      <c r="C618" s="47" t="s">
        <v>26</v>
      </c>
      <c r="D618" s="47" t="s">
        <v>386</v>
      </c>
      <c r="E618" s="47" t="s">
        <v>22</v>
      </c>
      <c r="F618" s="47" t="s">
        <v>16</v>
      </c>
      <c r="G618" s="47" t="s">
        <v>815</v>
      </c>
      <c r="H618" s="47" t="s">
        <v>748</v>
      </c>
      <c r="I618" s="47" t="s">
        <v>346</v>
      </c>
      <c r="J618" s="47" t="s">
        <v>127</v>
      </c>
      <c r="K618" s="327"/>
      <c r="L618" s="47" t="s">
        <v>63</v>
      </c>
      <c r="M618" s="47" t="s">
        <v>1361</v>
      </c>
    </row>
    <row r="619">
      <c r="A619" s="328">
        <v>43312.0</v>
      </c>
      <c r="B619" s="47" t="s">
        <v>327</v>
      </c>
      <c r="C619" s="47" t="s">
        <v>723</v>
      </c>
      <c r="D619" s="47" t="s">
        <v>386</v>
      </c>
      <c r="E619" s="47" t="s">
        <v>22</v>
      </c>
      <c r="F619" s="47" t="s">
        <v>16</v>
      </c>
      <c r="G619" s="47" t="s">
        <v>1377</v>
      </c>
      <c r="H619" s="47" t="s">
        <v>748</v>
      </c>
      <c r="I619" s="47" t="s">
        <v>346</v>
      </c>
      <c r="J619" s="47" t="s">
        <v>66</v>
      </c>
      <c r="K619" s="327"/>
      <c r="L619" s="47" t="s">
        <v>63</v>
      </c>
      <c r="M619" s="47" t="s">
        <v>1361</v>
      </c>
    </row>
    <row r="620">
      <c r="A620" s="328">
        <v>43227.0</v>
      </c>
      <c r="B620" s="47" t="s">
        <v>385</v>
      </c>
      <c r="C620" s="47" t="s">
        <v>49</v>
      </c>
      <c r="D620" s="47" t="s">
        <v>386</v>
      </c>
      <c r="E620" s="47" t="s">
        <v>22</v>
      </c>
      <c r="F620" s="47" t="s">
        <v>16</v>
      </c>
      <c r="G620" s="47" t="s">
        <v>1378</v>
      </c>
      <c r="H620" s="47" t="s">
        <v>748</v>
      </c>
      <c r="I620" s="47" t="s">
        <v>66</v>
      </c>
      <c r="J620" s="47" t="s">
        <v>66</v>
      </c>
      <c r="K620" s="327"/>
      <c r="L620" s="47" t="s">
        <v>63</v>
      </c>
      <c r="M620" s="47" t="s">
        <v>1361</v>
      </c>
    </row>
    <row r="621">
      <c r="A621" s="328">
        <v>43304.0</v>
      </c>
      <c r="B621" s="47" t="s">
        <v>75</v>
      </c>
      <c r="C621" s="47" t="s">
        <v>57</v>
      </c>
      <c r="D621" s="47" t="s">
        <v>265</v>
      </c>
      <c r="E621" s="47" t="s">
        <v>22</v>
      </c>
      <c r="F621" s="47" t="s">
        <v>16</v>
      </c>
      <c r="G621" s="47" t="s">
        <v>1379</v>
      </c>
      <c r="H621" s="47" t="s">
        <v>748</v>
      </c>
      <c r="I621" s="47" t="s">
        <v>717</v>
      </c>
      <c r="J621" s="47" t="s">
        <v>66</v>
      </c>
      <c r="K621" s="327"/>
      <c r="L621" s="47" t="s">
        <v>68</v>
      </c>
      <c r="M621" s="47" t="s">
        <v>1361</v>
      </c>
    </row>
    <row r="622">
      <c r="A622" s="328">
        <v>43304.0</v>
      </c>
      <c r="B622" s="47" t="s">
        <v>75</v>
      </c>
      <c r="C622" s="47" t="s">
        <v>57</v>
      </c>
      <c r="D622" s="47" t="s">
        <v>265</v>
      </c>
      <c r="E622" s="47" t="s">
        <v>22</v>
      </c>
      <c r="F622" s="47" t="s">
        <v>16</v>
      </c>
      <c r="G622" s="47" t="s">
        <v>1380</v>
      </c>
      <c r="H622" s="47" t="s">
        <v>748</v>
      </c>
      <c r="I622" s="47" t="s">
        <v>717</v>
      </c>
      <c r="J622" s="327"/>
      <c r="K622" s="327"/>
      <c r="L622" s="47" t="s">
        <v>68</v>
      </c>
      <c r="M622" s="47" t="s">
        <v>1361</v>
      </c>
    </row>
    <row r="623">
      <c r="A623" s="328">
        <v>43304.0</v>
      </c>
      <c r="B623" s="47" t="s">
        <v>75</v>
      </c>
      <c r="C623" s="47" t="s">
        <v>57</v>
      </c>
      <c r="D623" s="47" t="s">
        <v>265</v>
      </c>
      <c r="E623" s="47" t="s">
        <v>22</v>
      </c>
      <c r="F623" s="47" t="s">
        <v>16</v>
      </c>
      <c r="G623" s="47" t="s">
        <v>1381</v>
      </c>
      <c r="H623" s="47" t="s">
        <v>748</v>
      </c>
      <c r="I623" s="47" t="s">
        <v>717</v>
      </c>
      <c r="J623" s="327"/>
      <c r="K623" s="327"/>
      <c r="L623" s="47" t="s">
        <v>68</v>
      </c>
      <c r="M623" s="47" t="s">
        <v>1361</v>
      </c>
    </row>
    <row r="624">
      <c r="A624" s="328">
        <v>43304.0</v>
      </c>
      <c r="B624" s="47" t="s">
        <v>75</v>
      </c>
      <c r="C624" s="47" t="s">
        <v>57</v>
      </c>
      <c r="D624" s="47" t="s">
        <v>265</v>
      </c>
      <c r="E624" s="47" t="s">
        <v>22</v>
      </c>
      <c r="F624" s="47" t="s">
        <v>16</v>
      </c>
      <c r="G624" s="47" t="s">
        <v>1382</v>
      </c>
      <c r="H624" s="47" t="s">
        <v>748</v>
      </c>
      <c r="I624" s="47" t="s">
        <v>717</v>
      </c>
      <c r="J624" s="327"/>
      <c r="K624" s="327"/>
      <c r="L624" s="47" t="s">
        <v>68</v>
      </c>
      <c r="M624" s="47" t="s">
        <v>1361</v>
      </c>
    </row>
    <row r="625">
      <c r="A625" s="328">
        <v>43227.0</v>
      </c>
      <c r="B625" s="47" t="s">
        <v>385</v>
      </c>
      <c r="C625" s="47" t="s">
        <v>49</v>
      </c>
      <c r="D625" s="47" t="s">
        <v>386</v>
      </c>
      <c r="E625" s="47" t="s">
        <v>22</v>
      </c>
      <c r="F625" s="47" t="s">
        <v>16</v>
      </c>
      <c r="G625" s="47" t="s">
        <v>1383</v>
      </c>
      <c r="H625" s="47" t="s">
        <v>748</v>
      </c>
      <c r="I625" s="47" t="s">
        <v>66</v>
      </c>
      <c r="J625" s="327"/>
      <c r="K625" s="327"/>
      <c r="L625" s="47" t="s">
        <v>68</v>
      </c>
      <c r="M625" s="47" t="s">
        <v>1361</v>
      </c>
    </row>
    <row r="626">
      <c r="A626" s="328">
        <v>43227.0</v>
      </c>
      <c r="B626" s="47" t="s">
        <v>385</v>
      </c>
      <c r="C626" s="47" t="s">
        <v>26</v>
      </c>
      <c r="D626" s="47" t="s">
        <v>386</v>
      </c>
      <c r="E626" s="47" t="s">
        <v>64</v>
      </c>
      <c r="F626" s="47" t="s">
        <v>16</v>
      </c>
      <c r="G626" s="47" t="s">
        <v>823</v>
      </c>
      <c r="H626" s="47" t="s">
        <v>748</v>
      </c>
      <c r="I626" s="47" t="s">
        <v>74</v>
      </c>
      <c r="J626" s="327"/>
      <c r="K626" s="327"/>
      <c r="L626" s="47" t="s">
        <v>68</v>
      </c>
      <c r="M626" s="47" t="s">
        <v>1361</v>
      </c>
    </row>
    <row r="627">
      <c r="A627" s="328">
        <v>43209.0</v>
      </c>
      <c r="B627" s="47" t="s">
        <v>385</v>
      </c>
      <c r="C627" s="47" t="s">
        <v>26</v>
      </c>
      <c r="D627" s="47" t="s">
        <v>386</v>
      </c>
      <c r="E627" s="47" t="s">
        <v>22</v>
      </c>
      <c r="F627" s="47" t="s">
        <v>16</v>
      </c>
      <c r="G627" s="47" t="s">
        <v>1384</v>
      </c>
      <c r="H627" s="47" t="s">
        <v>748</v>
      </c>
      <c r="I627" s="47" t="s">
        <v>66</v>
      </c>
      <c r="J627" s="327"/>
      <c r="K627" s="327"/>
      <c r="L627" s="47" t="s">
        <v>68</v>
      </c>
      <c r="M627" s="47" t="s">
        <v>1361</v>
      </c>
    </row>
    <row r="628">
      <c r="A628" s="328">
        <v>43210.0</v>
      </c>
      <c r="B628" s="47" t="s">
        <v>385</v>
      </c>
      <c r="C628" s="47" t="s">
        <v>20</v>
      </c>
      <c r="D628" s="47" t="s">
        <v>81</v>
      </c>
      <c r="E628" s="47" t="s">
        <v>64</v>
      </c>
      <c r="F628" s="47" t="s">
        <v>16</v>
      </c>
      <c r="G628" s="47" t="s">
        <v>825</v>
      </c>
      <c r="H628" s="47" t="s">
        <v>748</v>
      </c>
      <c r="I628" s="47" t="s">
        <v>70</v>
      </c>
      <c r="J628" s="327"/>
      <c r="K628" s="327"/>
      <c r="L628" s="47" t="s">
        <v>68</v>
      </c>
      <c r="M628" s="47" t="s">
        <v>1361</v>
      </c>
    </row>
    <row r="629">
      <c r="A629" s="328">
        <v>43283.0</v>
      </c>
      <c r="B629" s="47" t="s">
        <v>385</v>
      </c>
      <c r="C629" s="47" t="s">
        <v>57</v>
      </c>
      <c r="D629" s="47" t="s">
        <v>89</v>
      </c>
      <c r="E629" s="47" t="s">
        <v>15</v>
      </c>
      <c r="F629" s="47" t="s">
        <v>16</v>
      </c>
      <c r="G629" s="47" t="s">
        <v>826</v>
      </c>
      <c r="H629" s="47" t="s">
        <v>748</v>
      </c>
      <c r="I629" s="47" t="s">
        <v>717</v>
      </c>
      <c r="J629" s="327"/>
      <c r="K629" s="327"/>
      <c r="L629" s="47" t="s">
        <v>68</v>
      </c>
      <c r="M629" s="47" t="s">
        <v>1361</v>
      </c>
    </row>
    <row r="630">
      <c r="A630" s="328">
        <v>43283.0</v>
      </c>
      <c r="B630" s="47" t="s">
        <v>385</v>
      </c>
      <c r="C630" s="47" t="s">
        <v>57</v>
      </c>
      <c r="D630" s="47" t="s">
        <v>386</v>
      </c>
      <c r="E630" s="47" t="s">
        <v>22</v>
      </c>
      <c r="F630" s="47" t="s">
        <v>16</v>
      </c>
      <c r="G630" s="47" t="s">
        <v>1385</v>
      </c>
      <c r="H630" s="47" t="s">
        <v>748</v>
      </c>
      <c r="I630" s="47" t="s">
        <v>717</v>
      </c>
      <c r="J630" s="327"/>
      <c r="K630" s="327"/>
      <c r="L630" s="47" t="s">
        <v>68</v>
      </c>
      <c r="M630" s="47" t="s">
        <v>1361</v>
      </c>
    </row>
    <row r="631">
      <c r="A631" s="328">
        <v>43291.0</v>
      </c>
      <c r="B631" s="47" t="s">
        <v>385</v>
      </c>
      <c r="C631" s="47" t="s">
        <v>723</v>
      </c>
      <c r="D631" s="47" t="s">
        <v>386</v>
      </c>
      <c r="E631" s="47" t="s">
        <v>15</v>
      </c>
      <c r="F631" s="47" t="s">
        <v>16</v>
      </c>
      <c r="G631" s="47" t="s">
        <v>828</v>
      </c>
      <c r="H631" s="47" t="s">
        <v>748</v>
      </c>
      <c r="I631" s="47" t="s">
        <v>346</v>
      </c>
      <c r="J631" s="327"/>
      <c r="K631" s="327"/>
      <c r="L631" s="47" t="s">
        <v>63</v>
      </c>
      <c r="M631" s="47" t="s">
        <v>1361</v>
      </c>
    </row>
    <row r="632">
      <c r="A632" s="328">
        <v>43293.0</v>
      </c>
      <c r="B632" s="47" t="s">
        <v>385</v>
      </c>
      <c r="C632" s="47" t="s">
        <v>20</v>
      </c>
      <c r="D632" s="47" t="s">
        <v>81</v>
      </c>
      <c r="E632" s="47" t="s">
        <v>22</v>
      </c>
      <c r="F632" s="47" t="s">
        <v>16</v>
      </c>
      <c r="G632" s="47" t="s">
        <v>1386</v>
      </c>
      <c r="H632" s="47" t="s">
        <v>748</v>
      </c>
      <c r="I632" s="47" t="s">
        <v>70</v>
      </c>
      <c r="J632" s="327"/>
      <c r="K632" s="327"/>
      <c r="L632" s="47" t="s">
        <v>68</v>
      </c>
      <c r="M632" s="47" t="s">
        <v>1361</v>
      </c>
    </row>
    <row r="633">
      <c r="A633" s="328">
        <v>43887.0</v>
      </c>
      <c r="B633" s="47" t="s">
        <v>25</v>
      </c>
      <c r="C633" s="47" t="s">
        <v>76</v>
      </c>
      <c r="D633" s="47" t="s">
        <v>44</v>
      </c>
      <c r="E633" s="47" t="s">
        <v>22</v>
      </c>
      <c r="F633" s="47" t="s">
        <v>16</v>
      </c>
      <c r="G633" s="47" t="s">
        <v>832</v>
      </c>
      <c r="H633" s="47" t="s">
        <v>61</v>
      </c>
      <c r="I633" s="47" t="s">
        <v>346</v>
      </c>
      <c r="J633" s="47" t="s">
        <v>66</v>
      </c>
      <c r="K633" s="327"/>
      <c r="L633" s="47" t="s">
        <v>71</v>
      </c>
      <c r="M633" s="47" t="s">
        <v>1387</v>
      </c>
    </row>
    <row r="634">
      <c r="A634" s="328">
        <v>43802.0</v>
      </c>
      <c r="B634" s="47" t="s">
        <v>43</v>
      </c>
      <c r="C634" s="47" t="s">
        <v>49</v>
      </c>
      <c r="D634" s="47" t="s">
        <v>95</v>
      </c>
      <c r="E634" s="47" t="s">
        <v>64</v>
      </c>
      <c r="F634" s="47" t="s">
        <v>64</v>
      </c>
      <c r="G634" s="47" t="s">
        <v>833</v>
      </c>
      <c r="H634" s="47" t="s">
        <v>61</v>
      </c>
      <c r="I634" s="47" t="s">
        <v>115</v>
      </c>
      <c r="J634" s="47" t="s">
        <v>66</v>
      </c>
      <c r="K634" s="327"/>
      <c r="L634" s="47" t="s">
        <v>71</v>
      </c>
      <c r="M634" s="47" t="s">
        <v>1387</v>
      </c>
    </row>
    <row r="635">
      <c r="A635" s="328">
        <v>43784.0</v>
      </c>
      <c r="B635" s="47" t="s">
        <v>25</v>
      </c>
      <c r="C635" s="47" t="s">
        <v>57</v>
      </c>
      <c r="D635" s="47" t="s">
        <v>58</v>
      </c>
      <c r="E635" s="47" t="s">
        <v>22</v>
      </c>
      <c r="F635" s="47" t="s">
        <v>16</v>
      </c>
      <c r="G635" s="47" t="s">
        <v>834</v>
      </c>
      <c r="H635" s="327"/>
      <c r="I635" s="47" t="s">
        <v>717</v>
      </c>
      <c r="J635" s="47" t="s">
        <v>717</v>
      </c>
      <c r="K635" s="327"/>
      <c r="L635" s="47" t="s">
        <v>71</v>
      </c>
      <c r="M635" s="47" t="s">
        <v>1387</v>
      </c>
    </row>
    <row r="636">
      <c r="A636" s="328">
        <v>43769.0</v>
      </c>
      <c r="B636" s="47" t="s">
        <v>19</v>
      </c>
      <c r="C636" s="47" t="s">
        <v>57</v>
      </c>
      <c r="D636" s="47" t="s">
        <v>21</v>
      </c>
      <c r="E636" s="47" t="s">
        <v>22</v>
      </c>
      <c r="F636" s="47" t="s">
        <v>16</v>
      </c>
      <c r="G636" s="47" t="s">
        <v>835</v>
      </c>
      <c r="H636" s="47" t="s">
        <v>97</v>
      </c>
      <c r="I636" s="47" t="s">
        <v>717</v>
      </c>
      <c r="J636" s="47" t="s">
        <v>66</v>
      </c>
      <c r="K636" s="327"/>
      <c r="L636" s="47" t="s">
        <v>71</v>
      </c>
      <c r="M636" s="47" t="s">
        <v>1387</v>
      </c>
    </row>
    <row r="637">
      <c r="A637" s="328">
        <v>43769.0</v>
      </c>
      <c r="B637" s="47" t="s">
        <v>19</v>
      </c>
      <c r="C637" s="47" t="s">
        <v>57</v>
      </c>
      <c r="D637" s="47" t="s">
        <v>21</v>
      </c>
      <c r="E637" s="47" t="s">
        <v>22</v>
      </c>
      <c r="F637" s="47" t="s">
        <v>16</v>
      </c>
      <c r="G637" s="47" t="s">
        <v>1388</v>
      </c>
      <c r="H637" s="47" t="s">
        <v>97</v>
      </c>
      <c r="I637" s="47" t="s">
        <v>717</v>
      </c>
      <c r="J637" s="47" t="s">
        <v>66</v>
      </c>
      <c r="K637" s="327"/>
      <c r="L637" s="47" t="s">
        <v>71</v>
      </c>
      <c r="M637" s="47" t="s">
        <v>1387</v>
      </c>
    </row>
    <row r="638">
      <c r="A638" s="328">
        <v>43761.0</v>
      </c>
      <c r="B638" s="47" t="s">
        <v>19</v>
      </c>
      <c r="C638" s="47" t="s">
        <v>36</v>
      </c>
      <c r="D638" s="47" t="s">
        <v>14</v>
      </c>
      <c r="E638" s="47" t="s">
        <v>22</v>
      </c>
      <c r="F638" s="47" t="s">
        <v>16</v>
      </c>
      <c r="G638" s="47" t="s">
        <v>837</v>
      </c>
      <c r="H638" s="47" t="s">
        <v>61</v>
      </c>
      <c r="I638" s="47" t="s">
        <v>66</v>
      </c>
      <c r="J638" s="327"/>
      <c r="K638" s="327"/>
      <c r="L638" s="47" t="s">
        <v>162</v>
      </c>
      <c r="M638" s="47" t="s">
        <v>1387</v>
      </c>
    </row>
    <row r="639">
      <c r="A639" s="328">
        <v>43761.0</v>
      </c>
      <c r="B639" s="47" t="s">
        <v>19</v>
      </c>
      <c r="C639" s="47" t="s">
        <v>57</v>
      </c>
      <c r="D639" s="47" t="s">
        <v>58</v>
      </c>
      <c r="E639" s="47" t="s">
        <v>22</v>
      </c>
      <c r="F639" s="47" t="s">
        <v>16</v>
      </c>
      <c r="G639" s="47" t="s">
        <v>838</v>
      </c>
      <c r="H639" s="327"/>
      <c r="I639" s="47" t="s">
        <v>717</v>
      </c>
      <c r="J639" s="327"/>
      <c r="K639" s="327"/>
      <c r="L639" s="47" t="s">
        <v>71</v>
      </c>
      <c r="M639" s="47" t="s">
        <v>1387</v>
      </c>
    </row>
    <row r="640">
      <c r="A640" s="328">
        <v>43748.0</v>
      </c>
      <c r="B640" s="47" t="s">
        <v>43</v>
      </c>
      <c r="C640" s="47" t="s">
        <v>57</v>
      </c>
      <c r="D640" s="47" t="s">
        <v>58</v>
      </c>
      <c r="E640" s="47" t="s">
        <v>22</v>
      </c>
      <c r="F640" s="47" t="s">
        <v>16</v>
      </c>
      <c r="G640" s="47" t="s">
        <v>839</v>
      </c>
      <c r="H640" s="327"/>
      <c r="I640" s="47" t="s">
        <v>717</v>
      </c>
      <c r="J640" s="327"/>
      <c r="K640" s="327"/>
      <c r="L640" s="47" t="s">
        <v>68</v>
      </c>
      <c r="M640" s="47" t="s">
        <v>1387</v>
      </c>
    </row>
    <row r="641">
      <c r="A641" s="328">
        <v>43750.0</v>
      </c>
      <c r="B641" s="47" t="s">
        <v>43</v>
      </c>
      <c r="C641" s="47" t="s">
        <v>49</v>
      </c>
      <c r="D641" s="47" t="s">
        <v>27</v>
      </c>
      <c r="E641" s="47" t="s">
        <v>22</v>
      </c>
      <c r="F641" s="47" t="s">
        <v>16</v>
      </c>
      <c r="G641" s="47" t="s">
        <v>840</v>
      </c>
      <c r="H641" s="327"/>
      <c r="I641" s="327"/>
      <c r="J641" s="327"/>
      <c r="K641" s="327"/>
      <c r="L641" s="47" t="s">
        <v>68</v>
      </c>
      <c r="M641" s="47" t="s">
        <v>1387</v>
      </c>
    </row>
    <row r="642">
      <c r="A642" s="328">
        <v>43748.0</v>
      </c>
      <c r="B642" s="47" t="s">
        <v>43</v>
      </c>
      <c r="C642" s="47" t="s">
        <v>20</v>
      </c>
      <c r="D642" s="47" t="s">
        <v>21</v>
      </c>
      <c r="E642" s="47" t="s">
        <v>22</v>
      </c>
      <c r="F642" s="47" t="s">
        <v>64</v>
      </c>
      <c r="G642" s="47" t="s">
        <v>841</v>
      </c>
      <c r="H642" s="327"/>
      <c r="I642" s="47" t="s">
        <v>70</v>
      </c>
      <c r="J642" s="327"/>
      <c r="K642" s="327"/>
      <c r="L642" s="47" t="s">
        <v>68</v>
      </c>
      <c r="M642" s="47" t="s">
        <v>1387</v>
      </c>
    </row>
    <row r="643">
      <c r="A643" s="328">
        <v>43748.0</v>
      </c>
      <c r="B643" s="47" t="s">
        <v>43</v>
      </c>
      <c r="C643" s="47" t="s">
        <v>49</v>
      </c>
      <c r="D643" s="47" t="s">
        <v>58</v>
      </c>
      <c r="E643" s="47" t="s">
        <v>22</v>
      </c>
      <c r="F643" s="47" t="s">
        <v>64</v>
      </c>
      <c r="G643" s="47" t="s">
        <v>842</v>
      </c>
      <c r="H643" s="327"/>
      <c r="I643" s="47" t="s">
        <v>115</v>
      </c>
      <c r="J643" s="47" t="s">
        <v>70</v>
      </c>
      <c r="K643" s="327"/>
      <c r="L643" s="47" t="s">
        <v>71</v>
      </c>
      <c r="M643" s="47" t="s">
        <v>1387</v>
      </c>
    </row>
    <row r="644">
      <c r="A644" s="328">
        <v>43748.0</v>
      </c>
      <c r="B644" s="47" t="s">
        <v>43</v>
      </c>
      <c r="C644" s="47" t="s">
        <v>57</v>
      </c>
      <c r="D644" s="47" t="s">
        <v>58</v>
      </c>
      <c r="E644" s="47" t="s">
        <v>22</v>
      </c>
      <c r="F644" s="47" t="s">
        <v>16</v>
      </c>
      <c r="G644" s="47" t="s">
        <v>843</v>
      </c>
      <c r="H644" s="327"/>
      <c r="I644" s="47" t="s">
        <v>717</v>
      </c>
      <c r="J644" s="47" t="s">
        <v>115</v>
      </c>
      <c r="K644" s="47" t="s">
        <v>97</v>
      </c>
      <c r="L644" s="47" t="s">
        <v>71</v>
      </c>
      <c r="M644" s="47" t="s">
        <v>1387</v>
      </c>
    </row>
    <row r="645">
      <c r="A645" s="328">
        <v>43737.0</v>
      </c>
      <c r="B645" s="47" t="s">
        <v>43</v>
      </c>
      <c r="C645" s="47" t="s">
        <v>30</v>
      </c>
      <c r="D645" s="47" t="s">
        <v>58</v>
      </c>
      <c r="E645" s="47" t="s">
        <v>22</v>
      </c>
      <c r="F645" s="47" t="s">
        <v>16</v>
      </c>
      <c r="G645" s="47" t="s">
        <v>844</v>
      </c>
      <c r="H645" s="47" t="s">
        <v>61</v>
      </c>
      <c r="I645" s="47" t="s">
        <v>127</v>
      </c>
      <c r="J645" s="47" t="s">
        <v>66</v>
      </c>
      <c r="K645" s="327"/>
      <c r="L645" s="47" t="s">
        <v>71</v>
      </c>
      <c r="M645" s="47" t="s">
        <v>1387</v>
      </c>
    </row>
    <row r="646">
      <c r="A646" s="328">
        <v>43737.0</v>
      </c>
      <c r="B646" s="47" t="s">
        <v>43</v>
      </c>
      <c r="C646" s="47" t="s">
        <v>26</v>
      </c>
      <c r="D646" s="47" t="s">
        <v>58</v>
      </c>
      <c r="E646" s="47" t="s">
        <v>22</v>
      </c>
      <c r="F646" s="47" t="s">
        <v>16</v>
      </c>
      <c r="G646" s="47" t="s">
        <v>845</v>
      </c>
      <c r="H646" s="327"/>
      <c r="I646" s="47" t="s">
        <v>717</v>
      </c>
      <c r="J646" s="47" t="s">
        <v>66</v>
      </c>
      <c r="K646" s="327"/>
      <c r="L646" s="47" t="s">
        <v>71</v>
      </c>
      <c r="M646" s="47" t="s">
        <v>1387</v>
      </c>
    </row>
    <row r="647">
      <c r="A647" s="328">
        <v>43737.0</v>
      </c>
      <c r="B647" s="47" t="s">
        <v>43</v>
      </c>
      <c r="C647" s="47" t="s">
        <v>83</v>
      </c>
      <c r="D647" s="47" t="s">
        <v>58</v>
      </c>
      <c r="E647" s="47" t="s">
        <v>22</v>
      </c>
      <c r="F647" s="47" t="s">
        <v>16</v>
      </c>
      <c r="G647" s="47" t="s">
        <v>846</v>
      </c>
      <c r="H647" s="327"/>
      <c r="I647" s="47" t="s">
        <v>66</v>
      </c>
      <c r="J647" s="327"/>
      <c r="K647" s="327"/>
      <c r="L647" s="47" t="s">
        <v>71</v>
      </c>
      <c r="M647" s="47" t="s">
        <v>1387</v>
      </c>
    </row>
    <row r="648">
      <c r="A648" s="328">
        <v>43726.0</v>
      </c>
      <c r="B648" s="47" t="s">
        <v>43</v>
      </c>
      <c r="C648" s="47" t="s">
        <v>49</v>
      </c>
      <c r="D648" s="47" t="s">
        <v>58</v>
      </c>
      <c r="E648" s="47" t="s">
        <v>22</v>
      </c>
      <c r="F648" s="47" t="s">
        <v>16</v>
      </c>
      <c r="G648" s="47" t="s">
        <v>847</v>
      </c>
      <c r="H648" s="47" t="s">
        <v>61</v>
      </c>
      <c r="I648" s="47" t="s">
        <v>70</v>
      </c>
      <c r="J648" s="47" t="s">
        <v>66</v>
      </c>
      <c r="K648" s="327"/>
      <c r="L648" s="47" t="s">
        <v>167</v>
      </c>
      <c r="M648" s="47" t="s">
        <v>1387</v>
      </c>
    </row>
    <row r="649">
      <c r="A649" s="328">
        <v>43733.0</v>
      </c>
      <c r="B649" s="47" t="s">
        <v>43</v>
      </c>
      <c r="C649" s="47" t="s">
        <v>49</v>
      </c>
      <c r="D649" s="47" t="s">
        <v>58</v>
      </c>
      <c r="E649" s="47" t="s">
        <v>22</v>
      </c>
      <c r="F649" s="47" t="s">
        <v>16</v>
      </c>
      <c r="G649" s="47" t="s">
        <v>848</v>
      </c>
      <c r="H649" s="47" t="s">
        <v>61</v>
      </c>
      <c r="I649" s="47" t="s">
        <v>66</v>
      </c>
      <c r="J649" s="47" t="s">
        <v>70</v>
      </c>
      <c r="K649" s="327"/>
      <c r="L649" s="47" t="s">
        <v>167</v>
      </c>
      <c r="M649" s="47" t="s">
        <v>1387</v>
      </c>
    </row>
    <row r="650">
      <c r="A650" s="328">
        <v>43726.0</v>
      </c>
      <c r="B650" s="47" t="s">
        <v>43</v>
      </c>
      <c r="C650" s="47" t="s">
        <v>49</v>
      </c>
      <c r="D650" s="47" t="s">
        <v>58</v>
      </c>
      <c r="E650" s="47" t="s">
        <v>22</v>
      </c>
      <c r="F650" s="47" t="s">
        <v>16</v>
      </c>
      <c r="G650" s="47" t="s">
        <v>849</v>
      </c>
      <c r="H650" s="47" t="s">
        <v>61</v>
      </c>
      <c r="I650" s="47" t="s">
        <v>717</v>
      </c>
      <c r="J650" s="47" t="s">
        <v>66</v>
      </c>
      <c r="K650" s="327"/>
      <c r="L650" s="47" t="s">
        <v>167</v>
      </c>
      <c r="M650" s="47" t="s">
        <v>1387</v>
      </c>
    </row>
    <row r="651">
      <c r="A651" s="328">
        <v>43725.0</v>
      </c>
      <c r="B651" s="47" t="s">
        <v>43</v>
      </c>
      <c r="C651" s="47" t="s">
        <v>49</v>
      </c>
      <c r="D651" s="47" t="s">
        <v>58</v>
      </c>
      <c r="E651" s="47" t="s">
        <v>22</v>
      </c>
      <c r="F651" s="47" t="s">
        <v>16</v>
      </c>
      <c r="G651" s="47" t="s">
        <v>850</v>
      </c>
      <c r="H651" s="327"/>
      <c r="I651" s="47" t="s">
        <v>115</v>
      </c>
      <c r="J651" s="47" t="s">
        <v>717</v>
      </c>
      <c r="K651" s="327"/>
      <c r="L651" s="47" t="s">
        <v>71</v>
      </c>
      <c r="M651" s="47" t="s">
        <v>1387</v>
      </c>
    </row>
    <row r="652">
      <c r="A652" s="328">
        <v>43725.0</v>
      </c>
      <c r="B652" s="47" t="s">
        <v>43</v>
      </c>
      <c r="C652" s="47" t="s">
        <v>49</v>
      </c>
      <c r="D652" s="47" t="s">
        <v>27</v>
      </c>
      <c r="E652" s="47" t="s">
        <v>22</v>
      </c>
      <c r="F652" s="47" t="s">
        <v>16</v>
      </c>
      <c r="G652" s="47" t="s">
        <v>851</v>
      </c>
      <c r="H652" s="47" t="s">
        <v>748</v>
      </c>
      <c r="I652" s="47" t="s">
        <v>115</v>
      </c>
      <c r="J652" s="47" t="s">
        <v>66</v>
      </c>
      <c r="K652" s="327"/>
      <c r="L652" s="47" t="s">
        <v>71</v>
      </c>
      <c r="M652" s="47" t="s">
        <v>1387</v>
      </c>
    </row>
    <row r="653">
      <c r="A653" s="328">
        <v>43714.0</v>
      </c>
      <c r="B653" s="47" t="s">
        <v>43</v>
      </c>
      <c r="C653" s="47" t="s">
        <v>49</v>
      </c>
      <c r="D653" s="47" t="s">
        <v>27</v>
      </c>
      <c r="E653" s="47" t="s">
        <v>22</v>
      </c>
      <c r="F653" s="47" t="s">
        <v>16</v>
      </c>
      <c r="G653" s="47" t="s">
        <v>852</v>
      </c>
      <c r="H653" s="327"/>
      <c r="I653" s="47" t="s">
        <v>115</v>
      </c>
      <c r="J653" s="327"/>
      <c r="K653" s="327"/>
      <c r="L653" s="47" t="s">
        <v>71</v>
      </c>
      <c r="M653" s="47" t="s">
        <v>1387</v>
      </c>
    </row>
    <row r="654">
      <c r="A654" s="328">
        <v>43714.0</v>
      </c>
      <c r="B654" s="47" t="s">
        <v>43</v>
      </c>
      <c r="C654" s="47" t="s">
        <v>49</v>
      </c>
      <c r="D654" s="47" t="s">
        <v>95</v>
      </c>
      <c r="E654" s="47" t="s">
        <v>22</v>
      </c>
      <c r="F654" s="47" t="s">
        <v>16</v>
      </c>
      <c r="G654" s="47" t="s">
        <v>853</v>
      </c>
      <c r="H654" s="327"/>
      <c r="I654" s="47" t="s">
        <v>115</v>
      </c>
      <c r="J654" s="47" t="s">
        <v>308</v>
      </c>
      <c r="K654" s="327"/>
      <c r="L654" s="47" t="s">
        <v>71</v>
      </c>
      <c r="M654" s="47" t="s">
        <v>1387</v>
      </c>
    </row>
    <row r="655">
      <c r="A655" s="328">
        <v>43712.0</v>
      </c>
      <c r="B655" s="47" t="s">
        <v>43</v>
      </c>
      <c r="C655" s="47" t="s">
        <v>57</v>
      </c>
      <c r="D655" s="47" t="s">
        <v>58</v>
      </c>
      <c r="E655" s="47" t="s">
        <v>22</v>
      </c>
      <c r="F655" s="47" t="s">
        <v>16</v>
      </c>
      <c r="G655" s="47" t="s">
        <v>1389</v>
      </c>
      <c r="H655" s="327"/>
      <c r="I655" s="47" t="s">
        <v>717</v>
      </c>
      <c r="J655" s="327"/>
      <c r="K655" s="327"/>
      <c r="L655" s="47" t="s">
        <v>63</v>
      </c>
      <c r="M655" s="47" t="s">
        <v>1387</v>
      </c>
    </row>
    <row r="656">
      <c r="A656" s="328">
        <v>43710.0</v>
      </c>
      <c r="B656" s="47" t="s">
        <v>43</v>
      </c>
      <c r="C656" s="47" t="s">
        <v>26</v>
      </c>
      <c r="D656" s="47" t="s">
        <v>58</v>
      </c>
      <c r="E656" s="47" t="s">
        <v>22</v>
      </c>
      <c r="F656" s="47" t="s">
        <v>16</v>
      </c>
      <c r="G656" s="47" t="s">
        <v>855</v>
      </c>
      <c r="H656" s="327"/>
      <c r="I656" s="47" t="s">
        <v>70</v>
      </c>
      <c r="J656" s="327"/>
      <c r="K656" s="327"/>
      <c r="L656" s="47" t="s">
        <v>167</v>
      </c>
      <c r="M656" s="47" t="s">
        <v>1387</v>
      </c>
    </row>
    <row r="657">
      <c r="A657" s="328">
        <v>43710.0</v>
      </c>
      <c r="B657" s="47" t="s">
        <v>43</v>
      </c>
      <c r="C657" s="47" t="s">
        <v>26</v>
      </c>
      <c r="D657" s="47" t="s">
        <v>58</v>
      </c>
      <c r="E657" s="47" t="s">
        <v>22</v>
      </c>
      <c r="F657" s="47" t="s">
        <v>16</v>
      </c>
      <c r="G657" s="47" t="s">
        <v>856</v>
      </c>
      <c r="H657" s="327"/>
      <c r="I657" s="47" t="s">
        <v>70</v>
      </c>
      <c r="J657" s="327"/>
      <c r="K657" s="327"/>
      <c r="L657" s="47" t="s">
        <v>167</v>
      </c>
      <c r="M657" s="47" t="s">
        <v>1387</v>
      </c>
    </row>
    <row r="658">
      <c r="A658" s="328">
        <v>43710.0</v>
      </c>
      <c r="B658" s="47" t="s">
        <v>43</v>
      </c>
      <c r="C658" s="47" t="s">
        <v>26</v>
      </c>
      <c r="D658" s="47" t="s">
        <v>58</v>
      </c>
      <c r="E658" s="47" t="s">
        <v>22</v>
      </c>
      <c r="F658" s="47" t="s">
        <v>16</v>
      </c>
      <c r="G658" s="47" t="s">
        <v>857</v>
      </c>
      <c r="H658" s="327"/>
      <c r="I658" s="47" t="s">
        <v>70</v>
      </c>
      <c r="J658" s="327"/>
      <c r="K658" s="327"/>
      <c r="L658" s="47" t="s">
        <v>167</v>
      </c>
      <c r="M658" s="47" t="s">
        <v>1387</v>
      </c>
    </row>
    <row r="659">
      <c r="A659" s="328">
        <v>43710.0</v>
      </c>
      <c r="B659" s="47" t="s">
        <v>43</v>
      </c>
      <c r="C659" s="47" t="s">
        <v>26</v>
      </c>
      <c r="D659" s="47" t="s">
        <v>58</v>
      </c>
      <c r="E659" s="47" t="s">
        <v>22</v>
      </c>
      <c r="F659" s="47" t="s">
        <v>16</v>
      </c>
      <c r="G659" s="47" t="s">
        <v>858</v>
      </c>
      <c r="H659" s="327"/>
      <c r="I659" s="47" t="s">
        <v>70</v>
      </c>
      <c r="J659" s="327"/>
      <c r="K659" s="327"/>
      <c r="L659" s="47" t="s">
        <v>167</v>
      </c>
      <c r="M659" s="47" t="s">
        <v>1387</v>
      </c>
    </row>
    <row r="660">
      <c r="A660" s="328">
        <v>43708.0</v>
      </c>
      <c r="B660" s="47" t="s">
        <v>43</v>
      </c>
      <c r="C660" s="47" t="s">
        <v>371</v>
      </c>
      <c r="D660" s="47" t="s">
        <v>386</v>
      </c>
      <c r="E660" s="47" t="s">
        <v>22</v>
      </c>
      <c r="F660" s="47" t="s">
        <v>16</v>
      </c>
      <c r="G660" s="47" t="s">
        <v>859</v>
      </c>
      <c r="H660" s="327"/>
      <c r="I660" s="47" t="s">
        <v>197</v>
      </c>
      <c r="J660" s="327"/>
      <c r="K660" s="327"/>
      <c r="L660" s="47" t="s">
        <v>68</v>
      </c>
      <c r="M660" s="47" t="s">
        <v>1387</v>
      </c>
    </row>
    <row r="661">
      <c r="A661" s="328">
        <v>43708.0</v>
      </c>
      <c r="B661" s="47" t="s">
        <v>43</v>
      </c>
      <c r="C661" s="47" t="s">
        <v>371</v>
      </c>
      <c r="D661" s="47" t="s">
        <v>386</v>
      </c>
      <c r="E661" s="47" t="s">
        <v>22</v>
      </c>
      <c r="F661" s="47" t="s">
        <v>16</v>
      </c>
      <c r="G661" s="47" t="s">
        <v>860</v>
      </c>
      <c r="H661" s="327"/>
      <c r="I661" s="47" t="s">
        <v>70</v>
      </c>
      <c r="J661" s="327"/>
      <c r="K661" s="327"/>
      <c r="L661" s="47" t="s">
        <v>68</v>
      </c>
      <c r="M661" s="47" t="s">
        <v>1387</v>
      </c>
    </row>
    <row r="662">
      <c r="A662" s="328">
        <v>2.019083E7</v>
      </c>
      <c r="B662" s="47" t="s">
        <v>43</v>
      </c>
      <c r="C662" s="47" t="s">
        <v>20</v>
      </c>
      <c r="D662" s="47" t="s">
        <v>58</v>
      </c>
      <c r="E662" s="47" t="s">
        <v>22</v>
      </c>
      <c r="F662" s="47" t="s">
        <v>16</v>
      </c>
      <c r="G662" s="47" t="s">
        <v>861</v>
      </c>
      <c r="H662" s="327"/>
      <c r="I662" s="47" t="s">
        <v>67</v>
      </c>
      <c r="J662" s="327"/>
      <c r="K662" s="327"/>
      <c r="L662" s="47" t="s">
        <v>167</v>
      </c>
      <c r="M662" s="47" t="s">
        <v>1387</v>
      </c>
    </row>
    <row r="663">
      <c r="A663" s="328">
        <v>2.019083E7</v>
      </c>
      <c r="B663" s="47" t="s">
        <v>43</v>
      </c>
      <c r="C663" s="47" t="s">
        <v>26</v>
      </c>
      <c r="D663" s="47" t="s">
        <v>58</v>
      </c>
      <c r="E663" s="47" t="s">
        <v>22</v>
      </c>
      <c r="F663" s="47" t="s">
        <v>16</v>
      </c>
      <c r="G663" s="47" t="s">
        <v>862</v>
      </c>
      <c r="H663" s="327"/>
      <c r="I663" s="47" t="s">
        <v>67</v>
      </c>
      <c r="J663" s="47" t="s">
        <v>308</v>
      </c>
      <c r="K663" s="327"/>
      <c r="L663" s="47" t="s">
        <v>71</v>
      </c>
      <c r="M663" s="47" t="s">
        <v>1387</v>
      </c>
    </row>
    <row r="664">
      <c r="A664" s="328">
        <v>2.0190815E7</v>
      </c>
      <c r="B664" s="47" t="s">
        <v>56</v>
      </c>
      <c r="C664" s="47" t="s">
        <v>30</v>
      </c>
      <c r="D664" s="47" t="s">
        <v>95</v>
      </c>
      <c r="E664" s="47" t="s">
        <v>22</v>
      </c>
      <c r="F664" s="47" t="s">
        <v>16</v>
      </c>
      <c r="G664" s="47" t="s">
        <v>863</v>
      </c>
      <c r="H664" s="327"/>
      <c r="I664" s="47" t="s">
        <v>67</v>
      </c>
      <c r="J664" s="327"/>
      <c r="K664" s="327"/>
      <c r="L664" s="47" t="s">
        <v>71</v>
      </c>
      <c r="M664" s="47" t="s">
        <v>1387</v>
      </c>
    </row>
    <row r="665">
      <c r="A665" s="328">
        <v>2.0190815E7</v>
      </c>
      <c r="B665" s="47" t="s">
        <v>56</v>
      </c>
      <c r="C665" s="47" t="s">
        <v>30</v>
      </c>
      <c r="D665" s="47" t="s">
        <v>95</v>
      </c>
      <c r="E665" s="47" t="s">
        <v>22</v>
      </c>
      <c r="F665" s="47" t="s">
        <v>16</v>
      </c>
      <c r="G665" s="47" t="s">
        <v>864</v>
      </c>
      <c r="H665" s="47" t="s">
        <v>61</v>
      </c>
      <c r="I665" s="47" t="s">
        <v>127</v>
      </c>
      <c r="J665" s="327"/>
      <c r="K665" s="327"/>
      <c r="L665" s="47" t="s">
        <v>71</v>
      </c>
      <c r="M665" s="47" t="s">
        <v>1387</v>
      </c>
    </row>
    <row r="666">
      <c r="A666" s="328">
        <v>43677.0</v>
      </c>
      <c r="B666" s="47" t="s">
        <v>56</v>
      </c>
      <c r="C666" s="47" t="s">
        <v>57</v>
      </c>
      <c r="D666" s="47" t="s">
        <v>21</v>
      </c>
      <c r="E666" s="47" t="s">
        <v>22</v>
      </c>
      <c r="F666" s="47" t="s">
        <v>16</v>
      </c>
      <c r="G666" s="47" t="s">
        <v>1390</v>
      </c>
      <c r="H666" s="47" t="s">
        <v>97</v>
      </c>
      <c r="I666" s="47" t="s">
        <v>717</v>
      </c>
      <c r="J666" s="327"/>
      <c r="K666" s="327"/>
      <c r="L666" s="47" t="s">
        <v>71</v>
      </c>
      <c r="M666" s="47" t="s">
        <v>1387</v>
      </c>
    </row>
    <row r="667">
      <c r="A667" s="328">
        <v>43703.0</v>
      </c>
      <c r="B667" s="47" t="s">
        <v>43</v>
      </c>
      <c r="C667" s="47" t="s">
        <v>57</v>
      </c>
      <c r="D667" s="47" t="s">
        <v>58</v>
      </c>
      <c r="E667" s="47" t="s">
        <v>22</v>
      </c>
      <c r="F667" s="47" t="s">
        <v>16</v>
      </c>
      <c r="G667" s="47" t="s">
        <v>866</v>
      </c>
      <c r="H667" s="327"/>
      <c r="I667" s="47" t="s">
        <v>717</v>
      </c>
      <c r="J667" s="327"/>
      <c r="K667" s="327"/>
      <c r="L667" s="47" t="s">
        <v>71</v>
      </c>
      <c r="M667" s="47" t="s">
        <v>1387</v>
      </c>
    </row>
    <row r="668">
      <c r="A668" s="328">
        <v>43683.0</v>
      </c>
      <c r="B668" s="47" t="s">
        <v>56</v>
      </c>
      <c r="C668" s="47" t="s">
        <v>36</v>
      </c>
      <c r="D668" s="47" t="s">
        <v>21</v>
      </c>
      <c r="E668" s="47" t="s">
        <v>22</v>
      </c>
      <c r="F668" s="47" t="s">
        <v>16</v>
      </c>
      <c r="G668" s="47" t="s">
        <v>867</v>
      </c>
      <c r="H668" s="47" t="s">
        <v>61</v>
      </c>
      <c r="I668" s="47" t="s">
        <v>463</v>
      </c>
      <c r="J668" s="47" t="s">
        <v>66</v>
      </c>
      <c r="K668" s="327"/>
      <c r="L668" s="47" t="s">
        <v>68</v>
      </c>
      <c r="M668" s="47" t="s">
        <v>1387</v>
      </c>
    </row>
    <row r="669">
      <c r="A669" s="328">
        <v>44000.0</v>
      </c>
      <c r="B669" s="47" t="s">
        <v>172</v>
      </c>
      <c r="C669" s="47" t="s">
        <v>76</v>
      </c>
      <c r="D669" s="47" t="s">
        <v>95</v>
      </c>
      <c r="E669" s="47" t="s">
        <v>22</v>
      </c>
      <c r="F669" s="47" t="s">
        <v>16</v>
      </c>
      <c r="G669" s="47" t="s">
        <v>868</v>
      </c>
      <c r="H669" s="47" t="s">
        <v>112</v>
      </c>
      <c r="I669" s="47" t="s">
        <v>79</v>
      </c>
      <c r="J669" s="47" t="s">
        <v>699</v>
      </c>
      <c r="K669" s="327"/>
      <c r="L669" s="327"/>
      <c r="M669" s="47" t="s">
        <v>1387</v>
      </c>
    </row>
    <row r="670">
      <c r="A670" s="328">
        <v>43675.0</v>
      </c>
      <c r="B670" s="47" t="s">
        <v>56</v>
      </c>
      <c r="C670" s="47" t="s">
        <v>13</v>
      </c>
      <c r="D670" s="47" t="s">
        <v>58</v>
      </c>
      <c r="E670" s="47" t="s">
        <v>22</v>
      </c>
      <c r="F670" s="47" t="s">
        <v>16</v>
      </c>
      <c r="G670" s="47" t="s">
        <v>869</v>
      </c>
      <c r="H670" s="47" t="s">
        <v>112</v>
      </c>
      <c r="I670" s="47" t="s">
        <v>79</v>
      </c>
      <c r="J670" s="327"/>
      <c r="K670" s="327"/>
      <c r="L670" s="47" t="s">
        <v>71</v>
      </c>
      <c r="M670" s="47" t="s">
        <v>1387</v>
      </c>
    </row>
    <row r="671">
      <c r="A671" s="328">
        <v>2.019083E7</v>
      </c>
      <c r="B671" s="47" t="s">
        <v>43</v>
      </c>
      <c r="C671" s="47" t="s">
        <v>26</v>
      </c>
      <c r="D671" s="47" t="s">
        <v>58</v>
      </c>
      <c r="E671" s="47" t="s">
        <v>22</v>
      </c>
      <c r="F671" s="47" t="s">
        <v>16</v>
      </c>
      <c r="G671" s="47" t="s">
        <v>870</v>
      </c>
      <c r="H671" s="327"/>
      <c r="I671" s="47" t="s">
        <v>67</v>
      </c>
      <c r="J671" s="327"/>
      <c r="K671" s="327"/>
      <c r="L671" s="47" t="s">
        <v>71</v>
      </c>
      <c r="M671" s="47" t="s">
        <v>1387</v>
      </c>
    </row>
    <row r="672">
      <c r="A672" s="328">
        <v>43675.0</v>
      </c>
      <c r="B672" s="47" t="s">
        <v>56</v>
      </c>
      <c r="C672" s="47" t="s">
        <v>20</v>
      </c>
      <c r="D672" s="47" t="s">
        <v>58</v>
      </c>
      <c r="E672" s="47" t="s">
        <v>22</v>
      </c>
      <c r="F672" s="47" t="s">
        <v>16</v>
      </c>
      <c r="G672" s="47" t="s">
        <v>871</v>
      </c>
      <c r="H672" s="47" t="s">
        <v>61</v>
      </c>
      <c r="I672" s="47" t="s">
        <v>67</v>
      </c>
      <c r="J672" s="47" t="s">
        <v>66</v>
      </c>
      <c r="K672" s="327"/>
      <c r="L672" s="47" t="s">
        <v>71</v>
      </c>
      <c r="M672" s="47" t="s">
        <v>1387</v>
      </c>
    </row>
    <row r="673">
      <c r="A673" s="328">
        <v>43678.0</v>
      </c>
      <c r="B673" s="47" t="s">
        <v>56</v>
      </c>
      <c r="C673" s="47" t="s">
        <v>30</v>
      </c>
      <c r="D673" s="47" t="s">
        <v>58</v>
      </c>
      <c r="E673" s="47" t="s">
        <v>22</v>
      </c>
      <c r="F673" s="47" t="s">
        <v>16</v>
      </c>
      <c r="G673" s="47" t="s">
        <v>872</v>
      </c>
      <c r="H673" s="47" t="s">
        <v>61</v>
      </c>
      <c r="I673" s="47" t="s">
        <v>127</v>
      </c>
      <c r="J673" s="327"/>
      <c r="K673" s="327"/>
      <c r="L673" s="47" t="s">
        <v>71</v>
      </c>
      <c r="M673" s="47" t="s">
        <v>1387</v>
      </c>
    </row>
    <row r="674">
      <c r="A674" s="328">
        <v>43677.0</v>
      </c>
      <c r="B674" s="47" t="s">
        <v>56</v>
      </c>
      <c r="C674" s="47" t="s">
        <v>76</v>
      </c>
      <c r="D674" s="47" t="s">
        <v>58</v>
      </c>
      <c r="E674" s="47" t="s">
        <v>22</v>
      </c>
      <c r="F674" s="47" t="s">
        <v>16</v>
      </c>
      <c r="G674" s="47" t="s">
        <v>1391</v>
      </c>
      <c r="H674" s="47" t="s">
        <v>61</v>
      </c>
      <c r="I674" s="47" t="s">
        <v>346</v>
      </c>
      <c r="J674" s="47" t="s">
        <v>66</v>
      </c>
      <c r="K674" s="327"/>
      <c r="L674" s="47" t="s">
        <v>71</v>
      </c>
      <c r="M674" s="47" t="s">
        <v>1387</v>
      </c>
    </row>
    <row r="675">
      <c r="A675" s="328">
        <v>43677.0</v>
      </c>
      <c r="B675" s="47" t="s">
        <v>56</v>
      </c>
      <c r="C675" s="47" t="s">
        <v>49</v>
      </c>
      <c r="D675" s="47" t="s">
        <v>58</v>
      </c>
      <c r="E675" s="47" t="s">
        <v>22</v>
      </c>
      <c r="F675" s="47" t="s">
        <v>16</v>
      </c>
      <c r="G675" s="47" t="s">
        <v>874</v>
      </c>
      <c r="H675" s="327"/>
      <c r="I675" s="47" t="s">
        <v>115</v>
      </c>
      <c r="J675" s="327"/>
      <c r="K675" s="327"/>
      <c r="L675" s="47" t="s">
        <v>71</v>
      </c>
      <c r="M675" s="47" t="s">
        <v>1387</v>
      </c>
    </row>
    <row r="676">
      <c r="A676" s="328">
        <v>43677.0</v>
      </c>
      <c r="B676" s="47" t="s">
        <v>56</v>
      </c>
      <c r="C676" s="47" t="s">
        <v>49</v>
      </c>
      <c r="D676" s="47" t="s">
        <v>58</v>
      </c>
      <c r="E676" s="47" t="s">
        <v>22</v>
      </c>
      <c r="F676" s="47" t="s">
        <v>16</v>
      </c>
      <c r="G676" s="47" t="s">
        <v>875</v>
      </c>
      <c r="H676" s="327"/>
      <c r="I676" s="47" t="s">
        <v>115</v>
      </c>
      <c r="J676" s="327"/>
      <c r="K676" s="327"/>
      <c r="L676" s="47" t="s">
        <v>71</v>
      </c>
      <c r="M676" s="47" t="s">
        <v>1387</v>
      </c>
    </row>
    <row r="677">
      <c r="A677" s="328">
        <v>43677.0</v>
      </c>
      <c r="B677" s="47" t="s">
        <v>56</v>
      </c>
      <c r="C677" s="47" t="s">
        <v>76</v>
      </c>
      <c r="D677" s="47" t="s">
        <v>21</v>
      </c>
      <c r="E677" s="47" t="s">
        <v>22</v>
      </c>
      <c r="F677" s="47" t="s">
        <v>16</v>
      </c>
      <c r="G677" s="47" t="s">
        <v>876</v>
      </c>
      <c r="H677" s="47" t="s">
        <v>61</v>
      </c>
      <c r="I677" s="47" t="s">
        <v>346</v>
      </c>
      <c r="J677" s="47" t="s">
        <v>308</v>
      </c>
      <c r="K677" s="327"/>
      <c r="L677" s="47" t="s">
        <v>167</v>
      </c>
      <c r="M677" s="47" t="s">
        <v>1387</v>
      </c>
    </row>
    <row r="678">
      <c r="A678" s="328">
        <v>43677.0</v>
      </c>
      <c r="B678" s="47" t="s">
        <v>56</v>
      </c>
      <c r="C678" s="47" t="s">
        <v>76</v>
      </c>
      <c r="D678" s="47" t="s">
        <v>21</v>
      </c>
      <c r="E678" s="47" t="s">
        <v>22</v>
      </c>
      <c r="F678" s="47" t="s">
        <v>16</v>
      </c>
      <c r="G678" s="47" t="s">
        <v>877</v>
      </c>
      <c r="H678" s="47" t="s">
        <v>61</v>
      </c>
      <c r="I678" s="47" t="s">
        <v>346</v>
      </c>
      <c r="J678" s="327"/>
      <c r="K678" s="327"/>
      <c r="L678" s="47" t="s">
        <v>167</v>
      </c>
      <c r="M678" s="47" t="s">
        <v>1387</v>
      </c>
    </row>
    <row r="679">
      <c r="A679" s="328">
        <v>43677.0</v>
      </c>
      <c r="B679" s="47" t="s">
        <v>56</v>
      </c>
      <c r="C679" s="47" t="s">
        <v>76</v>
      </c>
      <c r="D679" s="47" t="s">
        <v>58</v>
      </c>
      <c r="E679" s="47" t="s">
        <v>22</v>
      </c>
      <c r="F679" s="47" t="s">
        <v>16</v>
      </c>
      <c r="G679" s="47" t="s">
        <v>878</v>
      </c>
      <c r="H679" s="47" t="s">
        <v>61</v>
      </c>
      <c r="I679" s="47" t="s">
        <v>346</v>
      </c>
      <c r="J679" s="327"/>
      <c r="K679" s="327"/>
      <c r="L679" s="47" t="s">
        <v>71</v>
      </c>
      <c r="M679" s="47" t="s">
        <v>1387</v>
      </c>
    </row>
    <row r="680">
      <c r="A680" s="328">
        <v>43677.0</v>
      </c>
      <c r="B680" s="47" t="s">
        <v>56</v>
      </c>
      <c r="C680" s="47" t="s">
        <v>30</v>
      </c>
      <c r="D680" s="47" t="s">
        <v>44</v>
      </c>
      <c r="E680" s="47" t="s">
        <v>22</v>
      </c>
      <c r="F680" s="47" t="s">
        <v>16</v>
      </c>
      <c r="G680" s="47" t="s">
        <v>1392</v>
      </c>
      <c r="H680" s="47" t="s">
        <v>97</v>
      </c>
      <c r="I680" s="47" t="s">
        <v>127</v>
      </c>
      <c r="J680" s="47" t="s">
        <v>197</v>
      </c>
      <c r="K680" s="327"/>
      <c r="L680" s="47" t="s">
        <v>167</v>
      </c>
      <c r="M680" s="47" t="s">
        <v>1387</v>
      </c>
    </row>
    <row r="681">
      <c r="A681" s="328">
        <v>43676.0</v>
      </c>
      <c r="B681" s="47" t="s">
        <v>56</v>
      </c>
      <c r="C681" s="47" t="s">
        <v>57</v>
      </c>
      <c r="D681" s="47" t="s">
        <v>44</v>
      </c>
      <c r="E681" s="47" t="s">
        <v>22</v>
      </c>
      <c r="F681" s="47" t="s">
        <v>16</v>
      </c>
      <c r="G681" s="47" t="s">
        <v>880</v>
      </c>
      <c r="H681" s="327"/>
      <c r="I681" s="47" t="s">
        <v>717</v>
      </c>
      <c r="J681" s="327"/>
      <c r="K681" s="327"/>
      <c r="L681" s="47" t="s">
        <v>71</v>
      </c>
      <c r="M681" s="47" t="s">
        <v>1387</v>
      </c>
    </row>
    <row r="682">
      <c r="A682" s="328">
        <v>43675.0</v>
      </c>
      <c r="B682" s="47" t="s">
        <v>56</v>
      </c>
      <c r="C682" s="47" t="s">
        <v>26</v>
      </c>
      <c r="D682" s="47" t="s">
        <v>58</v>
      </c>
      <c r="E682" s="47" t="s">
        <v>22</v>
      </c>
      <c r="F682" s="47" t="s">
        <v>16</v>
      </c>
      <c r="G682" s="47" t="s">
        <v>881</v>
      </c>
      <c r="H682" s="327"/>
      <c r="I682" s="47" t="s">
        <v>66</v>
      </c>
      <c r="J682" s="327"/>
      <c r="K682" s="327"/>
      <c r="L682" s="47" t="s">
        <v>71</v>
      </c>
      <c r="M682" s="47" t="s">
        <v>1387</v>
      </c>
    </row>
    <row r="683">
      <c r="A683" s="328">
        <v>43676.0</v>
      </c>
      <c r="B683" s="47" t="s">
        <v>56</v>
      </c>
      <c r="C683" s="47" t="s">
        <v>20</v>
      </c>
      <c r="D683" s="47" t="s">
        <v>58</v>
      </c>
      <c r="E683" s="47" t="s">
        <v>22</v>
      </c>
      <c r="F683" s="47" t="s">
        <v>16</v>
      </c>
      <c r="G683" s="47" t="s">
        <v>882</v>
      </c>
      <c r="H683" s="47" t="s">
        <v>61</v>
      </c>
      <c r="I683" s="47" t="s">
        <v>67</v>
      </c>
      <c r="J683" s="327"/>
      <c r="K683" s="327"/>
      <c r="L683" s="47" t="s">
        <v>71</v>
      </c>
      <c r="M683" s="47" t="s">
        <v>1387</v>
      </c>
    </row>
    <row r="684">
      <c r="A684" s="328">
        <v>43672.0</v>
      </c>
      <c r="B684" s="47" t="s">
        <v>56</v>
      </c>
      <c r="C684" s="47" t="s">
        <v>13</v>
      </c>
      <c r="D684" s="47" t="s">
        <v>27</v>
      </c>
      <c r="E684" s="47" t="s">
        <v>22</v>
      </c>
      <c r="F684" s="47" t="s">
        <v>16</v>
      </c>
      <c r="G684" s="47" t="s">
        <v>1393</v>
      </c>
      <c r="H684" s="47" t="s">
        <v>112</v>
      </c>
      <c r="I684" s="47" t="s">
        <v>79</v>
      </c>
      <c r="J684" s="327"/>
      <c r="K684" s="327"/>
      <c r="L684" s="47" t="s">
        <v>71</v>
      </c>
      <c r="M684" s="47" t="s">
        <v>1387</v>
      </c>
    </row>
    <row r="685">
      <c r="A685" s="328">
        <v>43670.0</v>
      </c>
      <c r="B685" s="47" t="s">
        <v>56</v>
      </c>
      <c r="C685" s="47" t="s">
        <v>57</v>
      </c>
      <c r="D685" s="47" t="s">
        <v>44</v>
      </c>
      <c r="E685" s="47" t="s">
        <v>22</v>
      </c>
      <c r="F685" s="47" t="s">
        <v>16</v>
      </c>
      <c r="G685" s="47" t="s">
        <v>884</v>
      </c>
      <c r="H685" s="327"/>
      <c r="I685" s="47" t="s">
        <v>717</v>
      </c>
      <c r="J685" s="327"/>
      <c r="K685" s="327"/>
      <c r="L685" s="47" t="s">
        <v>71</v>
      </c>
      <c r="M685" s="47" t="s">
        <v>1387</v>
      </c>
    </row>
    <row r="686">
      <c r="A686" s="328">
        <v>43668.0</v>
      </c>
      <c r="B686" s="47" t="s">
        <v>56</v>
      </c>
      <c r="C686" s="47" t="s">
        <v>57</v>
      </c>
      <c r="D686" s="47" t="s">
        <v>44</v>
      </c>
      <c r="E686" s="47" t="s">
        <v>22</v>
      </c>
      <c r="F686" s="47" t="s">
        <v>16</v>
      </c>
      <c r="G686" s="47" t="s">
        <v>885</v>
      </c>
      <c r="H686" s="47" t="s">
        <v>97</v>
      </c>
      <c r="I686" s="47" t="s">
        <v>717</v>
      </c>
      <c r="J686" s="47" t="s">
        <v>70</v>
      </c>
      <c r="K686" s="327"/>
      <c r="L686" s="47" t="s">
        <v>71</v>
      </c>
      <c r="M686" s="47" t="s">
        <v>1387</v>
      </c>
    </row>
    <row r="687">
      <c r="A687" s="328">
        <v>43658.0</v>
      </c>
      <c r="B687" s="47" t="s">
        <v>75</v>
      </c>
      <c r="C687" s="47" t="s">
        <v>33</v>
      </c>
      <c r="D687" s="47" t="s">
        <v>44</v>
      </c>
      <c r="E687" s="47" t="s">
        <v>22</v>
      </c>
      <c r="F687" s="47" t="s">
        <v>16</v>
      </c>
      <c r="G687" s="47" t="s">
        <v>886</v>
      </c>
      <c r="H687" s="47" t="s">
        <v>97</v>
      </c>
      <c r="I687" s="47" t="s">
        <v>463</v>
      </c>
      <c r="J687" s="47" t="s">
        <v>66</v>
      </c>
      <c r="K687" s="327"/>
      <c r="L687" s="47" t="s">
        <v>63</v>
      </c>
      <c r="M687" s="47" t="s">
        <v>1387</v>
      </c>
    </row>
    <row r="688">
      <c r="A688" s="328">
        <v>43658.0</v>
      </c>
      <c r="B688" s="47" t="s">
        <v>75</v>
      </c>
      <c r="C688" s="47" t="s">
        <v>20</v>
      </c>
      <c r="D688" s="47" t="s">
        <v>44</v>
      </c>
      <c r="E688" s="47" t="s">
        <v>22</v>
      </c>
      <c r="F688" s="47" t="s">
        <v>16</v>
      </c>
      <c r="G688" s="47" t="s">
        <v>1394</v>
      </c>
      <c r="H688" s="47" t="s">
        <v>112</v>
      </c>
      <c r="I688" s="47" t="s">
        <v>79</v>
      </c>
      <c r="J688" s="47" t="s">
        <v>127</v>
      </c>
      <c r="K688" s="327"/>
      <c r="L688" s="47" t="s">
        <v>68</v>
      </c>
      <c r="M688" s="47" t="s">
        <v>1387</v>
      </c>
    </row>
    <row r="689">
      <c r="A689" s="328">
        <v>43648.0</v>
      </c>
      <c r="B689" s="47" t="s">
        <v>327</v>
      </c>
      <c r="C689" s="47" t="s">
        <v>26</v>
      </c>
      <c r="D689" s="47" t="s">
        <v>386</v>
      </c>
      <c r="E689" s="47" t="s">
        <v>22</v>
      </c>
      <c r="F689" s="47" t="s">
        <v>16</v>
      </c>
      <c r="G689" s="47" t="s">
        <v>888</v>
      </c>
      <c r="H689" s="47" t="s">
        <v>97</v>
      </c>
      <c r="I689" s="47" t="s">
        <v>70</v>
      </c>
      <c r="J689" s="47" t="s">
        <v>720</v>
      </c>
      <c r="K689" s="327"/>
      <c r="L689" s="47" t="s">
        <v>63</v>
      </c>
      <c r="M689" s="47" t="s">
        <v>1387</v>
      </c>
    </row>
    <row r="690">
      <c r="A690" s="328">
        <v>43642.0</v>
      </c>
      <c r="B690" s="47" t="s">
        <v>75</v>
      </c>
      <c r="C690" s="47" t="s">
        <v>57</v>
      </c>
      <c r="D690" s="47" t="s">
        <v>77</v>
      </c>
      <c r="E690" s="47" t="s">
        <v>22</v>
      </c>
      <c r="F690" s="47" t="s">
        <v>16</v>
      </c>
      <c r="G690" s="47" t="s">
        <v>889</v>
      </c>
      <c r="H690" s="327"/>
      <c r="I690" s="47" t="s">
        <v>70</v>
      </c>
      <c r="J690" s="327"/>
      <c r="K690" s="327"/>
      <c r="L690" s="47" t="s">
        <v>63</v>
      </c>
      <c r="M690" s="47" t="s">
        <v>1387</v>
      </c>
    </row>
    <row r="691">
      <c r="A691" s="328">
        <v>43642.0</v>
      </c>
      <c r="B691" s="47" t="s">
        <v>75</v>
      </c>
      <c r="C691" s="47" t="s">
        <v>57</v>
      </c>
      <c r="D691" s="47" t="s">
        <v>81</v>
      </c>
      <c r="E691" s="47" t="s">
        <v>22</v>
      </c>
      <c r="F691" s="47" t="s">
        <v>16</v>
      </c>
      <c r="G691" s="47" t="s">
        <v>890</v>
      </c>
      <c r="H691" s="327"/>
      <c r="I691" s="47" t="s">
        <v>66</v>
      </c>
      <c r="J691" s="47" t="s">
        <v>127</v>
      </c>
      <c r="K691" s="47" t="s">
        <v>596</v>
      </c>
      <c r="L691" s="47" t="s">
        <v>63</v>
      </c>
      <c r="M691" s="47" t="s">
        <v>1387</v>
      </c>
    </row>
    <row r="692">
      <c r="A692" s="328">
        <v>43642.0</v>
      </c>
      <c r="B692" s="47" t="s">
        <v>75</v>
      </c>
      <c r="C692" s="47" t="s">
        <v>57</v>
      </c>
      <c r="D692" s="47" t="s">
        <v>81</v>
      </c>
      <c r="E692" s="47" t="s">
        <v>22</v>
      </c>
      <c r="F692" s="47" t="s">
        <v>16</v>
      </c>
      <c r="G692" s="47" t="s">
        <v>891</v>
      </c>
      <c r="H692" s="327"/>
      <c r="I692" s="47" t="s">
        <v>463</v>
      </c>
      <c r="J692" s="47" t="s">
        <v>127</v>
      </c>
      <c r="K692" s="327"/>
      <c r="L692" s="47" t="s">
        <v>68</v>
      </c>
      <c r="M692" s="47" t="s">
        <v>1387</v>
      </c>
    </row>
    <row r="693">
      <c r="A693" s="328">
        <v>43614.0</v>
      </c>
      <c r="B693" s="47" t="s">
        <v>327</v>
      </c>
      <c r="C693" s="47" t="s">
        <v>30</v>
      </c>
      <c r="D693" s="47" t="s">
        <v>386</v>
      </c>
      <c r="E693" s="47" t="s">
        <v>15</v>
      </c>
      <c r="F693" s="47" t="s">
        <v>16</v>
      </c>
      <c r="G693" s="47" t="s">
        <v>892</v>
      </c>
      <c r="H693" s="47" t="s">
        <v>61</v>
      </c>
      <c r="I693" s="47" t="s">
        <v>127</v>
      </c>
      <c r="J693" s="47" t="s">
        <v>66</v>
      </c>
      <c r="K693" s="327"/>
      <c r="L693" s="47" t="s">
        <v>68</v>
      </c>
      <c r="M693" s="47" t="s">
        <v>1387</v>
      </c>
    </row>
    <row r="694">
      <c r="A694" s="328">
        <v>43600.0</v>
      </c>
      <c r="B694" s="47" t="s">
        <v>75</v>
      </c>
      <c r="C694" s="47" t="s">
        <v>72</v>
      </c>
      <c r="D694" s="47" t="s">
        <v>265</v>
      </c>
      <c r="E694" s="47" t="s">
        <v>22</v>
      </c>
      <c r="F694" s="47" t="s">
        <v>16</v>
      </c>
      <c r="G694" s="47" t="s">
        <v>1395</v>
      </c>
      <c r="H694" s="327"/>
      <c r="I694" s="47" t="s">
        <v>74</v>
      </c>
      <c r="J694" s="47" t="s">
        <v>127</v>
      </c>
      <c r="K694" s="327"/>
      <c r="L694" s="47" t="s">
        <v>68</v>
      </c>
      <c r="M694" s="47" t="s">
        <v>1387</v>
      </c>
    </row>
    <row r="695">
      <c r="A695" s="328">
        <v>43602.0</v>
      </c>
      <c r="B695" s="47" t="s">
        <v>327</v>
      </c>
      <c r="C695" s="47" t="s">
        <v>20</v>
      </c>
      <c r="D695" s="47" t="s">
        <v>386</v>
      </c>
      <c r="E695" s="47" t="s">
        <v>22</v>
      </c>
      <c r="F695" s="47" t="s">
        <v>16</v>
      </c>
      <c r="G695" s="47" t="s">
        <v>1396</v>
      </c>
      <c r="H695" s="327"/>
      <c r="I695" s="47" t="s">
        <v>70</v>
      </c>
      <c r="J695" s="47" t="s">
        <v>67</v>
      </c>
      <c r="K695" s="327"/>
      <c r="L695" s="47" t="s">
        <v>71</v>
      </c>
      <c r="M695" s="47" t="s">
        <v>1387</v>
      </c>
    </row>
    <row r="696">
      <c r="A696" s="328">
        <v>43614.0</v>
      </c>
      <c r="B696" s="47" t="s">
        <v>327</v>
      </c>
      <c r="C696" s="47" t="s">
        <v>57</v>
      </c>
      <c r="D696" s="47" t="s">
        <v>386</v>
      </c>
      <c r="E696" s="47" t="s">
        <v>22</v>
      </c>
      <c r="F696" s="47" t="s">
        <v>16</v>
      </c>
      <c r="G696" s="47" t="s">
        <v>895</v>
      </c>
      <c r="H696" s="327"/>
      <c r="I696" s="47" t="s">
        <v>717</v>
      </c>
      <c r="J696" s="47" t="s">
        <v>70</v>
      </c>
      <c r="K696" s="327"/>
      <c r="L696" s="47" t="s">
        <v>68</v>
      </c>
      <c r="M696" s="47" t="s">
        <v>1387</v>
      </c>
    </row>
    <row r="697">
      <c r="A697" s="328">
        <v>43602.0</v>
      </c>
      <c r="B697" s="47" t="s">
        <v>327</v>
      </c>
      <c r="C697" s="47" t="s">
        <v>49</v>
      </c>
      <c r="D697" s="47" t="s">
        <v>386</v>
      </c>
      <c r="E697" s="47" t="s">
        <v>15</v>
      </c>
      <c r="F697" s="47" t="s">
        <v>16</v>
      </c>
      <c r="G697" s="47" t="s">
        <v>896</v>
      </c>
      <c r="H697" s="47" t="s">
        <v>97</v>
      </c>
      <c r="I697" s="47" t="s">
        <v>115</v>
      </c>
      <c r="J697" s="47" t="s">
        <v>70</v>
      </c>
      <c r="K697" s="327"/>
      <c r="L697" s="47" t="s">
        <v>63</v>
      </c>
      <c r="M697" s="47" t="s">
        <v>1387</v>
      </c>
    </row>
    <row r="698">
      <c r="A698" s="328">
        <v>43602.0</v>
      </c>
      <c r="B698" s="47" t="s">
        <v>327</v>
      </c>
      <c r="C698" s="47" t="s">
        <v>49</v>
      </c>
      <c r="D698" s="47" t="s">
        <v>386</v>
      </c>
      <c r="E698" s="47" t="s">
        <v>22</v>
      </c>
      <c r="F698" s="47" t="s">
        <v>16</v>
      </c>
      <c r="G698" s="47" t="s">
        <v>897</v>
      </c>
      <c r="H698" s="327"/>
      <c r="I698" s="47" t="s">
        <v>115</v>
      </c>
      <c r="J698" s="47" t="s">
        <v>70</v>
      </c>
      <c r="K698" s="327"/>
      <c r="L698" s="47" t="s">
        <v>63</v>
      </c>
      <c r="M698" s="47" t="s">
        <v>1387</v>
      </c>
    </row>
    <row r="699">
      <c r="A699" s="328">
        <v>43602.0</v>
      </c>
      <c r="B699" s="47" t="s">
        <v>75</v>
      </c>
      <c r="C699" s="47" t="s">
        <v>26</v>
      </c>
      <c r="D699" s="47" t="s">
        <v>77</v>
      </c>
      <c r="E699" s="47" t="s">
        <v>22</v>
      </c>
      <c r="F699" s="47" t="s">
        <v>16</v>
      </c>
      <c r="G699" s="47" t="s">
        <v>898</v>
      </c>
      <c r="H699" s="327"/>
      <c r="I699" s="47" t="s">
        <v>66</v>
      </c>
      <c r="J699" s="47" t="s">
        <v>346</v>
      </c>
      <c r="K699" s="47" t="s">
        <v>1397</v>
      </c>
      <c r="L699" s="47" t="s">
        <v>63</v>
      </c>
      <c r="M699" s="47" t="s">
        <v>1387</v>
      </c>
    </row>
    <row r="700">
      <c r="A700" s="329"/>
      <c r="B700" s="327"/>
      <c r="C700" s="327"/>
      <c r="D700" s="327"/>
      <c r="E700" s="327"/>
      <c r="F700" s="327"/>
      <c r="G700" s="47" t="s">
        <v>899</v>
      </c>
      <c r="H700" s="327"/>
      <c r="I700" s="327"/>
      <c r="J700" s="327"/>
      <c r="K700" s="327"/>
      <c r="L700" s="327"/>
      <c r="M700" s="47" t="s">
        <v>1387</v>
      </c>
    </row>
    <row r="701">
      <c r="A701" s="328">
        <v>44063.0</v>
      </c>
      <c r="B701" s="47" t="s">
        <v>172</v>
      </c>
      <c r="C701" s="47" t="s">
        <v>26</v>
      </c>
      <c r="D701" s="47" t="s">
        <v>14</v>
      </c>
      <c r="E701" s="47" t="s">
        <v>22</v>
      </c>
      <c r="F701" s="47" t="s">
        <v>16</v>
      </c>
      <c r="G701" s="47" t="s">
        <v>900</v>
      </c>
      <c r="H701" s="327"/>
      <c r="I701" s="47" t="s">
        <v>463</v>
      </c>
      <c r="J701" s="47" t="s">
        <v>66</v>
      </c>
      <c r="K701" s="327"/>
      <c r="L701" s="47" t="s">
        <v>71</v>
      </c>
      <c r="M701" s="47" t="s">
        <v>1398</v>
      </c>
    </row>
    <row r="702">
      <c r="A702" s="328">
        <v>44010.0</v>
      </c>
      <c r="B702" s="47" t="s">
        <v>12</v>
      </c>
      <c r="C702" s="47" t="s">
        <v>72</v>
      </c>
      <c r="D702" s="47" t="s">
        <v>14</v>
      </c>
      <c r="E702" s="47" t="s">
        <v>22</v>
      </c>
      <c r="F702" s="47" t="s">
        <v>16</v>
      </c>
      <c r="G702" s="47" t="s">
        <v>901</v>
      </c>
      <c r="H702" s="327"/>
      <c r="I702" s="47" t="s">
        <v>74</v>
      </c>
      <c r="J702" s="327"/>
      <c r="K702" s="327"/>
      <c r="L702" s="47" t="s">
        <v>71</v>
      </c>
      <c r="M702" s="47" t="s">
        <v>1398</v>
      </c>
    </row>
    <row r="703">
      <c r="A703" s="328">
        <v>44004.0</v>
      </c>
      <c r="B703" s="47" t="s">
        <v>25</v>
      </c>
      <c r="C703" s="47" t="s">
        <v>49</v>
      </c>
      <c r="D703" s="47" t="s">
        <v>27</v>
      </c>
      <c r="E703" s="47" t="s">
        <v>64</v>
      </c>
      <c r="F703" s="47" t="s">
        <v>64</v>
      </c>
      <c r="G703" s="47" t="s">
        <v>902</v>
      </c>
      <c r="H703" s="47" t="s">
        <v>61</v>
      </c>
      <c r="I703" s="47" t="s">
        <v>115</v>
      </c>
      <c r="J703" s="327"/>
      <c r="K703" s="327"/>
      <c r="L703" s="47" t="s">
        <v>71</v>
      </c>
      <c r="M703" s="47" t="s">
        <v>1398</v>
      </c>
    </row>
    <row r="704">
      <c r="A704" s="328">
        <v>43999.0</v>
      </c>
      <c r="B704" s="47" t="s">
        <v>19</v>
      </c>
      <c r="C704" s="47" t="s">
        <v>33</v>
      </c>
      <c r="D704" s="47" t="s">
        <v>89</v>
      </c>
      <c r="E704" s="47" t="s">
        <v>64</v>
      </c>
      <c r="F704" s="47" t="s">
        <v>64</v>
      </c>
      <c r="G704" s="47" t="s">
        <v>903</v>
      </c>
      <c r="H704" s="327"/>
      <c r="I704" s="47" t="s">
        <v>463</v>
      </c>
      <c r="J704" s="327"/>
      <c r="K704" s="327"/>
      <c r="L704" s="47" t="s">
        <v>71</v>
      </c>
      <c r="M704" s="47" t="s">
        <v>1398</v>
      </c>
    </row>
    <row r="705">
      <c r="A705" s="328">
        <v>44004.0</v>
      </c>
      <c r="B705" s="47" t="s">
        <v>25</v>
      </c>
      <c r="C705" s="47" t="s">
        <v>57</v>
      </c>
      <c r="D705" s="47" t="s">
        <v>21</v>
      </c>
      <c r="E705" s="47" t="s">
        <v>15</v>
      </c>
      <c r="F705" s="47" t="s">
        <v>16</v>
      </c>
      <c r="G705" s="47" t="s">
        <v>904</v>
      </c>
      <c r="H705" s="327"/>
      <c r="I705" s="47" t="s">
        <v>66</v>
      </c>
      <c r="J705" s="47" t="s">
        <v>70</v>
      </c>
      <c r="K705" s="327"/>
      <c r="L705" s="47" t="s">
        <v>71</v>
      </c>
      <c r="M705" s="47" t="s">
        <v>1398</v>
      </c>
    </row>
    <row r="706">
      <c r="A706" s="328">
        <v>44004.0</v>
      </c>
      <c r="B706" s="47" t="s">
        <v>25</v>
      </c>
      <c r="C706" s="47" t="s">
        <v>57</v>
      </c>
      <c r="D706" s="47" t="s">
        <v>21</v>
      </c>
      <c r="E706" s="47" t="s">
        <v>15</v>
      </c>
      <c r="F706" s="47" t="s">
        <v>16</v>
      </c>
      <c r="G706" s="47" t="s">
        <v>905</v>
      </c>
      <c r="H706" s="327"/>
      <c r="I706" s="47" t="s">
        <v>67</v>
      </c>
      <c r="J706" s="47" t="s">
        <v>70</v>
      </c>
      <c r="K706" s="327"/>
      <c r="L706" s="47" t="s">
        <v>71</v>
      </c>
      <c r="M706" s="47" t="s">
        <v>1398</v>
      </c>
    </row>
    <row r="707">
      <c r="A707" s="328">
        <v>44001.0</v>
      </c>
      <c r="B707" s="47" t="s">
        <v>19</v>
      </c>
      <c r="C707" s="47" t="s">
        <v>30</v>
      </c>
      <c r="D707" s="47" t="s">
        <v>89</v>
      </c>
      <c r="E707" s="47" t="s">
        <v>64</v>
      </c>
      <c r="F707" s="47" t="s">
        <v>16</v>
      </c>
      <c r="G707" s="47" t="s">
        <v>906</v>
      </c>
      <c r="H707" s="327"/>
      <c r="I707" s="47" t="s">
        <v>127</v>
      </c>
      <c r="J707" s="47" t="s">
        <v>70</v>
      </c>
      <c r="K707" s="327"/>
      <c r="L707" s="47" t="s">
        <v>162</v>
      </c>
      <c r="M707" s="47" t="s">
        <v>1398</v>
      </c>
    </row>
    <row r="708">
      <c r="A708" s="328">
        <v>43999.0</v>
      </c>
      <c r="B708" s="47" t="s">
        <v>43</v>
      </c>
      <c r="C708" s="47" t="s">
        <v>49</v>
      </c>
      <c r="D708" s="47" t="s">
        <v>89</v>
      </c>
      <c r="E708" s="47" t="s">
        <v>64</v>
      </c>
      <c r="F708" s="47" t="s">
        <v>16</v>
      </c>
      <c r="G708" s="47" t="s">
        <v>907</v>
      </c>
      <c r="H708" s="47" t="s">
        <v>61</v>
      </c>
      <c r="I708" s="47" t="s">
        <v>115</v>
      </c>
      <c r="J708" s="47" t="s">
        <v>346</v>
      </c>
      <c r="K708" s="327"/>
      <c r="L708" s="47" t="s">
        <v>162</v>
      </c>
      <c r="M708" s="47" t="s">
        <v>1398</v>
      </c>
    </row>
    <row r="709">
      <c r="A709" s="328">
        <v>43992.0</v>
      </c>
      <c r="B709" s="47" t="s">
        <v>25</v>
      </c>
      <c r="C709" s="47" t="s">
        <v>57</v>
      </c>
      <c r="D709" s="47" t="s">
        <v>21</v>
      </c>
      <c r="E709" s="47" t="s">
        <v>22</v>
      </c>
      <c r="F709" s="47" t="s">
        <v>16</v>
      </c>
      <c r="G709" s="47" t="s">
        <v>908</v>
      </c>
      <c r="H709" s="47" t="s">
        <v>112</v>
      </c>
      <c r="I709" s="47" t="s">
        <v>115</v>
      </c>
      <c r="J709" s="47" t="s">
        <v>70</v>
      </c>
      <c r="K709" s="327"/>
      <c r="L709" s="47" t="s">
        <v>71</v>
      </c>
      <c r="M709" s="47" t="s">
        <v>1398</v>
      </c>
    </row>
    <row r="710">
      <c r="A710" s="328">
        <v>43944.0</v>
      </c>
      <c r="B710" s="47" t="s">
        <v>43</v>
      </c>
      <c r="C710" s="47" t="s">
        <v>72</v>
      </c>
      <c r="D710" s="47" t="s">
        <v>27</v>
      </c>
      <c r="E710" s="47" t="s">
        <v>64</v>
      </c>
      <c r="F710" s="47" t="s">
        <v>16</v>
      </c>
      <c r="G710" s="47" t="s">
        <v>909</v>
      </c>
      <c r="H710" s="47" t="s">
        <v>61</v>
      </c>
      <c r="I710" s="47" t="s">
        <v>74</v>
      </c>
      <c r="J710" s="47" t="s">
        <v>699</v>
      </c>
      <c r="K710" s="327"/>
      <c r="L710" s="47" t="s">
        <v>71</v>
      </c>
      <c r="M710" s="47" t="s">
        <v>1398</v>
      </c>
    </row>
    <row r="711">
      <c r="A711" s="328">
        <v>43976.0</v>
      </c>
      <c r="B711" s="47" t="s">
        <v>19</v>
      </c>
      <c r="C711" s="47" t="s">
        <v>33</v>
      </c>
      <c r="D711" s="47" t="s">
        <v>44</v>
      </c>
      <c r="E711" s="47" t="s">
        <v>22</v>
      </c>
      <c r="F711" s="47" t="s">
        <v>16</v>
      </c>
      <c r="G711" s="47" t="s">
        <v>910</v>
      </c>
      <c r="H711" s="327"/>
      <c r="I711" s="47" t="s">
        <v>463</v>
      </c>
      <c r="J711" s="327"/>
      <c r="K711" s="327"/>
      <c r="L711" s="47" t="s">
        <v>162</v>
      </c>
      <c r="M711" s="47" t="s">
        <v>1398</v>
      </c>
    </row>
    <row r="712">
      <c r="A712" s="328">
        <v>43971.0</v>
      </c>
      <c r="B712" s="47" t="s">
        <v>43</v>
      </c>
      <c r="C712" s="47" t="s">
        <v>13</v>
      </c>
      <c r="D712" s="47" t="s">
        <v>27</v>
      </c>
      <c r="E712" s="47" t="s">
        <v>22</v>
      </c>
      <c r="F712" s="47" t="s">
        <v>16</v>
      </c>
      <c r="G712" s="47" t="s">
        <v>911</v>
      </c>
      <c r="H712" s="47" t="s">
        <v>112</v>
      </c>
      <c r="I712" s="47" t="s">
        <v>79</v>
      </c>
      <c r="J712" s="327"/>
      <c r="K712" s="47" t="s">
        <v>912</v>
      </c>
      <c r="L712" s="47" t="s">
        <v>68</v>
      </c>
      <c r="M712" s="47" t="s">
        <v>1398</v>
      </c>
    </row>
    <row r="713">
      <c r="A713" s="328">
        <v>43976.0</v>
      </c>
      <c r="B713" s="47" t="s">
        <v>19</v>
      </c>
      <c r="C713" s="47" t="s">
        <v>83</v>
      </c>
      <c r="D713" s="47" t="s">
        <v>14</v>
      </c>
      <c r="E713" s="47" t="s">
        <v>64</v>
      </c>
      <c r="F713" s="47" t="s">
        <v>64</v>
      </c>
      <c r="G713" s="47" t="s">
        <v>913</v>
      </c>
      <c r="H713" s="47" t="s">
        <v>61</v>
      </c>
      <c r="I713" s="47" t="s">
        <v>66</v>
      </c>
      <c r="J713" s="327"/>
      <c r="K713" s="327"/>
      <c r="L713" s="327"/>
      <c r="M713" s="47" t="s">
        <v>1398</v>
      </c>
    </row>
    <row r="714">
      <c r="A714" s="328">
        <v>43966.0</v>
      </c>
      <c r="B714" s="47" t="s">
        <v>43</v>
      </c>
      <c r="C714" s="47" t="s">
        <v>13</v>
      </c>
      <c r="D714" s="47" t="s">
        <v>44</v>
      </c>
      <c r="E714" s="47" t="s">
        <v>22</v>
      </c>
      <c r="F714" s="47" t="s">
        <v>16</v>
      </c>
      <c r="G714" s="47" t="s">
        <v>1399</v>
      </c>
      <c r="H714" s="47" t="s">
        <v>112</v>
      </c>
      <c r="I714" s="47" t="s">
        <v>79</v>
      </c>
      <c r="J714" s="327"/>
      <c r="K714" s="327"/>
      <c r="L714" s="47" t="s">
        <v>162</v>
      </c>
      <c r="M714" s="47" t="s">
        <v>1398</v>
      </c>
    </row>
    <row r="715">
      <c r="A715" s="328">
        <v>43957.0</v>
      </c>
      <c r="B715" s="47" t="s">
        <v>43</v>
      </c>
      <c r="C715" s="47" t="s">
        <v>57</v>
      </c>
      <c r="D715" s="47" t="s">
        <v>21</v>
      </c>
      <c r="E715" s="47" t="s">
        <v>22</v>
      </c>
      <c r="F715" s="47" t="s">
        <v>16</v>
      </c>
      <c r="G715" s="47" t="s">
        <v>915</v>
      </c>
      <c r="H715" s="47" t="s">
        <v>61</v>
      </c>
      <c r="I715" s="47" t="s">
        <v>70</v>
      </c>
      <c r="J715" s="47" t="s">
        <v>115</v>
      </c>
      <c r="K715" s="327"/>
      <c r="L715" s="47" t="s">
        <v>144</v>
      </c>
      <c r="M715" s="47" t="s">
        <v>1398</v>
      </c>
    </row>
    <row r="716">
      <c r="A716" s="328">
        <v>43962.0</v>
      </c>
      <c r="B716" s="47" t="s">
        <v>19</v>
      </c>
      <c r="C716" s="47" t="s">
        <v>49</v>
      </c>
      <c r="D716" s="47" t="s">
        <v>27</v>
      </c>
      <c r="E716" s="47" t="s">
        <v>64</v>
      </c>
      <c r="F716" s="47" t="s">
        <v>16</v>
      </c>
      <c r="G716" s="47" t="s">
        <v>916</v>
      </c>
      <c r="H716" s="47" t="s">
        <v>61</v>
      </c>
      <c r="I716" s="47" t="s">
        <v>115</v>
      </c>
      <c r="J716" s="47" t="s">
        <v>699</v>
      </c>
      <c r="K716" s="327"/>
      <c r="L716" s="327"/>
      <c r="M716" s="47" t="s">
        <v>1398</v>
      </c>
    </row>
    <row r="717">
      <c r="A717" s="328">
        <v>43957.0</v>
      </c>
      <c r="B717" s="47" t="s">
        <v>43</v>
      </c>
      <c r="C717" s="47" t="s">
        <v>57</v>
      </c>
      <c r="D717" s="47" t="s">
        <v>21</v>
      </c>
      <c r="E717" s="47" t="s">
        <v>22</v>
      </c>
      <c r="F717" s="47" t="s">
        <v>16</v>
      </c>
      <c r="G717" s="47" t="s">
        <v>917</v>
      </c>
      <c r="H717" s="327"/>
      <c r="I717" s="47" t="s">
        <v>70</v>
      </c>
      <c r="J717" s="47" t="s">
        <v>115</v>
      </c>
      <c r="K717" s="327"/>
      <c r="L717" s="47" t="s">
        <v>71</v>
      </c>
      <c r="M717" s="47" t="s">
        <v>1398</v>
      </c>
    </row>
    <row r="718">
      <c r="A718" s="328">
        <v>43966.0</v>
      </c>
      <c r="B718" s="47" t="s">
        <v>19</v>
      </c>
      <c r="C718" s="47" t="s">
        <v>49</v>
      </c>
      <c r="D718" s="47" t="s">
        <v>58</v>
      </c>
      <c r="E718" s="47" t="s">
        <v>64</v>
      </c>
      <c r="F718" s="47" t="s">
        <v>16</v>
      </c>
      <c r="G718" s="47" t="s">
        <v>918</v>
      </c>
      <c r="H718" s="327"/>
      <c r="I718" s="47" t="s">
        <v>115</v>
      </c>
      <c r="J718" s="47" t="s">
        <v>66</v>
      </c>
      <c r="K718" s="327"/>
      <c r="L718" s="47" t="s">
        <v>71</v>
      </c>
      <c r="M718" s="47" t="s">
        <v>1398</v>
      </c>
    </row>
    <row r="719">
      <c r="A719" s="328">
        <v>43966.0</v>
      </c>
      <c r="B719" s="47" t="s">
        <v>19</v>
      </c>
      <c r="C719" s="47" t="s">
        <v>49</v>
      </c>
      <c r="D719" s="47" t="s">
        <v>700</v>
      </c>
      <c r="E719" s="47" t="s">
        <v>64</v>
      </c>
      <c r="F719" s="47" t="s">
        <v>16</v>
      </c>
      <c r="G719" s="47" t="s">
        <v>919</v>
      </c>
      <c r="H719" s="327"/>
      <c r="I719" s="47" t="s">
        <v>115</v>
      </c>
      <c r="J719" s="47" t="s">
        <v>66</v>
      </c>
      <c r="K719" s="327"/>
      <c r="L719" s="47" t="s">
        <v>144</v>
      </c>
      <c r="M719" s="47" t="s">
        <v>1398</v>
      </c>
    </row>
    <row r="720">
      <c r="A720" s="328">
        <v>43966.0</v>
      </c>
      <c r="B720" s="47" t="s">
        <v>19</v>
      </c>
      <c r="C720" s="47" t="s">
        <v>30</v>
      </c>
      <c r="D720" s="47" t="s">
        <v>700</v>
      </c>
      <c r="E720" s="47" t="s">
        <v>64</v>
      </c>
      <c r="F720" s="47" t="s">
        <v>16</v>
      </c>
      <c r="G720" s="47" t="s">
        <v>920</v>
      </c>
      <c r="H720" s="327"/>
      <c r="I720" s="47" t="s">
        <v>127</v>
      </c>
      <c r="J720" s="47" t="s">
        <v>66</v>
      </c>
      <c r="K720" s="327"/>
      <c r="L720" s="47" t="s">
        <v>144</v>
      </c>
      <c r="M720" s="47" t="s">
        <v>1398</v>
      </c>
    </row>
    <row r="721">
      <c r="A721" s="328">
        <v>43950.0</v>
      </c>
      <c r="B721" s="47" t="s">
        <v>43</v>
      </c>
      <c r="C721" s="47" t="s">
        <v>36</v>
      </c>
      <c r="D721" s="47" t="s">
        <v>27</v>
      </c>
      <c r="E721" s="47" t="s">
        <v>64</v>
      </c>
      <c r="F721" s="47" t="s">
        <v>16</v>
      </c>
      <c r="G721" s="47" t="s">
        <v>921</v>
      </c>
      <c r="H721" s="47" t="s">
        <v>61</v>
      </c>
      <c r="I721" s="47" t="s">
        <v>66</v>
      </c>
      <c r="J721" s="47" t="s">
        <v>699</v>
      </c>
      <c r="K721" s="330" t="s">
        <v>922</v>
      </c>
      <c r="L721" s="47" t="s">
        <v>68</v>
      </c>
      <c r="M721" s="47" t="s">
        <v>1398</v>
      </c>
    </row>
    <row r="722">
      <c r="A722" s="328">
        <v>43959.0</v>
      </c>
      <c r="B722" s="47" t="s">
        <v>43</v>
      </c>
      <c r="C722" s="47" t="s">
        <v>30</v>
      </c>
      <c r="D722" s="47" t="s">
        <v>14</v>
      </c>
      <c r="E722" s="47" t="s">
        <v>22</v>
      </c>
      <c r="F722" s="47" t="s">
        <v>16</v>
      </c>
      <c r="G722" s="47" t="s">
        <v>923</v>
      </c>
      <c r="H722" s="47" t="s">
        <v>97</v>
      </c>
      <c r="I722" s="47" t="s">
        <v>127</v>
      </c>
      <c r="J722" s="327"/>
      <c r="K722" s="327"/>
      <c r="L722" s="47" t="s">
        <v>167</v>
      </c>
      <c r="M722" s="47" t="s">
        <v>1398</v>
      </c>
    </row>
    <row r="723">
      <c r="A723" s="328">
        <v>43957.0</v>
      </c>
      <c r="B723" s="47" t="s">
        <v>43</v>
      </c>
      <c r="C723" s="47" t="s">
        <v>30</v>
      </c>
      <c r="D723" s="47" t="s">
        <v>44</v>
      </c>
      <c r="E723" s="47" t="s">
        <v>22</v>
      </c>
      <c r="F723" s="47" t="s">
        <v>16</v>
      </c>
      <c r="G723" s="47" t="s">
        <v>924</v>
      </c>
      <c r="H723" s="47" t="s">
        <v>97</v>
      </c>
      <c r="I723" s="47" t="s">
        <v>127</v>
      </c>
      <c r="J723" s="327"/>
      <c r="K723" s="327"/>
      <c r="L723" s="47" t="s">
        <v>167</v>
      </c>
      <c r="M723" s="47" t="s">
        <v>1398</v>
      </c>
    </row>
    <row r="724">
      <c r="A724" s="328">
        <v>43957.0</v>
      </c>
      <c r="B724" s="47" t="s">
        <v>43</v>
      </c>
      <c r="C724" s="47" t="s">
        <v>57</v>
      </c>
      <c r="D724" s="47" t="s">
        <v>21</v>
      </c>
      <c r="E724" s="47" t="s">
        <v>22</v>
      </c>
      <c r="F724" s="47" t="s">
        <v>16</v>
      </c>
      <c r="G724" s="47" t="s">
        <v>925</v>
      </c>
      <c r="H724" s="47" t="s">
        <v>61</v>
      </c>
      <c r="I724" s="47" t="s">
        <v>115</v>
      </c>
      <c r="J724" s="47" t="s">
        <v>70</v>
      </c>
      <c r="K724" s="327"/>
      <c r="L724" s="47" t="s">
        <v>144</v>
      </c>
      <c r="M724" s="47" t="s">
        <v>1398</v>
      </c>
    </row>
    <row r="725">
      <c r="A725" s="328">
        <v>43957.0</v>
      </c>
      <c r="B725" s="47" t="s">
        <v>43</v>
      </c>
      <c r="C725" s="47" t="s">
        <v>57</v>
      </c>
      <c r="D725" s="47" t="s">
        <v>21</v>
      </c>
      <c r="E725" s="47" t="s">
        <v>22</v>
      </c>
      <c r="F725" s="47" t="s">
        <v>16</v>
      </c>
      <c r="G725" s="47" t="s">
        <v>926</v>
      </c>
      <c r="H725" s="327"/>
      <c r="I725" s="47" t="s">
        <v>70</v>
      </c>
      <c r="J725" s="47" t="s">
        <v>115</v>
      </c>
      <c r="K725" s="327"/>
      <c r="L725" s="47" t="s">
        <v>144</v>
      </c>
      <c r="M725" s="47" t="s">
        <v>1398</v>
      </c>
    </row>
    <row r="726">
      <c r="A726" s="328">
        <v>43957.0</v>
      </c>
      <c r="B726" s="47" t="s">
        <v>43</v>
      </c>
      <c r="C726" s="47" t="s">
        <v>57</v>
      </c>
      <c r="D726" s="47" t="s">
        <v>21</v>
      </c>
      <c r="E726" s="47" t="s">
        <v>22</v>
      </c>
      <c r="F726" s="47" t="s">
        <v>16</v>
      </c>
      <c r="G726" s="47" t="s">
        <v>927</v>
      </c>
      <c r="H726" s="327"/>
      <c r="I726" s="47" t="s">
        <v>70</v>
      </c>
      <c r="J726" s="47" t="s">
        <v>115</v>
      </c>
      <c r="K726" s="327"/>
      <c r="L726" s="47" t="s">
        <v>71</v>
      </c>
      <c r="M726" s="47" t="s">
        <v>1398</v>
      </c>
    </row>
    <row r="727">
      <c r="A727" s="328">
        <v>43936.0</v>
      </c>
      <c r="B727" s="47" t="s">
        <v>43</v>
      </c>
      <c r="C727" s="47" t="s">
        <v>57</v>
      </c>
      <c r="D727" s="47" t="s">
        <v>21</v>
      </c>
      <c r="E727" s="47" t="s">
        <v>22</v>
      </c>
      <c r="F727" s="47" t="s">
        <v>16</v>
      </c>
      <c r="G727" s="47" t="s">
        <v>928</v>
      </c>
      <c r="H727" s="47" t="s">
        <v>61</v>
      </c>
      <c r="I727" s="47" t="s">
        <v>70</v>
      </c>
      <c r="J727" s="47" t="s">
        <v>115</v>
      </c>
      <c r="K727" s="327"/>
      <c r="L727" s="47" t="s">
        <v>162</v>
      </c>
      <c r="M727" s="47" t="s">
        <v>1398</v>
      </c>
    </row>
    <row r="728">
      <c r="A728" s="328">
        <v>43958.0</v>
      </c>
      <c r="B728" s="47" t="s">
        <v>43</v>
      </c>
      <c r="C728" s="47" t="s">
        <v>33</v>
      </c>
      <c r="D728" s="47" t="s">
        <v>21</v>
      </c>
      <c r="E728" s="47" t="s">
        <v>22</v>
      </c>
      <c r="F728" s="47" t="s">
        <v>16</v>
      </c>
      <c r="G728" s="47" t="s">
        <v>929</v>
      </c>
      <c r="H728" s="327"/>
      <c r="I728" s="47" t="s">
        <v>463</v>
      </c>
      <c r="J728" s="327"/>
      <c r="K728" s="327"/>
      <c r="L728" s="47" t="s">
        <v>71</v>
      </c>
      <c r="M728" s="47" t="s">
        <v>1398</v>
      </c>
    </row>
    <row r="729">
      <c r="A729" s="328">
        <v>43962.0</v>
      </c>
      <c r="B729" s="47" t="s">
        <v>19</v>
      </c>
      <c r="C729" s="47" t="s">
        <v>49</v>
      </c>
      <c r="D729" s="47" t="s">
        <v>27</v>
      </c>
      <c r="E729" s="47" t="s">
        <v>64</v>
      </c>
      <c r="F729" s="47" t="s">
        <v>16</v>
      </c>
      <c r="G729" s="47" t="s">
        <v>930</v>
      </c>
      <c r="H729" s="47" t="s">
        <v>61</v>
      </c>
      <c r="I729" s="47" t="s">
        <v>463</v>
      </c>
      <c r="J729" s="47" t="s">
        <v>66</v>
      </c>
      <c r="K729" s="327"/>
      <c r="L729" s="47" t="s">
        <v>71</v>
      </c>
      <c r="M729" s="47" t="s">
        <v>1398</v>
      </c>
    </row>
    <row r="730">
      <c r="A730" s="328">
        <v>43957.0</v>
      </c>
      <c r="B730" s="47" t="s">
        <v>43</v>
      </c>
      <c r="C730" s="47" t="s">
        <v>57</v>
      </c>
      <c r="D730" s="47" t="s">
        <v>21</v>
      </c>
      <c r="E730" s="47" t="s">
        <v>64</v>
      </c>
      <c r="F730" s="47" t="s">
        <v>16</v>
      </c>
      <c r="G730" s="47" t="s">
        <v>931</v>
      </c>
      <c r="H730" s="327"/>
      <c r="I730" s="47" t="s">
        <v>70</v>
      </c>
      <c r="J730" s="47" t="s">
        <v>115</v>
      </c>
      <c r="K730" s="327"/>
      <c r="L730" s="47" t="s">
        <v>71</v>
      </c>
      <c r="M730" s="47" t="s">
        <v>1398</v>
      </c>
    </row>
    <row r="731">
      <c r="A731" s="328">
        <v>43957.0</v>
      </c>
      <c r="B731" s="47" t="s">
        <v>43</v>
      </c>
      <c r="C731" s="47" t="s">
        <v>20</v>
      </c>
      <c r="D731" s="47" t="s">
        <v>27</v>
      </c>
      <c r="E731" s="47" t="s">
        <v>64</v>
      </c>
      <c r="F731" s="47" t="s">
        <v>16</v>
      </c>
      <c r="G731" s="47" t="s">
        <v>932</v>
      </c>
      <c r="H731" s="47" t="s">
        <v>61</v>
      </c>
      <c r="I731" s="47" t="s">
        <v>70</v>
      </c>
      <c r="J731" s="47" t="s">
        <v>66</v>
      </c>
      <c r="K731" s="327"/>
      <c r="L731" s="47" t="s">
        <v>68</v>
      </c>
      <c r="M731" s="47" t="s">
        <v>1398</v>
      </c>
    </row>
    <row r="732">
      <c r="A732" s="328">
        <v>43947.0</v>
      </c>
      <c r="B732" s="47" t="s">
        <v>43</v>
      </c>
      <c r="C732" s="47" t="s">
        <v>20</v>
      </c>
      <c r="D732" s="47" t="s">
        <v>58</v>
      </c>
      <c r="E732" s="47" t="s">
        <v>64</v>
      </c>
      <c r="F732" s="47" t="s">
        <v>16</v>
      </c>
      <c r="G732" s="47" t="s">
        <v>933</v>
      </c>
      <c r="H732" s="327"/>
      <c r="I732" s="47" t="s">
        <v>66</v>
      </c>
      <c r="J732" s="327"/>
      <c r="K732" s="327"/>
      <c r="L732" s="47" t="s">
        <v>71</v>
      </c>
      <c r="M732" s="47" t="s">
        <v>1398</v>
      </c>
    </row>
    <row r="733">
      <c r="A733" s="328">
        <v>43947.0</v>
      </c>
      <c r="B733" s="47" t="s">
        <v>43</v>
      </c>
      <c r="C733" s="47" t="s">
        <v>20</v>
      </c>
      <c r="D733" s="47" t="s">
        <v>21</v>
      </c>
      <c r="E733" s="47" t="s">
        <v>64</v>
      </c>
      <c r="F733" s="47" t="s">
        <v>16</v>
      </c>
      <c r="G733" s="47" t="s">
        <v>934</v>
      </c>
      <c r="H733" s="327"/>
      <c r="I733" s="47" t="s">
        <v>70</v>
      </c>
      <c r="J733" s="47" t="s">
        <v>67</v>
      </c>
      <c r="K733" s="327"/>
      <c r="L733" s="47" t="s">
        <v>68</v>
      </c>
      <c r="M733" s="47" t="s">
        <v>1398</v>
      </c>
    </row>
    <row r="734">
      <c r="A734" s="328">
        <v>43945.0</v>
      </c>
      <c r="B734" s="47" t="s">
        <v>43</v>
      </c>
      <c r="C734" s="47" t="s">
        <v>57</v>
      </c>
      <c r="D734" s="47" t="s">
        <v>21</v>
      </c>
      <c r="E734" s="47" t="s">
        <v>64</v>
      </c>
      <c r="F734" s="47" t="s">
        <v>16</v>
      </c>
      <c r="G734" s="47" t="s">
        <v>935</v>
      </c>
      <c r="H734" s="327"/>
      <c r="I734" s="47" t="s">
        <v>70</v>
      </c>
      <c r="J734" s="47" t="s">
        <v>463</v>
      </c>
      <c r="K734" s="327"/>
      <c r="L734" s="47" t="s">
        <v>68</v>
      </c>
      <c r="M734" s="47" t="s">
        <v>1398</v>
      </c>
    </row>
    <row r="735">
      <c r="A735" s="328">
        <v>43947.0</v>
      </c>
      <c r="B735" s="47" t="s">
        <v>43</v>
      </c>
      <c r="C735" s="47" t="s">
        <v>33</v>
      </c>
      <c r="D735" s="47" t="s">
        <v>21</v>
      </c>
      <c r="E735" s="47" t="s">
        <v>64</v>
      </c>
      <c r="F735" s="47" t="s">
        <v>16</v>
      </c>
      <c r="G735" s="47" t="s">
        <v>936</v>
      </c>
      <c r="H735" s="327"/>
      <c r="I735" s="47" t="s">
        <v>463</v>
      </c>
      <c r="J735" s="327"/>
      <c r="K735" s="327"/>
      <c r="L735" s="47" t="s">
        <v>68</v>
      </c>
      <c r="M735" s="47" t="s">
        <v>1398</v>
      </c>
    </row>
    <row r="736">
      <c r="A736" s="328">
        <v>43934.0</v>
      </c>
      <c r="B736" s="47" t="s">
        <v>43</v>
      </c>
      <c r="C736" s="47" t="s">
        <v>49</v>
      </c>
      <c r="D736" s="47" t="s">
        <v>27</v>
      </c>
      <c r="E736" s="47" t="s">
        <v>22</v>
      </c>
      <c r="F736" s="47" t="s">
        <v>16</v>
      </c>
      <c r="G736" s="47" t="s">
        <v>937</v>
      </c>
      <c r="H736" s="47" t="s">
        <v>61</v>
      </c>
      <c r="I736" s="47" t="s">
        <v>115</v>
      </c>
      <c r="J736" s="47" t="s">
        <v>66</v>
      </c>
      <c r="K736" s="327"/>
      <c r="L736" s="47" t="s">
        <v>144</v>
      </c>
      <c r="M736" s="47" t="s">
        <v>1398</v>
      </c>
    </row>
    <row r="737">
      <c r="A737" s="328">
        <v>43944.0</v>
      </c>
      <c r="B737" s="47" t="s">
        <v>43</v>
      </c>
      <c r="C737" s="47" t="s">
        <v>20</v>
      </c>
      <c r="D737" s="47" t="s">
        <v>44</v>
      </c>
      <c r="E737" s="47" t="s">
        <v>64</v>
      </c>
      <c r="F737" s="47" t="s">
        <v>16</v>
      </c>
      <c r="G737" s="47" t="s">
        <v>938</v>
      </c>
      <c r="H737" s="327"/>
      <c r="I737" s="47" t="s">
        <v>346</v>
      </c>
      <c r="J737" s="47" t="s">
        <v>67</v>
      </c>
      <c r="K737" s="327"/>
      <c r="L737" s="47" t="s">
        <v>71</v>
      </c>
      <c r="M737" s="47" t="s">
        <v>1398</v>
      </c>
    </row>
    <row r="738">
      <c r="A738" s="328">
        <v>43944.0</v>
      </c>
      <c r="B738" s="47" t="s">
        <v>43</v>
      </c>
      <c r="C738" s="47" t="s">
        <v>26</v>
      </c>
      <c r="D738" s="47" t="s">
        <v>14</v>
      </c>
      <c r="E738" s="47" t="s">
        <v>64</v>
      </c>
      <c r="F738" s="47" t="s">
        <v>16</v>
      </c>
      <c r="G738" s="47" t="s">
        <v>939</v>
      </c>
      <c r="H738" s="47" t="s">
        <v>61</v>
      </c>
      <c r="I738" s="47" t="s">
        <v>66</v>
      </c>
      <c r="J738" s="327"/>
      <c r="K738" s="327"/>
      <c r="L738" s="47" t="s">
        <v>68</v>
      </c>
      <c r="M738" s="47" t="s">
        <v>1398</v>
      </c>
    </row>
    <row r="739">
      <c r="A739" s="328">
        <v>43934.0</v>
      </c>
      <c r="B739" s="47" t="s">
        <v>43</v>
      </c>
      <c r="C739" s="47" t="s">
        <v>57</v>
      </c>
      <c r="D739" s="47" t="s">
        <v>44</v>
      </c>
      <c r="E739" s="47" t="s">
        <v>15</v>
      </c>
      <c r="F739" s="47" t="s">
        <v>16</v>
      </c>
      <c r="G739" s="47" t="s">
        <v>940</v>
      </c>
      <c r="H739" s="327"/>
      <c r="I739" s="47" t="s">
        <v>79</v>
      </c>
      <c r="J739" s="47" t="s">
        <v>70</v>
      </c>
      <c r="K739" s="327"/>
      <c r="L739" s="47" t="s">
        <v>71</v>
      </c>
      <c r="M739" s="47" t="s">
        <v>1398</v>
      </c>
    </row>
    <row r="740">
      <c r="A740" s="328">
        <v>43938.0</v>
      </c>
      <c r="B740" s="47" t="s">
        <v>43</v>
      </c>
      <c r="C740" s="47" t="s">
        <v>49</v>
      </c>
      <c r="D740" s="47" t="s">
        <v>27</v>
      </c>
      <c r="E740" s="47" t="s">
        <v>22</v>
      </c>
      <c r="F740" s="47" t="s">
        <v>16</v>
      </c>
      <c r="G740" s="47" t="s">
        <v>941</v>
      </c>
      <c r="H740" s="327"/>
      <c r="I740" s="47" t="s">
        <v>115</v>
      </c>
      <c r="J740" s="47" t="s">
        <v>66</v>
      </c>
      <c r="K740" s="327"/>
      <c r="L740" s="47" t="s">
        <v>71</v>
      </c>
      <c r="M740" s="47" t="s">
        <v>1398</v>
      </c>
    </row>
    <row r="741">
      <c r="A741" s="328">
        <v>43938.0</v>
      </c>
      <c r="B741" s="47" t="s">
        <v>43</v>
      </c>
      <c r="C741" s="47" t="s">
        <v>49</v>
      </c>
      <c r="D741" s="47" t="s">
        <v>27</v>
      </c>
      <c r="E741" s="47" t="s">
        <v>64</v>
      </c>
      <c r="F741" s="47" t="s">
        <v>16</v>
      </c>
      <c r="G741" s="47" t="s">
        <v>942</v>
      </c>
      <c r="H741" s="327"/>
      <c r="I741" s="47" t="s">
        <v>115</v>
      </c>
      <c r="J741" s="47" t="s">
        <v>66</v>
      </c>
      <c r="K741" s="327"/>
      <c r="L741" s="47" t="s">
        <v>71</v>
      </c>
      <c r="M741" s="47" t="s">
        <v>1398</v>
      </c>
    </row>
    <row r="742">
      <c r="A742" s="328">
        <v>43936.0</v>
      </c>
      <c r="B742" s="47" t="s">
        <v>43</v>
      </c>
      <c r="C742" s="47" t="s">
        <v>49</v>
      </c>
      <c r="D742" s="47" t="s">
        <v>27</v>
      </c>
      <c r="E742" s="47" t="s">
        <v>64</v>
      </c>
      <c r="F742" s="47" t="s">
        <v>16</v>
      </c>
      <c r="G742" s="47" t="s">
        <v>943</v>
      </c>
      <c r="H742" s="327"/>
      <c r="I742" s="47" t="s">
        <v>115</v>
      </c>
      <c r="J742" s="47" t="s">
        <v>66</v>
      </c>
      <c r="K742" s="327"/>
      <c r="L742" s="47" t="s">
        <v>71</v>
      </c>
      <c r="M742" s="47" t="s">
        <v>1398</v>
      </c>
    </row>
    <row r="743">
      <c r="A743" s="328">
        <v>43936.0</v>
      </c>
      <c r="B743" s="47" t="s">
        <v>43</v>
      </c>
      <c r="C743" s="47" t="s">
        <v>49</v>
      </c>
      <c r="D743" s="47" t="s">
        <v>27</v>
      </c>
      <c r="E743" s="47" t="s">
        <v>64</v>
      </c>
      <c r="F743" s="47" t="s">
        <v>16</v>
      </c>
      <c r="G743" s="47" t="s">
        <v>944</v>
      </c>
      <c r="H743" s="327"/>
      <c r="I743" s="47" t="s">
        <v>115</v>
      </c>
      <c r="J743" s="47" t="s">
        <v>66</v>
      </c>
      <c r="K743" s="327"/>
      <c r="L743" s="47" t="s">
        <v>71</v>
      </c>
      <c r="M743" s="47" t="s">
        <v>1398</v>
      </c>
    </row>
    <row r="744">
      <c r="A744" s="328">
        <v>43934.0</v>
      </c>
      <c r="B744" s="47" t="s">
        <v>43</v>
      </c>
      <c r="C744" s="47" t="s">
        <v>49</v>
      </c>
      <c r="D744" s="47" t="s">
        <v>58</v>
      </c>
      <c r="E744" s="47" t="s">
        <v>22</v>
      </c>
      <c r="F744" s="47" t="s">
        <v>16</v>
      </c>
      <c r="G744" s="47" t="s">
        <v>945</v>
      </c>
      <c r="H744" s="47" t="s">
        <v>61</v>
      </c>
      <c r="I744" s="47" t="s">
        <v>115</v>
      </c>
      <c r="J744" s="327"/>
      <c r="K744" s="327"/>
      <c r="L744" s="47" t="s">
        <v>167</v>
      </c>
      <c r="M744" s="47" t="s">
        <v>1398</v>
      </c>
    </row>
    <row r="745">
      <c r="A745" s="328">
        <v>43931.0</v>
      </c>
      <c r="B745" s="47" t="s">
        <v>56</v>
      </c>
      <c r="C745" s="47" t="s">
        <v>57</v>
      </c>
      <c r="D745" s="47" t="s">
        <v>21</v>
      </c>
      <c r="E745" s="47" t="s">
        <v>22</v>
      </c>
      <c r="F745" s="47" t="s">
        <v>16</v>
      </c>
      <c r="G745" s="47" t="s">
        <v>946</v>
      </c>
      <c r="H745" s="47" t="s">
        <v>61</v>
      </c>
      <c r="I745" s="47" t="s">
        <v>66</v>
      </c>
      <c r="J745" s="47" t="s">
        <v>463</v>
      </c>
      <c r="K745" s="327"/>
      <c r="L745" s="47" t="s">
        <v>144</v>
      </c>
      <c r="M745" s="47" t="s">
        <v>1398</v>
      </c>
    </row>
    <row r="746">
      <c r="A746" s="328">
        <v>43934.0</v>
      </c>
      <c r="B746" s="47" t="s">
        <v>43</v>
      </c>
      <c r="C746" s="47" t="s">
        <v>49</v>
      </c>
      <c r="D746" s="47" t="s">
        <v>95</v>
      </c>
      <c r="E746" s="47" t="s">
        <v>22</v>
      </c>
      <c r="F746" s="47" t="s">
        <v>16</v>
      </c>
      <c r="G746" s="47" t="s">
        <v>947</v>
      </c>
      <c r="H746" s="47" t="s">
        <v>61</v>
      </c>
      <c r="I746" s="47" t="s">
        <v>115</v>
      </c>
      <c r="J746" s="47" t="s">
        <v>66</v>
      </c>
      <c r="K746" s="327"/>
      <c r="L746" s="47" t="s">
        <v>71</v>
      </c>
      <c r="M746" s="47" t="s">
        <v>1398</v>
      </c>
    </row>
    <row r="747">
      <c r="A747" s="328">
        <v>43924.0</v>
      </c>
      <c r="B747" s="47" t="s">
        <v>56</v>
      </c>
      <c r="C747" s="47" t="s">
        <v>57</v>
      </c>
      <c r="D747" s="47" t="s">
        <v>89</v>
      </c>
      <c r="E747" s="47" t="s">
        <v>22</v>
      </c>
      <c r="F747" s="47" t="s">
        <v>16</v>
      </c>
      <c r="G747" s="47" t="s">
        <v>948</v>
      </c>
      <c r="H747" s="327"/>
      <c r="I747" s="47" t="s">
        <v>127</v>
      </c>
      <c r="J747" s="47" t="s">
        <v>70</v>
      </c>
      <c r="K747" s="327"/>
      <c r="L747" s="47" t="s">
        <v>63</v>
      </c>
      <c r="M747" s="47" t="s">
        <v>1398</v>
      </c>
    </row>
    <row r="748">
      <c r="A748" s="328">
        <v>43927.0</v>
      </c>
      <c r="B748" s="47" t="s">
        <v>56</v>
      </c>
      <c r="C748" s="47" t="s">
        <v>33</v>
      </c>
      <c r="D748" s="47" t="s">
        <v>81</v>
      </c>
      <c r="E748" s="47" t="s">
        <v>22</v>
      </c>
      <c r="F748" s="47" t="s">
        <v>16</v>
      </c>
      <c r="G748" s="47" t="s">
        <v>949</v>
      </c>
      <c r="H748" s="327"/>
      <c r="I748" s="47" t="s">
        <v>463</v>
      </c>
      <c r="J748" s="327"/>
      <c r="K748" s="327"/>
      <c r="L748" s="47" t="s">
        <v>162</v>
      </c>
      <c r="M748" s="47" t="s">
        <v>1398</v>
      </c>
    </row>
    <row r="749">
      <c r="A749" s="328">
        <v>43935.0</v>
      </c>
      <c r="B749" s="47" t="s">
        <v>56</v>
      </c>
      <c r="C749" s="47" t="s">
        <v>26</v>
      </c>
      <c r="D749" s="47" t="s">
        <v>44</v>
      </c>
      <c r="E749" s="47" t="s">
        <v>22</v>
      </c>
      <c r="F749" s="47" t="s">
        <v>16</v>
      </c>
      <c r="G749" s="47" t="s">
        <v>1400</v>
      </c>
      <c r="H749" s="47" t="s">
        <v>61</v>
      </c>
      <c r="I749" s="47" t="s">
        <v>66</v>
      </c>
      <c r="J749" s="47" t="s">
        <v>463</v>
      </c>
      <c r="K749" s="327"/>
      <c r="L749" s="47" t="s">
        <v>71</v>
      </c>
      <c r="M749" s="47" t="s">
        <v>1398</v>
      </c>
    </row>
    <row r="750">
      <c r="A750" s="328">
        <v>43928.0</v>
      </c>
      <c r="B750" s="47" t="s">
        <v>56</v>
      </c>
      <c r="C750" s="47" t="s">
        <v>76</v>
      </c>
      <c r="D750" s="47" t="s">
        <v>27</v>
      </c>
      <c r="E750" s="47" t="s">
        <v>22</v>
      </c>
      <c r="F750" s="47" t="s">
        <v>16</v>
      </c>
      <c r="G750" s="47" t="s">
        <v>951</v>
      </c>
      <c r="H750" s="47" t="s">
        <v>61</v>
      </c>
      <c r="I750" s="47" t="s">
        <v>346</v>
      </c>
      <c r="J750" s="327"/>
      <c r="K750" s="327"/>
      <c r="L750" s="47" t="s">
        <v>71</v>
      </c>
      <c r="M750" s="47" t="s">
        <v>1398</v>
      </c>
    </row>
    <row r="751">
      <c r="A751" s="328">
        <v>43916.0</v>
      </c>
      <c r="B751" s="47" t="s">
        <v>56</v>
      </c>
      <c r="C751" s="47" t="s">
        <v>76</v>
      </c>
      <c r="D751" s="47" t="s">
        <v>58</v>
      </c>
      <c r="E751" s="47" t="s">
        <v>22</v>
      </c>
      <c r="F751" s="47" t="s">
        <v>16</v>
      </c>
      <c r="G751" s="47" t="s">
        <v>952</v>
      </c>
      <c r="H751" s="47" t="s">
        <v>61</v>
      </c>
      <c r="I751" s="47" t="s">
        <v>79</v>
      </c>
      <c r="J751" s="327"/>
      <c r="K751" s="327"/>
      <c r="L751" s="47" t="s">
        <v>71</v>
      </c>
      <c r="M751" s="47" t="s">
        <v>1398</v>
      </c>
    </row>
    <row r="752">
      <c r="A752" s="328">
        <v>43916.0</v>
      </c>
      <c r="B752" s="47" t="s">
        <v>56</v>
      </c>
      <c r="C752" s="47" t="s">
        <v>26</v>
      </c>
      <c r="D752" s="47" t="s">
        <v>58</v>
      </c>
      <c r="E752" s="47" t="s">
        <v>22</v>
      </c>
      <c r="F752" s="47" t="s">
        <v>16</v>
      </c>
      <c r="G752" s="47" t="s">
        <v>953</v>
      </c>
      <c r="H752" s="47" t="s">
        <v>61</v>
      </c>
      <c r="I752" s="47" t="s">
        <v>67</v>
      </c>
      <c r="J752" s="47" t="s">
        <v>66</v>
      </c>
      <c r="K752" s="327"/>
      <c r="L752" s="47" t="s">
        <v>71</v>
      </c>
      <c r="M752" s="47" t="s">
        <v>1398</v>
      </c>
    </row>
    <row r="753">
      <c r="A753" s="328">
        <v>43920.0</v>
      </c>
      <c r="B753" s="47" t="s">
        <v>56</v>
      </c>
      <c r="C753" s="47" t="s">
        <v>13</v>
      </c>
      <c r="D753" s="47" t="s">
        <v>58</v>
      </c>
      <c r="E753" s="47" t="s">
        <v>22</v>
      </c>
      <c r="F753" s="47" t="s">
        <v>16</v>
      </c>
      <c r="G753" s="47" t="s">
        <v>954</v>
      </c>
      <c r="H753" s="327"/>
      <c r="I753" s="47" t="s">
        <v>79</v>
      </c>
      <c r="J753" s="47" t="s">
        <v>66</v>
      </c>
      <c r="K753" s="327"/>
      <c r="L753" s="47" t="s">
        <v>71</v>
      </c>
      <c r="M753" s="47" t="s">
        <v>1398</v>
      </c>
    </row>
    <row r="754">
      <c r="A754" s="328">
        <v>43921.0</v>
      </c>
      <c r="B754" s="47" t="s">
        <v>56</v>
      </c>
      <c r="C754" s="47" t="s">
        <v>36</v>
      </c>
      <c r="D754" s="47" t="s">
        <v>58</v>
      </c>
      <c r="E754" s="47" t="s">
        <v>22</v>
      </c>
      <c r="F754" s="47" t="s">
        <v>16</v>
      </c>
      <c r="G754" s="47" t="s">
        <v>955</v>
      </c>
      <c r="H754" s="327"/>
      <c r="I754" s="47" t="s">
        <v>66</v>
      </c>
      <c r="J754" s="327"/>
      <c r="K754" s="327"/>
      <c r="L754" s="47" t="s">
        <v>71</v>
      </c>
      <c r="M754" s="47" t="s">
        <v>1398</v>
      </c>
    </row>
    <row r="755">
      <c r="A755" s="328">
        <v>43907.0</v>
      </c>
      <c r="B755" s="47" t="s">
        <v>56</v>
      </c>
      <c r="C755" s="47" t="s">
        <v>49</v>
      </c>
      <c r="D755" s="47" t="s">
        <v>58</v>
      </c>
      <c r="E755" s="47" t="s">
        <v>64</v>
      </c>
      <c r="F755" s="47" t="s">
        <v>16</v>
      </c>
      <c r="G755" s="47" t="s">
        <v>956</v>
      </c>
      <c r="H755" s="327"/>
      <c r="I755" s="47" t="s">
        <v>115</v>
      </c>
      <c r="J755" s="47" t="s">
        <v>66</v>
      </c>
      <c r="K755" s="47" t="s">
        <v>1401</v>
      </c>
      <c r="L755" s="47" t="s">
        <v>71</v>
      </c>
      <c r="M755" s="47" t="s">
        <v>1398</v>
      </c>
    </row>
    <row r="756">
      <c r="A756" s="328">
        <v>43921.0</v>
      </c>
      <c r="B756" s="47" t="s">
        <v>56</v>
      </c>
      <c r="C756" s="47" t="s">
        <v>13</v>
      </c>
      <c r="D756" s="47" t="s">
        <v>14</v>
      </c>
      <c r="E756" s="47" t="s">
        <v>22</v>
      </c>
      <c r="F756" s="47" t="s">
        <v>16</v>
      </c>
      <c r="G756" s="47" t="s">
        <v>957</v>
      </c>
      <c r="H756" s="327"/>
      <c r="I756" s="47" t="s">
        <v>79</v>
      </c>
      <c r="J756" s="47" t="s">
        <v>66</v>
      </c>
      <c r="K756" s="327"/>
      <c r="L756" s="47" t="s">
        <v>71</v>
      </c>
      <c r="M756" s="47" t="s">
        <v>1398</v>
      </c>
    </row>
    <row r="757">
      <c r="A757" s="328">
        <v>43916.0</v>
      </c>
      <c r="B757" s="47" t="s">
        <v>56</v>
      </c>
      <c r="C757" s="47" t="s">
        <v>26</v>
      </c>
      <c r="D757" s="47" t="s">
        <v>58</v>
      </c>
      <c r="E757" s="47" t="s">
        <v>22</v>
      </c>
      <c r="F757" s="47" t="s">
        <v>16</v>
      </c>
      <c r="G757" s="47" t="s">
        <v>958</v>
      </c>
      <c r="H757" s="327"/>
      <c r="I757" s="47" t="s">
        <v>66</v>
      </c>
      <c r="J757" s="47" t="s">
        <v>699</v>
      </c>
      <c r="K757" s="327"/>
      <c r="L757" s="47" t="s">
        <v>71</v>
      </c>
      <c r="M757" s="47" t="s">
        <v>1398</v>
      </c>
    </row>
    <row r="758">
      <c r="A758" s="328">
        <v>43916.0</v>
      </c>
      <c r="B758" s="47" t="s">
        <v>56</v>
      </c>
      <c r="C758" s="47" t="s">
        <v>76</v>
      </c>
      <c r="D758" s="47" t="s">
        <v>58</v>
      </c>
      <c r="E758" s="47" t="s">
        <v>22</v>
      </c>
      <c r="F758" s="47" t="s">
        <v>16</v>
      </c>
      <c r="G758" s="47" t="s">
        <v>959</v>
      </c>
      <c r="H758" s="47" t="s">
        <v>61</v>
      </c>
      <c r="I758" s="47" t="s">
        <v>346</v>
      </c>
      <c r="J758" s="47" t="s">
        <v>699</v>
      </c>
      <c r="K758" s="327"/>
      <c r="L758" s="47" t="s">
        <v>71</v>
      </c>
      <c r="M758" s="47" t="s">
        <v>1398</v>
      </c>
    </row>
    <row r="759">
      <c r="A759" s="328">
        <v>43916.0</v>
      </c>
      <c r="B759" s="47" t="s">
        <v>56</v>
      </c>
      <c r="C759" s="47" t="s">
        <v>49</v>
      </c>
      <c r="D759" s="47" t="s">
        <v>58</v>
      </c>
      <c r="E759" s="47" t="s">
        <v>22</v>
      </c>
      <c r="F759" s="47" t="s">
        <v>16</v>
      </c>
      <c r="G759" s="47" t="s">
        <v>960</v>
      </c>
      <c r="H759" s="47" t="s">
        <v>1402</v>
      </c>
      <c r="I759" s="47" t="s">
        <v>115</v>
      </c>
      <c r="J759" s="47" t="s">
        <v>699</v>
      </c>
      <c r="K759" s="327"/>
      <c r="L759" s="47" t="s">
        <v>71</v>
      </c>
      <c r="M759" s="47" t="s">
        <v>1398</v>
      </c>
    </row>
    <row r="760">
      <c r="A760" s="328">
        <v>43916.0</v>
      </c>
      <c r="B760" s="47" t="s">
        <v>56</v>
      </c>
      <c r="C760" s="47" t="s">
        <v>76</v>
      </c>
      <c r="D760" s="47" t="s">
        <v>58</v>
      </c>
      <c r="E760" s="47" t="s">
        <v>22</v>
      </c>
      <c r="F760" s="47" t="s">
        <v>16</v>
      </c>
      <c r="G760" s="47" t="s">
        <v>961</v>
      </c>
      <c r="H760" s="47" t="s">
        <v>1402</v>
      </c>
      <c r="I760" s="47" t="s">
        <v>346</v>
      </c>
      <c r="J760" s="47" t="s">
        <v>699</v>
      </c>
      <c r="K760" s="327"/>
      <c r="L760" s="47" t="s">
        <v>71</v>
      </c>
      <c r="M760" s="47" t="s">
        <v>1398</v>
      </c>
    </row>
    <row r="761">
      <c r="A761" s="328">
        <v>43916.0</v>
      </c>
      <c r="B761" s="47" t="s">
        <v>56</v>
      </c>
      <c r="C761" s="47" t="s">
        <v>13</v>
      </c>
      <c r="D761" s="47" t="s">
        <v>58</v>
      </c>
      <c r="E761" s="47" t="s">
        <v>22</v>
      </c>
      <c r="F761" s="47" t="s">
        <v>16</v>
      </c>
      <c r="G761" s="47" t="s">
        <v>962</v>
      </c>
      <c r="H761" s="47" t="s">
        <v>1402</v>
      </c>
      <c r="I761" s="47" t="s">
        <v>463</v>
      </c>
      <c r="J761" s="47" t="s">
        <v>699</v>
      </c>
      <c r="K761" s="327"/>
      <c r="L761" s="47" t="s">
        <v>71</v>
      </c>
      <c r="M761" s="47" t="s">
        <v>1398</v>
      </c>
    </row>
    <row r="762">
      <c r="A762" s="328">
        <v>43916.0</v>
      </c>
      <c r="B762" s="47" t="s">
        <v>56</v>
      </c>
      <c r="C762" s="47" t="s">
        <v>49</v>
      </c>
      <c r="D762" s="47" t="s">
        <v>58</v>
      </c>
      <c r="E762" s="47" t="s">
        <v>22</v>
      </c>
      <c r="F762" s="47" t="s">
        <v>16</v>
      </c>
      <c r="G762" s="47" t="s">
        <v>963</v>
      </c>
      <c r="H762" s="47" t="s">
        <v>1403</v>
      </c>
      <c r="I762" s="47" t="s">
        <v>115</v>
      </c>
      <c r="J762" s="327"/>
      <c r="K762" s="327"/>
      <c r="L762" s="47" t="s">
        <v>71</v>
      </c>
      <c r="M762" s="47" t="s">
        <v>1398</v>
      </c>
    </row>
    <row r="763">
      <c r="A763" s="328">
        <v>43916.0</v>
      </c>
      <c r="B763" s="47" t="s">
        <v>56</v>
      </c>
      <c r="C763" s="47" t="s">
        <v>76</v>
      </c>
      <c r="D763" s="47" t="s">
        <v>81</v>
      </c>
      <c r="E763" s="47" t="s">
        <v>22</v>
      </c>
      <c r="F763" s="47" t="s">
        <v>16</v>
      </c>
      <c r="G763" s="47" t="s">
        <v>964</v>
      </c>
      <c r="H763" s="327"/>
      <c r="I763" s="47" t="s">
        <v>127</v>
      </c>
      <c r="J763" s="47" t="s">
        <v>66</v>
      </c>
      <c r="K763" s="327"/>
      <c r="L763" s="47" t="s">
        <v>68</v>
      </c>
      <c r="M763" s="47" t="s">
        <v>1398</v>
      </c>
    </row>
    <row r="764">
      <c r="A764" s="328">
        <v>43916.0</v>
      </c>
      <c r="B764" s="47" t="s">
        <v>56</v>
      </c>
      <c r="C764" s="47" t="s">
        <v>13</v>
      </c>
      <c r="D764" s="47" t="s">
        <v>58</v>
      </c>
      <c r="E764" s="47" t="s">
        <v>22</v>
      </c>
      <c r="F764" s="47" t="s">
        <v>16</v>
      </c>
      <c r="G764" s="47" t="s">
        <v>965</v>
      </c>
      <c r="H764" s="327"/>
      <c r="I764" s="47" t="s">
        <v>79</v>
      </c>
      <c r="J764" s="327"/>
      <c r="K764" s="327"/>
      <c r="L764" s="47" t="s">
        <v>71</v>
      </c>
      <c r="M764" s="47" t="s">
        <v>1398</v>
      </c>
    </row>
    <row r="765">
      <c r="A765" s="328">
        <v>43907.0</v>
      </c>
      <c r="B765" s="47" t="s">
        <v>56</v>
      </c>
      <c r="C765" s="47" t="s">
        <v>83</v>
      </c>
      <c r="D765" s="47" t="s">
        <v>44</v>
      </c>
      <c r="E765" s="47" t="s">
        <v>22</v>
      </c>
      <c r="F765" s="47" t="s">
        <v>16</v>
      </c>
      <c r="G765" s="47" t="s">
        <v>966</v>
      </c>
      <c r="H765" s="47" t="s">
        <v>61</v>
      </c>
      <c r="I765" s="47" t="s">
        <v>66</v>
      </c>
      <c r="J765" s="327"/>
      <c r="K765" s="327"/>
      <c r="L765" s="47" t="s">
        <v>71</v>
      </c>
      <c r="M765" s="47" t="s">
        <v>1398</v>
      </c>
    </row>
    <row r="766">
      <c r="A766" s="328">
        <v>43895.0</v>
      </c>
      <c r="B766" s="47" t="s">
        <v>56</v>
      </c>
      <c r="C766" s="47" t="s">
        <v>371</v>
      </c>
      <c r="D766" s="47" t="s">
        <v>81</v>
      </c>
      <c r="E766" s="47" t="s">
        <v>22</v>
      </c>
      <c r="F766" s="47" t="s">
        <v>16</v>
      </c>
      <c r="G766" s="47" t="s">
        <v>967</v>
      </c>
      <c r="H766" s="327"/>
      <c r="I766" s="47" t="s">
        <v>346</v>
      </c>
      <c r="J766" s="47" t="s">
        <v>308</v>
      </c>
      <c r="K766" s="327"/>
      <c r="L766" s="47" t="s">
        <v>167</v>
      </c>
      <c r="M766" s="47" t="s">
        <v>1398</v>
      </c>
    </row>
    <row r="767">
      <c r="A767" s="328">
        <v>43895.0</v>
      </c>
      <c r="B767" s="47" t="s">
        <v>56</v>
      </c>
      <c r="C767" s="47" t="s">
        <v>371</v>
      </c>
      <c r="D767" s="47" t="s">
        <v>81</v>
      </c>
      <c r="E767" s="47" t="s">
        <v>22</v>
      </c>
      <c r="F767" s="47" t="s">
        <v>16</v>
      </c>
      <c r="G767" s="47" t="s">
        <v>968</v>
      </c>
      <c r="H767" s="327"/>
      <c r="I767" s="47" t="s">
        <v>308</v>
      </c>
      <c r="J767" s="327"/>
      <c r="K767" s="327"/>
      <c r="L767" s="47" t="s">
        <v>167</v>
      </c>
      <c r="M767" s="47" t="s">
        <v>1398</v>
      </c>
    </row>
    <row r="768">
      <c r="A768" s="328">
        <v>43895.0</v>
      </c>
      <c r="B768" s="47" t="s">
        <v>56</v>
      </c>
      <c r="C768" s="47" t="s">
        <v>76</v>
      </c>
      <c r="D768" s="47" t="s">
        <v>44</v>
      </c>
      <c r="E768" s="47" t="s">
        <v>22</v>
      </c>
      <c r="F768" s="47" t="s">
        <v>16</v>
      </c>
      <c r="G768" s="47" t="s">
        <v>969</v>
      </c>
      <c r="H768" s="327"/>
      <c r="I768" s="47" t="s">
        <v>346</v>
      </c>
      <c r="J768" s="47" t="s">
        <v>66</v>
      </c>
      <c r="K768" s="327"/>
      <c r="L768" s="47" t="s">
        <v>71</v>
      </c>
      <c r="M768" s="47" t="s">
        <v>1398</v>
      </c>
    </row>
    <row r="769">
      <c r="A769" s="328">
        <v>43888.0</v>
      </c>
      <c r="B769" s="47" t="s">
        <v>56</v>
      </c>
      <c r="C769" s="47" t="s">
        <v>30</v>
      </c>
      <c r="D769" s="47" t="s">
        <v>81</v>
      </c>
      <c r="E769" s="47" t="s">
        <v>22</v>
      </c>
      <c r="F769" s="47" t="s">
        <v>16</v>
      </c>
      <c r="G769" s="47" t="s">
        <v>970</v>
      </c>
      <c r="H769" s="327"/>
      <c r="I769" s="47" t="s">
        <v>127</v>
      </c>
      <c r="J769" s="327"/>
      <c r="K769" s="327"/>
      <c r="L769" s="47" t="s">
        <v>167</v>
      </c>
      <c r="M769" s="47" t="s">
        <v>1398</v>
      </c>
    </row>
    <row r="770">
      <c r="A770" s="328">
        <v>43887.0</v>
      </c>
      <c r="B770" s="47" t="s">
        <v>56</v>
      </c>
      <c r="C770" s="47" t="s">
        <v>20</v>
      </c>
      <c r="D770" s="47" t="s">
        <v>44</v>
      </c>
      <c r="E770" s="47" t="s">
        <v>22</v>
      </c>
      <c r="F770" s="47" t="s">
        <v>16</v>
      </c>
      <c r="G770" s="47" t="s">
        <v>971</v>
      </c>
      <c r="H770" s="327"/>
      <c r="I770" s="47" t="s">
        <v>67</v>
      </c>
      <c r="J770" s="327"/>
      <c r="K770" s="327"/>
      <c r="L770" s="47" t="s">
        <v>71</v>
      </c>
      <c r="M770" s="47" t="s">
        <v>1398</v>
      </c>
    </row>
    <row r="771">
      <c r="A771" s="328">
        <v>43840.0</v>
      </c>
      <c r="B771" s="47" t="s">
        <v>56</v>
      </c>
      <c r="C771" s="47" t="s">
        <v>26</v>
      </c>
      <c r="D771" s="47" t="s">
        <v>58</v>
      </c>
      <c r="E771" s="47" t="s">
        <v>64</v>
      </c>
      <c r="F771" s="47" t="s">
        <v>16</v>
      </c>
      <c r="G771" s="47" t="s">
        <v>972</v>
      </c>
      <c r="H771" s="47" t="s">
        <v>61</v>
      </c>
      <c r="I771" s="47" t="s">
        <v>463</v>
      </c>
      <c r="J771" s="47" t="s">
        <v>66</v>
      </c>
      <c r="K771" s="327"/>
      <c r="L771" s="47" t="s">
        <v>68</v>
      </c>
      <c r="M771" s="47" t="s">
        <v>1398</v>
      </c>
    </row>
    <row r="772">
      <c r="A772" s="328">
        <v>43840.0</v>
      </c>
      <c r="B772" s="47" t="s">
        <v>56</v>
      </c>
      <c r="C772" s="47" t="s">
        <v>26</v>
      </c>
      <c r="D772" s="47" t="s">
        <v>58</v>
      </c>
      <c r="E772" s="47" t="s">
        <v>22</v>
      </c>
      <c r="F772" s="47" t="s">
        <v>16</v>
      </c>
      <c r="G772" s="47" t="s">
        <v>973</v>
      </c>
      <c r="H772" s="47" t="s">
        <v>61</v>
      </c>
      <c r="I772" s="47" t="s">
        <v>66</v>
      </c>
      <c r="J772" s="327"/>
      <c r="K772" s="327"/>
      <c r="L772" s="47" t="s">
        <v>71</v>
      </c>
      <c r="M772" s="47" t="s">
        <v>1398</v>
      </c>
    </row>
    <row r="773">
      <c r="A773" s="328">
        <v>43840.0</v>
      </c>
      <c r="B773" s="47" t="s">
        <v>56</v>
      </c>
      <c r="C773" s="47" t="s">
        <v>57</v>
      </c>
      <c r="D773" s="47" t="s">
        <v>58</v>
      </c>
      <c r="E773" s="47" t="s">
        <v>22</v>
      </c>
      <c r="F773" s="47" t="s">
        <v>16</v>
      </c>
      <c r="G773" s="47" t="s">
        <v>1404</v>
      </c>
      <c r="H773" s="327"/>
      <c r="I773" s="47" t="s">
        <v>115</v>
      </c>
      <c r="J773" s="327"/>
      <c r="K773" s="327"/>
      <c r="L773" s="47" t="s">
        <v>68</v>
      </c>
      <c r="M773" s="47" t="s">
        <v>1398</v>
      </c>
    </row>
    <row r="774">
      <c r="A774" s="328">
        <v>43840.0</v>
      </c>
      <c r="B774" s="47" t="s">
        <v>56</v>
      </c>
      <c r="C774" s="47" t="s">
        <v>57</v>
      </c>
      <c r="D774" s="47" t="s">
        <v>58</v>
      </c>
      <c r="E774" s="47" t="s">
        <v>64</v>
      </c>
      <c r="F774" s="47" t="s">
        <v>16</v>
      </c>
      <c r="G774" s="47" t="s">
        <v>975</v>
      </c>
      <c r="H774" s="47" t="s">
        <v>97</v>
      </c>
      <c r="I774" s="47" t="s">
        <v>70</v>
      </c>
      <c r="J774" s="327"/>
      <c r="K774" s="327"/>
      <c r="L774" s="47" t="s">
        <v>68</v>
      </c>
      <c r="M774" s="47" t="s">
        <v>1398</v>
      </c>
    </row>
    <row r="775">
      <c r="A775" s="328">
        <v>43837.0</v>
      </c>
      <c r="B775" s="47" t="s">
        <v>75</v>
      </c>
      <c r="C775" s="47" t="s">
        <v>26</v>
      </c>
      <c r="D775" s="47" t="s">
        <v>81</v>
      </c>
      <c r="E775" s="47" t="s">
        <v>22</v>
      </c>
      <c r="F775" s="47" t="s">
        <v>16</v>
      </c>
      <c r="G775" s="47" t="s">
        <v>976</v>
      </c>
      <c r="H775" s="327"/>
      <c r="I775" s="47" t="s">
        <v>717</v>
      </c>
      <c r="J775" s="47" t="s">
        <v>66</v>
      </c>
      <c r="K775" s="327"/>
      <c r="L775" s="47" t="s">
        <v>63</v>
      </c>
      <c r="M775" s="47" t="s">
        <v>1398</v>
      </c>
    </row>
    <row r="776">
      <c r="A776" s="328">
        <v>43837.0</v>
      </c>
      <c r="B776" s="47" t="s">
        <v>75</v>
      </c>
      <c r="C776" s="47" t="s">
        <v>76</v>
      </c>
      <c r="D776" s="47" t="s">
        <v>77</v>
      </c>
      <c r="E776" s="47" t="s">
        <v>22</v>
      </c>
      <c r="F776" s="47" t="s">
        <v>16</v>
      </c>
      <c r="G776" s="47" t="s">
        <v>977</v>
      </c>
      <c r="H776" s="47" t="s">
        <v>97</v>
      </c>
      <c r="I776" s="47" t="s">
        <v>346</v>
      </c>
      <c r="J776" s="327"/>
      <c r="K776" s="327"/>
      <c r="L776" s="47" t="s">
        <v>63</v>
      </c>
      <c r="M776" s="47" t="s">
        <v>1398</v>
      </c>
    </row>
    <row r="777">
      <c r="A777" s="328">
        <v>43837.0</v>
      </c>
      <c r="B777" s="47" t="s">
        <v>75</v>
      </c>
      <c r="C777" s="47" t="s">
        <v>49</v>
      </c>
      <c r="D777" s="47" t="s">
        <v>44</v>
      </c>
      <c r="E777" s="47" t="s">
        <v>22</v>
      </c>
      <c r="F777" s="47" t="s">
        <v>16</v>
      </c>
      <c r="G777" s="47" t="s">
        <v>978</v>
      </c>
      <c r="H777" s="47" t="s">
        <v>112</v>
      </c>
      <c r="I777" s="47" t="s">
        <v>115</v>
      </c>
      <c r="J777" s="327"/>
      <c r="K777" s="327"/>
      <c r="L777" s="47" t="s">
        <v>68</v>
      </c>
      <c r="M777" s="47" t="s">
        <v>1398</v>
      </c>
    </row>
    <row r="778">
      <c r="A778" s="328">
        <v>43802.0</v>
      </c>
      <c r="B778" s="47" t="s">
        <v>75</v>
      </c>
      <c r="C778" s="47" t="s">
        <v>30</v>
      </c>
      <c r="D778" s="47" t="s">
        <v>77</v>
      </c>
      <c r="E778" s="47" t="s">
        <v>22</v>
      </c>
      <c r="F778" s="47" t="s">
        <v>16</v>
      </c>
      <c r="G778" s="47" t="s">
        <v>979</v>
      </c>
      <c r="H778" s="47" t="s">
        <v>61</v>
      </c>
      <c r="I778" s="47" t="s">
        <v>66</v>
      </c>
      <c r="J778" s="327"/>
      <c r="K778" s="327"/>
      <c r="L778" s="47" t="s">
        <v>71</v>
      </c>
      <c r="M778" s="47" t="s">
        <v>1398</v>
      </c>
    </row>
    <row r="779">
      <c r="A779" s="328">
        <v>43802.0</v>
      </c>
      <c r="B779" s="47" t="s">
        <v>75</v>
      </c>
      <c r="C779" s="47" t="s">
        <v>30</v>
      </c>
      <c r="D779" s="47" t="s">
        <v>81</v>
      </c>
      <c r="E779" s="47" t="s">
        <v>22</v>
      </c>
      <c r="F779" s="47" t="s">
        <v>16</v>
      </c>
      <c r="G779" s="47" t="s">
        <v>1405</v>
      </c>
      <c r="H779" s="327"/>
      <c r="I779" s="47" t="s">
        <v>66</v>
      </c>
      <c r="J779" s="47" t="s">
        <v>127</v>
      </c>
      <c r="K779" s="327"/>
      <c r="L779" s="47" t="s">
        <v>63</v>
      </c>
      <c r="M779" s="47" t="s">
        <v>1398</v>
      </c>
    </row>
    <row r="780">
      <c r="A780" s="328">
        <v>43802.0</v>
      </c>
      <c r="B780" s="47" t="s">
        <v>75</v>
      </c>
      <c r="C780" s="47" t="s">
        <v>30</v>
      </c>
      <c r="D780" s="47" t="s">
        <v>81</v>
      </c>
      <c r="E780" s="47" t="s">
        <v>64</v>
      </c>
      <c r="F780" s="47" t="s">
        <v>16</v>
      </c>
      <c r="G780" s="47" t="s">
        <v>981</v>
      </c>
      <c r="H780" s="327"/>
      <c r="I780" s="47" t="s">
        <v>66</v>
      </c>
      <c r="J780" s="47" t="s">
        <v>127</v>
      </c>
      <c r="K780" s="327"/>
      <c r="L780" s="47" t="s">
        <v>68</v>
      </c>
      <c r="M780" s="47" t="s">
        <v>1398</v>
      </c>
    </row>
    <row r="781">
      <c r="A781" s="329"/>
      <c r="B781" s="327"/>
      <c r="C781" s="327"/>
      <c r="D781" s="327"/>
      <c r="E781" s="327"/>
      <c r="F781" s="327"/>
      <c r="G781" s="47" t="s">
        <v>102</v>
      </c>
      <c r="H781" s="327"/>
      <c r="I781" s="327"/>
      <c r="J781" s="327"/>
      <c r="K781" s="327"/>
      <c r="L781" s="327"/>
      <c r="M781" s="47" t="s">
        <v>1398</v>
      </c>
    </row>
    <row r="782">
      <c r="A782" s="328">
        <v>44270.0</v>
      </c>
      <c r="B782" s="47" t="s">
        <v>172</v>
      </c>
      <c r="C782" s="47" t="s">
        <v>36</v>
      </c>
      <c r="D782" s="47" t="s">
        <v>14</v>
      </c>
      <c r="E782" s="47" t="s">
        <v>64</v>
      </c>
      <c r="F782" s="47" t="s">
        <v>16</v>
      </c>
      <c r="G782" s="47" t="s">
        <v>982</v>
      </c>
      <c r="H782" s="47" t="s">
        <v>61</v>
      </c>
      <c r="I782" s="47" t="s">
        <v>66</v>
      </c>
      <c r="J782" s="47" t="s">
        <v>67</v>
      </c>
      <c r="K782" s="327"/>
      <c r="L782" s="327"/>
      <c r="M782" s="47" t="s">
        <v>1406</v>
      </c>
    </row>
    <row r="783">
      <c r="A783" s="328">
        <v>44270.0</v>
      </c>
      <c r="B783" s="47" t="s">
        <v>172</v>
      </c>
      <c r="C783" s="47" t="s">
        <v>36</v>
      </c>
      <c r="D783" s="47" t="s">
        <v>14</v>
      </c>
      <c r="E783" s="47" t="s">
        <v>64</v>
      </c>
      <c r="F783" s="47" t="s">
        <v>16</v>
      </c>
      <c r="G783" s="47" t="s">
        <v>1407</v>
      </c>
      <c r="H783" s="47" t="s">
        <v>984</v>
      </c>
      <c r="I783" s="47" t="s">
        <v>66</v>
      </c>
      <c r="J783" s="327"/>
      <c r="K783" s="327"/>
      <c r="L783" s="327"/>
      <c r="M783" s="47" t="s">
        <v>1406</v>
      </c>
    </row>
    <row r="784">
      <c r="A784" s="328">
        <v>44270.0</v>
      </c>
      <c r="B784" s="47" t="s">
        <v>172</v>
      </c>
      <c r="C784" s="47" t="s">
        <v>36</v>
      </c>
      <c r="D784" s="47" t="s">
        <v>14</v>
      </c>
      <c r="E784" s="47" t="s">
        <v>64</v>
      </c>
      <c r="F784" s="47" t="s">
        <v>16</v>
      </c>
      <c r="G784" s="47" t="s">
        <v>1408</v>
      </c>
      <c r="H784" s="47" t="s">
        <v>984</v>
      </c>
      <c r="I784" s="47" t="s">
        <v>66</v>
      </c>
      <c r="J784" s="327"/>
      <c r="K784" s="327"/>
      <c r="L784" s="327"/>
      <c r="M784" s="47" t="s">
        <v>1406</v>
      </c>
    </row>
    <row r="785">
      <c r="A785" s="328">
        <v>44270.0</v>
      </c>
      <c r="B785" s="47" t="s">
        <v>172</v>
      </c>
      <c r="C785" s="47" t="s">
        <v>36</v>
      </c>
      <c r="D785" s="47" t="s">
        <v>14</v>
      </c>
      <c r="E785" s="47" t="s">
        <v>64</v>
      </c>
      <c r="F785" s="47" t="s">
        <v>16</v>
      </c>
      <c r="G785" s="47" t="s">
        <v>986</v>
      </c>
      <c r="H785" s="47" t="s">
        <v>987</v>
      </c>
      <c r="I785" s="47" t="s">
        <v>66</v>
      </c>
      <c r="J785" s="327"/>
      <c r="K785" s="327"/>
      <c r="L785" s="327"/>
      <c r="M785" s="47" t="s">
        <v>1406</v>
      </c>
    </row>
    <row r="786">
      <c r="A786" s="328">
        <v>44256.0</v>
      </c>
      <c r="B786" s="47" t="s">
        <v>172</v>
      </c>
      <c r="C786" s="47" t="s">
        <v>20</v>
      </c>
      <c r="D786" s="47" t="s">
        <v>27</v>
      </c>
      <c r="E786" s="47" t="s">
        <v>64</v>
      </c>
      <c r="F786" s="47" t="s">
        <v>16</v>
      </c>
      <c r="G786" s="47" t="s">
        <v>988</v>
      </c>
      <c r="H786" s="327"/>
      <c r="I786" s="47" t="s">
        <v>67</v>
      </c>
      <c r="J786" s="47" t="s">
        <v>66</v>
      </c>
      <c r="K786" s="327"/>
      <c r="L786" s="327"/>
      <c r="M786" s="47" t="s">
        <v>1406</v>
      </c>
    </row>
    <row r="787">
      <c r="A787" s="328">
        <v>44182.0</v>
      </c>
      <c r="B787" s="47" t="s">
        <v>25</v>
      </c>
      <c r="C787" s="47" t="s">
        <v>13</v>
      </c>
      <c r="D787" s="47" t="s">
        <v>14</v>
      </c>
      <c r="E787" s="47" t="s">
        <v>64</v>
      </c>
      <c r="F787" s="47" t="s">
        <v>16</v>
      </c>
      <c r="G787" s="47" t="s">
        <v>989</v>
      </c>
      <c r="H787" s="47" t="s">
        <v>61</v>
      </c>
      <c r="I787" s="47" t="s">
        <v>79</v>
      </c>
      <c r="J787" s="47" t="s">
        <v>67</v>
      </c>
      <c r="K787" s="327"/>
      <c r="L787" s="47" t="s">
        <v>71</v>
      </c>
      <c r="M787" s="47" t="s">
        <v>1406</v>
      </c>
    </row>
    <row r="788">
      <c r="A788" s="328">
        <v>44182.0</v>
      </c>
      <c r="B788" s="47" t="s">
        <v>25</v>
      </c>
      <c r="C788" s="47" t="s">
        <v>13</v>
      </c>
      <c r="D788" s="47" t="s">
        <v>14</v>
      </c>
      <c r="E788" s="47" t="s">
        <v>64</v>
      </c>
      <c r="F788" s="47" t="s">
        <v>16</v>
      </c>
      <c r="G788" s="47" t="s">
        <v>990</v>
      </c>
      <c r="H788" s="47" t="s">
        <v>991</v>
      </c>
      <c r="I788" s="47" t="s">
        <v>346</v>
      </c>
      <c r="J788" s="47" t="s">
        <v>79</v>
      </c>
      <c r="K788" s="327"/>
      <c r="L788" s="47" t="s">
        <v>71</v>
      </c>
      <c r="M788" s="47" t="s">
        <v>1406</v>
      </c>
    </row>
    <row r="789">
      <c r="A789" s="328">
        <v>44175.0</v>
      </c>
      <c r="B789" s="47" t="s">
        <v>43</v>
      </c>
      <c r="C789" s="47" t="s">
        <v>57</v>
      </c>
      <c r="D789" s="47" t="s">
        <v>21</v>
      </c>
      <c r="E789" s="47" t="s">
        <v>64</v>
      </c>
      <c r="F789" s="47" t="s">
        <v>16</v>
      </c>
      <c r="G789" s="47" t="s">
        <v>992</v>
      </c>
      <c r="H789" s="327"/>
      <c r="I789" s="47" t="s">
        <v>70</v>
      </c>
      <c r="J789" s="327"/>
      <c r="K789" s="327"/>
      <c r="L789" s="47" t="s">
        <v>68</v>
      </c>
      <c r="M789" s="47" t="s">
        <v>1406</v>
      </c>
    </row>
    <row r="790">
      <c r="A790" s="328">
        <v>44167.0</v>
      </c>
      <c r="B790" s="47" t="s">
        <v>43</v>
      </c>
      <c r="C790" s="47" t="s">
        <v>26</v>
      </c>
      <c r="D790" s="47" t="s">
        <v>14</v>
      </c>
      <c r="E790" s="47" t="s">
        <v>64</v>
      </c>
      <c r="F790" s="47" t="s">
        <v>16</v>
      </c>
      <c r="G790" s="47" t="s">
        <v>993</v>
      </c>
      <c r="H790" s="47" t="s">
        <v>61</v>
      </c>
      <c r="I790" s="47" t="s">
        <v>74</v>
      </c>
      <c r="J790" s="47" t="s">
        <v>66</v>
      </c>
      <c r="K790" s="327"/>
      <c r="L790" s="47" t="s">
        <v>71</v>
      </c>
      <c r="M790" s="47" t="s">
        <v>1406</v>
      </c>
    </row>
    <row r="791">
      <c r="A791" s="328">
        <v>44158.0</v>
      </c>
      <c r="B791" s="47" t="s">
        <v>43</v>
      </c>
      <c r="C791" s="47" t="s">
        <v>33</v>
      </c>
      <c r="D791" s="47" t="s">
        <v>21</v>
      </c>
      <c r="E791" s="47" t="s">
        <v>22</v>
      </c>
      <c r="F791" s="47" t="s">
        <v>16</v>
      </c>
      <c r="G791" s="47" t="s">
        <v>994</v>
      </c>
      <c r="H791" s="327"/>
      <c r="I791" s="47" t="s">
        <v>463</v>
      </c>
      <c r="J791" s="327"/>
      <c r="K791" s="327"/>
      <c r="L791" s="47" t="s">
        <v>68</v>
      </c>
      <c r="M791" s="47" t="s">
        <v>1406</v>
      </c>
    </row>
    <row r="792">
      <c r="A792" s="328">
        <v>44158.0</v>
      </c>
      <c r="B792" s="47" t="s">
        <v>43</v>
      </c>
      <c r="C792" s="47" t="s">
        <v>57</v>
      </c>
      <c r="D792" s="47" t="s">
        <v>21</v>
      </c>
      <c r="E792" s="47" t="s">
        <v>22</v>
      </c>
      <c r="F792" s="47" t="s">
        <v>16</v>
      </c>
      <c r="G792" s="47" t="s">
        <v>995</v>
      </c>
      <c r="H792" s="327"/>
      <c r="I792" s="47" t="s">
        <v>70</v>
      </c>
      <c r="J792" s="47" t="s">
        <v>334</v>
      </c>
      <c r="K792" s="327"/>
      <c r="L792" s="47" t="s">
        <v>68</v>
      </c>
      <c r="M792" s="47" t="s">
        <v>1406</v>
      </c>
    </row>
    <row r="793">
      <c r="A793" s="328">
        <v>44158.0</v>
      </c>
      <c r="B793" s="47" t="s">
        <v>43</v>
      </c>
      <c r="C793" s="47" t="s">
        <v>57</v>
      </c>
      <c r="D793" s="47" t="s">
        <v>21</v>
      </c>
      <c r="E793" s="47" t="s">
        <v>64</v>
      </c>
      <c r="F793" s="47" t="s">
        <v>16</v>
      </c>
      <c r="G793" s="47" t="s">
        <v>996</v>
      </c>
      <c r="H793" s="327"/>
      <c r="I793" s="47" t="s">
        <v>70</v>
      </c>
      <c r="J793" s="47" t="s">
        <v>334</v>
      </c>
      <c r="K793" s="327"/>
      <c r="L793" s="47" t="s">
        <v>68</v>
      </c>
      <c r="M793" s="47" t="s">
        <v>1406</v>
      </c>
    </row>
    <row r="794">
      <c r="A794" s="328">
        <v>44158.0</v>
      </c>
      <c r="B794" s="47" t="s">
        <v>43</v>
      </c>
      <c r="C794" s="47" t="s">
        <v>33</v>
      </c>
      <c r="D794" s="47" t="s">
        <v>21</v>
      </c>
      <c r="E794" s="47" t="s">
        <v>22</v>
      </c>
      <c r="F794" s="47" t="s">
        <v>16</v>
      </c>
      <c r="G794" s="47" t="s">
        <v>997</v>
      </c>
      <c r="H794" s="327"/>
      <c r="I794" s="47" t="s">
        <v>463</v>
      </c>
      <c r="J794" s="327"/>
      <c r="K794" s="327"/>
      <c r="L794" s="47" t="s">
        <v>144</v>
      </c>
      <c r="M794" s="47" t="s">
        <v>1406</v>
      </c>
    </row>
    <row r="795">
      <c r="A795" s="328">
        <v>44175.0</v>
      </c>
      <c r="B795" s="47" t="s">
        <v>43</v>
      </c>
      <c r="C795" s="47" t="s">
        <v>26</v>
      </c>
      <c r="D795" s="47" t="s">
        <v>44</v>
      </c>
      <c r="E795" s="47" t="s">
        <v>64</v>
      </c>
      <c r="F795" s="47" t="s">
        <v>16</v>
      </c>
      <c r="G795" s="47" t="s">
        <v>998</v>
      </c>
      <c r="H795" s="327"/>
      <c r="I795" s="47" t="s">
        <v>66</v>
      </c>
      <c r="J795" s="327"/>
      <c r="K795" s="327"/>
      <c r="L795" s="47" t="s">
        <v>71</v>
      </c>
      <c r="M795" s="47" t="s">
        <v>1406</v>
      </c>
    </row>
    <row r="796">
      <c r="A796" s="328">
        <v>44097.0</v>
      </c>
      <c r="B796" s="47" t="s">
        <v>56</v>
      </c>
      <c r="C796" s="47" t="s">
        <v>30</v>
      </c>
      <c r="D796" s="47" t="s">
        <v>44</v>
      </c>
      <c r="E796" s="47" t="s">
        <v>22</v>
      </c>
      <c r="F796" s="47" t="s">
        <v>16</v>
      </c>
      <c r="G796" s="47" t="s">
        <v>999</v>
      </c>
      <c r="H796" s="47" t="s">
        <v>112</v>
      </c>
      <c r="I796" s="47" t="s">
        <v>127</v>
      </c>
      <c r="J796" s="327"/>
      <c r="K796" s="327"/>
      <c r="L796" s="47" t="s">
        <v>63</v>
      </c>
      <c r="M796" s="47" t="s">
        <v>1406</v>
      </c>
    </row>
    <row r="797">
      <c r="A797" s="328">
        <v>44158.0</v>
      </c>
      <c r="B797" s="47" t="s">
        <v>43</v>
      </c>
      <c r="C797" s="47" t="s">
        <v>26</v>
      </c>
      <c r="D797" s="47" t="s">
        <v>44</v>
      </c>
      <c r="E797" s="47" t="s">
        <v>64</v>
      </c>
      <c r="F797" s="47" t="s">
        <v>16</v>
      </c>
      <c r="G797" s="47" t="s">
        <v>1000</v>
      </c>
      <c r="H797" s="47" t="s">
        <v>61</v>
      </c>
      <c r="I797" s="47" t="s">
        <v>66</v>
      </c>
      <c r="J797" s="47" t="s">
        <v>463</v>
      </c>
      <c r="K797" s="327"/>
      <c r="L797" s="47" t="s">
        <v>68</v>
      </c>
      <c r="M797" s="47" t="s">
        <v>1406</v>
      </c>
    </row>
    <row r="798">
      <c r="A798" s="328">
        <v>44158.0</v>
      </c>
      <c r="B798" s="47" t="s">
        <v>43</v>
      </c>
      <c r="C798" s="47" t="s">
        <v>49</v>
      </c>
      <c r="D798" s="47" t="s">
        <v>1001</v>
      </c>
      <c r="E798" s="47" t="s">
        <v>64</v>
      </c>
      <c r="F798" s="47" t="s">
        <v>16</v>
      </c>
      <c r="G798" s="47" t="s">
        <v>1002</v>
      </c>
      <c r="H798" s="327"/>
      <c r="I798" s="47" t="s">
        <v>115</v>
      </c>
      <c r="J798" s="47" t="s">
        <v>66</v>
      </c>
      <c r="K798" s="327"/>
      <c r="L798" s="47" t="s">
        <v>68</v>
      </c>
      <c r="M798" s="47" t="s">
        <v>1406</v>
      </c>
    </row>
    <row r="799">
      <c r="A799" s="328">
        <v>44101.0</v>
      </c>
      <c r="B799" s="47" t="s">
        <v>56</v>
      </c>
      <c r="C799" s="47" t="s">
        <v>49</v>
      </c>
      <c r="D799" s="47" t="s">
        <v>21</v>
      </c>
      <c r="E799" s="47" t="s">
        <v>22</v>
      </c>
      <c r="F799" s="47" t="s">
        <v>16</v>
      </c>
      <c r="G799" s="47" t="s">
        <v>1003</v>
      </c>
      <c r="H799" s="327"/>
      <c r="I799" s="47" t="s">
        <v>115</v>
      </c>
      <c r="J799" s="327"/>
      <c r="K799" s="327"/>
      <c r="L799" s="47" t="s">
        <v>162</v>
      </c>
      <c r="M799" s="47" t="s">
        <v>1406</v>
      </c>
    </row>
    <row r="800">
      <c r="A800" s="328">
        <v>44145.0</v>
      </c>
      <c r="B800" s="47" t="s">
        <v>43</v>
      </c>
      <c r="C800" s="47" t="s">
        <v>57</v>
      </c>
      <c r="D800" s="47" t="s">
        <v>21</v>
      </c>
      <c r="E800" s="47" t="s">
        <v>22</v>
      </c>
      <c r="F800" s="47" t="s">
        <v>16</v>
      </c>
      <c r="G800" s="47" t="s">
        <v>1004</v>
      </c>
      <c r="H800" s="47" t="s">
        <v>61</v>
      </c>
      <c r="I800" s="47" t="s">
        <v>70</v>
      </c>
      <c r="J800" s="47" t="s">
        <v>334</v>
      </c>
      <c r="K800" s="327"/>
      <c r="L800" s="47" t="s">
        <v>144</v>
      </c>
      <c r="M800" s="47" t="s">
        <v>1406</v>
      </c>
    </row>
    <row r="801">
      <c r="A801" s="328">
        <v>44113.0</v>
      </c>
      <c r="B801" s="47" t="s">
        <v>56</v>
      </c>
      <c r="C801" s="47" t="s">
        <v>49</v>
      </c>
      <c r="D801" s="47" t="s">
        <v>21</v>
      </c>
      <c r="E801" s="47" t="s">
        <v>22</v>
      </c>
      <c r="F801" s="47" t="s">
        <v>16</v>
      </c>
      <c r="G801" s="47" t="s">
        <v>1005</v>
      </c>
      <c r="H801" s="47" t="s">
        <v>61</v>
      </c>
      <c r="I801" s="47" t="s">
        <v>70</v>
      </c>
      <c r="J801" s="327"/>
      <c r="K801" s="327"/>
      <c r="L801" s="47" t="s">
        <v>144</v>
      </c>
      <c r="M801" s="47" t="s">
        <v>1406</v>
      </c>
    </row>
    <row r="802">
      <c r="A802" s="328">
        <v>44133.0</v>
      </c>
      <c r="B802" s="47" t="s">
        <v>56</v>
      </c>
      <c r="C802" s="47" t="s">
        <v>83</v>
      </c>
      <c r="D802" s="47" t="s">
        <v>95</v>
      </c>
      <c r="E802" s="47" t="s">
        <v>64</v>
      </c>
      <c r="F802" s="47" t="s">
        <v>16</v>
      </c>
      <c r="G802" s="47" t="s">
        <v>1409</v>
      </c>
      <c r="H802" s="327"/>
      <c r="I802" s="47" t="s">
        <v>66</v>
      </c>
      <c r="J802" s="327"/>
      <c r="K802" s="47" t="s">
        <v>1007</v>
      </c>
      <c r="L802" s="47" t="s">
        <v>68</v>
      </c>
      <c r="M802" s="47" t="s">
        <v>1406</v>
      </c>
    </row>
    <row r="803">
      <c r="A803" s="328">
        <v>44126.0</v>
      </c>
      <c r="B803" s="47" t="s">
        <v>56</v>
      </c>
      <c r="C803" s="47" t="s">
        <v>20</v>
      </c>
      <c r="D803" s="47" t="s">
        <v>21</v>
      </c>
      <c r="E803" s="47" t="s">
        <v>64</v>
      </c>
      <c r="F803" s="47" t="s">
        <v>16</v>
      </c>
      <c r="G803" s="47" t="s">
        <v>1008</v>
      </c>
      <c r="H803" s="47" t="s">
        <v>97</v>
      </c>
      <c r="I803" s="47" t="s">
        <v>67</v>
      </c>
      <c r="J803" s="327"/>
      <c r="K803" s="327"/>
      <c r="L803" s="47" t="s">
        <v>68</v>
      </c>
      <c r="M803" s="47" t="s">
        <v>1406</v>
      </c>
    </row>
    <row r="804">
      <c r="A804" s="328">
        <v>44133.0</v>
      </c>
      <c r="B804" s="47" t="s">
        <v>56</v>
      </c>
      <c r="C804" s="47" t="s">
        <v>76</v>
      </c>
      <c r="D804" s="47" t="s">
        <v>27</v>
      </c>
      <c r="E804" s="47" t="s">
        <v>22</v>
      </c>
      <c r="F804" s="47" t="s">
        <v>16</v>
      </c>
      <c r="G804" s="47" t="s">
        <v>1009</v>
      </c>
      <c r="H804" s="47" t="s">
        <v>97</v>
      </c>
      <c r="I804" s="47" t="s">
        <v>346</v>
      </c>
      <c r="J804" s="327"/>
      <c r="K804" s="47" t="s">
        <v>1010</v>
      </c>
      <c r="L804" s="47" t="s">
        <v>71</v>
      </c>
      <c r="M804" s="47" t="s">
        <v>1406</v>
      </c>
    </row>
    <row r="805">
      <c r="A805" s="328">
        <v>44101.0</v>
      </c>
      <c r="B805" s="47" t="s">
        <v>56</v>
      </c>
      <c r="C805" s="47" t="s">
        <v>20</v>
      </c>
      <c r="D805" s="47" t="s">
        <v>21</v>
      </c>
      <c r="E805" s="47" t="s">
        <v>22</v>
      </c>
      <c r="F805" s="47" t="s">
        <v>16</v>
      </c>
      <c r="G805" s="47" t="s">
        <v>1410</v>
      </c>
      <c r="H805" s="327"/>
      <c r="I805" s="47" t="s">
        <v>70</v>
      </c>
      <c r="J805" s="327"/>
      <c r="K805" s="327"/>
      <c r="L805" s="47" t="s">
        <v>63</v>
      </c>
      <c r="M805" s="47" t="s">
        <v>1406</v>
      </c>
    </row>
    <row r="806">
      <c r="A806" s="328">
        <v>44113.0</v>
      </c>
      <c r="B806" s="47" t="s">
        <v>56</v>
      </c>
      <c r="C806" s="47" t="s">
        <v>49</v>
      </c>
      <c r="D806" s="47" t="s">
        <v>21</v>
      </c>
      <c r="E806" s="47" t="s">
        <v>22</v>
      </c>
      <c r="F806" s="47" t="s">
        <v>16</v>
      </c>
      <c r="G806" s="47" t="s">
        <v>1012</v>
      </c>
      <c r="H806" s="327"/>
      <c r="I806" s="47" t="s">
        <v>70</v>
      </c>
      <c r="J806" s="327"/>
      <c r="K806" s="327"/>
      <c r="L806" s="47" t="s">
        <v>68</v>
      </c>
      <c r="M806" s="47" t="s">
        <v>1406</v>
      </c>
    </row>
    <row r="807">
      <c r="A807" s="328">
        <v>44101.0</v>
      </c>
      <c r="B807" s="47" t="s">
        <v>56</v>
      </c>
      <c r="C807" s="47" t="s">
        <v>20</v>
      </c>
      <c r="D807" s="47" t="s">
        <v>27</v>
      </c>
      <c r="E807" s="47" t="s">
        <v>64</v>
      </c>
      <c r="F807" s="47" t="s">
        <v>16</v>
      </c>
      <c r="G807" s="47" t="s">
        <v>1013</v>
      </c>
      <c r="H807" s="327"/>
      <c r="I807" s="47" t="s">
        <v>67</v>
      </c>
      <c r="J807" s="327"/>
      <c r="K807" s="327"/>
      <c r="L807" s="47" t="s">
        <v>71</v>
      </c>
      <c r="M807" s="47" t="s">
        <v>1406</v>
      </c>
    </row>
    <row r="808">
      <c r="A808" s="328">
        <v>44101.0</v>
      </c>
      <c r="B808" s="47" t="s">
        <v>56</v>
      </c>
      <c r="C808" s="47" t="s">
        <v>72</v>
      </c>
      <c r="D808" s="47" t="s">
        <v>58</v>
      </c>
      <c r="E808" s="47" t="s">
        <v>22</v>
      </c>
      <c r="F808" s="47" t="s">
        <v>16</v>
      </c>
      <c r="G808" s="47" t="s">
        <v>1014</v>
      </c>
      <c r="H808" s="327"/>
      <c r="I808" s="47" t="s">
        <v>74</v>
      </c>
      <c r="J808" s="47" t="s">
        <v>70</v>
      </c>
      <c r="K808" s="327"/>
      <c r="L808" s="47" t="s">
        <v>71</v>
      </c>
      <c r="M808" s="47" t="s">
        <v>1406</v>
      </c>
    </row>
    <row r="809">
      <c r="A809" s="328">
        <v>44114.0</v>
      </c>
      <c r="B809" s="47" t="s">
        <v>56</v>
      </c>
      <c r="C809" s="47" t="s">
        <v>83</v>
      </c>
      <c r="D809" s="47" t="s">
        <v>44</v>
      </c>
      <c r="E809" s="47" t="s">
        <v>64</v>
      </c>
      <c r="F809" s="47" t="s">
        <v>16</v>
      </c>
      <c r="G809" s="47" t="s">
        <v>1015</v>
      </c>
      <c r="H809" s="327"/>
      <c r="I809" s="47" t="s">
        <v>66</v>
      </c>
      <c r="J809" s="47" t="s">
        <v>127</v>
      </c>
      <c r="K809" s="327"/>
      <c r="L809" s="47" t="s">
        <v>63</v>
      </c>
      <c r="M809" s="47" t="s">
        <v>1406</v>
      </c>
    </row>
    <row r="810">
      <c r="A810" s="328">
        <v>44097.0</v>
      </c>
      <c r="B810" s="47" t="s">
        <v>56</v>
      </c>
      <c r="C810" s="47" t="s">
        <v>13</v>
      </c>
      <c r="D810" s="47" t="s">
        <v>44</v>
      </c>
      <c r="E810" s="47" t="s">
        <v>64</v>
      </c>
      <c r="F810" s="47" t="s">
        <v>16</v>
      </c>
      <c r="G810" s="47" t="s">
        <v>1016</v>
      </c>
      <c r="H810" s="47" t="s">
        <v>97</v>
      </c>
      <c r="I810" s="47" t="s">
        <v>79</v>
      </c>
      <c r="J810" s="47" t="s">
        <v>346</v>
      </c>
      <c r="K810" s="327"/>
      <c r="L810" s="47" t="s">
        <v>162</v>
      </c>
      <c r="M810" s="47" t="s">
        <v>1406</v>
      </c>
    </row>
    <row r="811">
      <c r="A811" s="328">
        <v>44101.0</v>
      </c>
      <c r="B811" s="47" t="s">
        <v>56</v>
      </c>
      <c r="C811" s="47" t="s">
        <v>49</v>
      </c>
      <c r="D811" s="47" t="s">
        <v>21</v>
      </c>
      <c r="E811" s="47" t="s">
        <v>22</v>
      </c>
      <c r="F811" s="47" t="s">
        <v>16</v>
      </c>
      <c r="G811" s="47" t="s">
        <v>1017</v>
      </c>
      <c r="H811" s="327"/>
      <c r="I811" s="47" t="s">
        <v>115</v>
      </c>
      <c r="J811" s="327"/>
      <c r="K811" s="327"/>
      <c r="L811" s="47" t="s">
        <v>71</v>
      </c>
      <c r="M811" s="47" t="s">
        <v>1406</v>
      </c>
    </row>
    <row r="812">
      <c r="A812" s="328">
        <v>44097.0</v>
      </c>
      <c r="B812" s="47" t="s">
        <v>56</v>
      </c>
      <c r="C812" s="47" t="s">
        <v>33</v>
      </c>
      <c r="D812" s="47" t="s">
        <v>27</v>
      </c>
      <c r="E812" s="47" t="s">
        <v>22</v>
      </c>
      <c r="F812" s="47" t="s">
        <v>16</v>
      </c>
      <c r="G812" s="47" t="s">
        <v>1018</v>
      </c>
      <c r="H812" s="327"/>
      <c r="I812" s="47" t="s">
        <v>463</v>
      </c>
      <c r="J812" s="327"/>
      <c r="K812" s="327"/>
      <c r="L812" s="47" t="s">
        <v>162</v>
      </c>
      <c r="M812" s="47" t="s">
        <v>1406</v>
      </c>
    </row>
    <row r="813">
      <c r="A813" s="328">
        <v>44097.0</v>
      </c>
      <c r="B813" s="47" t="s">
        <v>56</v>
      </c>
      <c r="C813" s="47" t="s">
        <v>33</v>
      </c>
      <c r="D813" s="47" t="s">
        <v>27</v>
      </c>
      <c r="E813" s="47" t="s">
        <v>64</v>
      </c>
      <c r="F813" s="47" t="s">
        <v>16</v>
      </c>
      <c r="G813" s="47" t="s">
        <v>1019</v>
      </c>
      <c r="H813" s="327"/>
      <c r="I813" s="47" t="s">
        <v>463</v>
      </c>
      <c r="J813" s="327"/>
      <c r="K813" s="327"/>
      <c r="L813" s="47" t="s">
        <v>71</v>
      </c>
      <c r="M813" s="47" t="s">
        <v>1406</v>
      </c>
    </row>
    <row r="814">
      <c r="A814" s="328">
        <v>44101.0</v>
      </c>
      <c r="B814" s="47" t="s">
        <v>56</v>
      </c>
      <c r="C814" s="47" t="s">
        <v>83</v>
      </c>
      <c r="D814" s="47" t="s">
        <v>44</v>
      </c>
      <c r="E814" s="47" t="s">
        <v>64</v>
      </c>
      <c r="F814" s="47" t="s">
        <v>16</v>
      </c>
      <c r="G814" s="47" t="s">
        <v>1020</v>
      </c>
      <c r="H814" s="47" t="s">
        <v>61</v>
      </c>
      <c r="I814" s="47" t="s">
        <v>66</v>
      </c>
      <c r="J814" s="327"/>
      <c r="K814" s="327"/>
      <c r="L814" s="47" t="s">
        <v>68</v>
      </c>
      <c r="M814" s="47" t="s">
        <v>1406</v>
      </c>
    </row>
    <row r="815">
      <c r="A815" s="328">
        <v>44097.0</v>
      </c>
      <c r="B815" s="47" t="s">
        <v>56</v>
      </c>
      <c r="C815" s="47" t="s">
        <v>13</v>
      </c>
      <c r="D815" s="47" t="s">
        <v>44</v>
      </c>
      <c r="E815" s="47" t="s">
        <v>64</v>
      </c>
      <c r="F815" s="47" t="s">
        <v>16</v>
      </c>
      <c r="G815" s="47" t="s">
        <v>1021</v>
      </c>
      <c r="H815" s="327"/>
      <c r="I815" s="47" t="s">
        <v>79</v>
      </c>
      <c r="J815" s="47" t="s">
        <v>66</v>
      </c>
      <c r="K815" s="327"/>
      <c r="L815" s="47" t="s">
        <v>71</v>
      </c>
      <c r="M815" s="47" t="s">
        <v>1406</v>
      </c>
    </row>
    <row r="816">
      <c r="A816" s="328">
        <v>44097.0</v>
      </c>
      <c r="B816" s="47" t="s">
        <v>56</v>
      </c>
      <c r="C816" s="47" t="s">
        <v>83</v>
      </c>
      <c r="D816" s="47" t="s">
        <v>44</v>
      </c>
      <c r="E816" s="47" t="s">
        <v>22</v>
      </c>
      <c r="F816" s="47" t="s">
        <v>16</v>
      </c>
      <c r="G816" s="47" t="s">
        <v>1022</v>
      </c>
      <c r="H816" s="327"/>
      <c r="I816" s="47" t="s">
        <v>66</v>
      </c>
      <c r="J816" s="327"/>
      <c r="K816" s="327"/>
      <c r="L816" s="47" t="s">
        <v>68</v>
      </c>
      <c r="M816" s="47" t="s">
        <v>1406</v>
      </c>
    </row>
    <row r="817">
      <c r="A817" s="328">
        <v>44063.0</v>
      </c>
      <c r="B817" s="47" t="s">
        <v>75</v>
      </c>
      <c r="C817" s="47" t="s">
        <v>76</v>
      </c>
      <c r="D817" s="47" t="s">
        <v>265</v>
      </c>
      <c r="E817" s="47" t="s">
        <v>64</v>
      </c>
      <c r="F817" s="47" t="s">
        <v>16</v>
      </c>
      <c r="G817" s="47" t="s">
        <v>1023</v>
      </c>
      <c r="H817" s="327"/>
      <c r="I817" s="47" t="s">
        <v>346</v>
      </c>
      <c r="J817" s="327"/>
      <c r="K817" s="327"/>
      <c r="L817" s="47" t="s">
        <v>71</v>
      </c>
      <c r="M817" s="47" t="s">
        <v>1406</v>
      </c>
    </row>
    <row r="818">
      <c r="A818" s="328">
        <v>43990.0</v>
      </c>
      <c r="B818" s="47" t="s">
        <v>385</v>
      </c>
      <c r="C818" s="47" t="s">
        <v>33</v>
      </c>
      <c r="D818" s="47" t="s">
        <v>265</v>
      </c>
      <c r="E818" s="47" t="s">
        <v>64</v>
      </c>
      <c r="F818" s="47" t="s">
        <v>16</v>
      </c>
      <c r="G818" s="47" t="s">
        <v>1024</v>
      </c>
      <c r="H818" s="47" t="s">
        <v>1025</v>
      </c>
      <c r="I818" s="47" t="s">
        <v>463</v>
      </c>
      <c r="J818" s="327"/>
      <c r="K818" s="327"/>
      <c r="L818" s="47" t="s">
        <v>71</v>
      </c>
      <c r="M818" s="47" t="s">
        <v>1406</v>
      </c>
    </row>
    <row r="819">
      <c r="A819" s="328">
        <v>44090.0</v>
      </c>
      <c r="B819" s="47" t="s">
        <v>56</v>
      </c>
      <c r="C819" s="47" t="s">
        <v>26</v>
      </c>
      <c r="D819" s="47" t="s">
        <v>77</v>
      </c>
      <c r="E819" s="47" t="s">
        <v>64</v>
      </c>
      <c r="F819" s="47" t="s">
        <v>16</v>
      </c>
      <c r="G819" s="47" t="s">
        <v>1026</v>
      </c>
      <c r="H819" s="327"/>
      <c r="I819" s="47" t="s">
        <v>66</v>
      </c>
      <c r="J819" s="327"/>
      <c r="K819" s="327"/>
      <c r="L819" s="47" t="s">
        <v>71</v>
      </c>
      <c r="M819" s="47" t="s">
        <v>1406</v>
      </c>
    </row>
    <row r="820">
      <c r="A820" s="328">
        <v>44084.0</v>
      </c>
      <c r="B820" s="47" t="s">
        <v>56</v>
      </c>
      <c r="C820" s="47" t="s">
        <v>26</v>
      </c>
      <c r="D820" s="47" t="s">
        <v>77</v>
      </c>
      <c r="E820" s="47" t="s">
        <v>64</v>
      </c>
      <c r="F820" s="47" t="s">
        <v>16</v>
      </c>
      <c r="G820" s="47" t="s">
        <v>1027</v>
      </c>
      <c r="H820" s="327"/>
      <c r="I820" s="47" t="s">
        <v>74</v>
      </c>
      <c r="J820" s="327"/>
      <c r="K820" s="327"/>
      <c r="L820" s="47" t="s">
        <v>71</v>
      </c>
      <c r="M820" s="47" t="s">
        <v>1406</v>
      </c>
    </row>
    <row r="821">
      <c r="A821" s="329"/>
      <c r="B821" s="327"/>
      <c r="C821" s="327"/>
      <c r="D821" s="327"/>
      <c r="E821" s="327"/>
      <c r="F821" s="327"/>
      <c r="G821" s="47" t="s">
        <v>102</v>
      </c>
      <c r="H821" s="327"/>
      <c r="I821" s="327"/>
      <c r="J821" s="327"/>
      <c r="K821" s="327"/>
      <c r="L821" s="327"/>
      <c r="M821" s="47" t="s">
        <v>1406</v>
      </c>
    </row>
    <row r="822">
      <c r="A822" s="328">
        <v>43482.0</v>
      </c>
      <c r="B822" s="47" t="s">
        <v>172</v>
      </c>
      <c r="C822" s="47" t="s">
        <v>20</v>
      </c>
      <c r="D822" s="47" t="s">
        <v>14</v>
      </c>
      <c r="E822" s="47" t="s">
        <v>22</v>
      </c>
      <c r="F822" s="47" t="s">
        <v>16</v>
      </c>
      <c r="G822" s="47" t="s">
        <v>1028</v>
      </c>
      <c r="H822" s="327"/>
      <c r="I822" s="47" t="s">
        <v>67</v>
      </c>
      <c r="J822" s="47" t="s">
        <v>717</v>
      </c>
      <c r="K822" s="327"/>
      <c r="L822" s="47" t="s">
        <v>68</v>
      </c>
      <c r="M822" s="47" t="s">
        <v>1411</v>
      </c>
    </row>
    <row r="823">
      <c r="A823" s="328">
        <v>43298.0</v>
      </c>
      <c r="B823" s="47" t="s">
        <v>43</v>
      </c>
      <c r="C823" s="47" t="s">
        <v>49</v>
      </c>
      <c r="D823" s="47" t="s">
        <v>44</v>
      </c>
      <c r="E823" s="47" t="s">
        <v>15</v>
      </c>
      <c r="F823" s="47" t="s">
        <v>16</v>
      </c>
      <c r="G823" s="47" t="s">
        <v>1029</v>
      </c>
      <c r="H823" s="47" t="s">
        <v>61</v>
      </c>
      <c r="I823" s="47" t="s">
        <v>67</v>
      </c>
      <c r="J823" s="47" t="s">
        <v>115</v>
      </c>
      <c r="K823" s="327"/>
      <c r="L823" s="47" t="s">
        <v>162</v>
      </c>
      <c r="M823" s="47" t="s">
        <v>1411</v>
      </c>
    </row>
    <row r="824">
      <c r="A824" s="328">
        <v>43286.0</v>
      </c>
      <c r="B824" s="47" t="s">
        <v>172</v>
      </c>
      <c r="C824" s="47" t="s">
        <v>49</v>
      </c>
      <c r="D824" s="47" t="s">
        <v>14</v>
      </c>
      <c r="E824" s="47" t="s">
        <v>15</v>
      </c>
      <c r="F824" s="47" t="s">
        <v>16</v>
      </c>
      <c r="G824" s="47" t="s">
        <v>1030</v>
      </c>
      <c r="H824" s="47" t="s">
        <v>61</v>
      </c>
      <c r="I824" s="47" t="s">
        <v>66</v>
      </c>
      <c r="J824" s="47" t="s">
        <v>115</v>
      </c>
      <c r="K824" s="327"/>
      <c r="L824" s="47" t="s">
        <v>162</v>
      </c>
      <c r="M824" s="47" t="s">
        <v>1411</v>
      </c>
    </row>
    <row r="825">
      <c r="A825" s="328">
        <v>43277.0</v>
      </c>
      <c r="B825" s="47" t="s">
        <v>172</v>
      </c>
      <c r="C825" s="47" t="s">
        <v>20</v>
      </c>
      <c r="D825" s="47" t="s">
        <v>14</v>
      </c>
      <c r="E825" s="47" t="s">
        <v>22</v>
      </c>
      <c r="F825" s="47" t="s">
        <v>64</v>
      </c>
      <c r="G825" s="47" t="s">
        <v>1031</v>
      </c>
      <c r="H825" s="327"/>
      <c r="I825" s="47" t="s">
        <v>70</v>
      </c>
      <c r="J825" s="327"/>
      <c r="K825" s="47" t="s">
        <v>1412</v>
      </c>
      <c r="L825" s="47" t="s">
        <v>68</v>
      </c>
      <c r="M825" s="47" t="s">
        <v>1411</v>
      </c>
    </row>
    <row r="826">
      <c r="A826" s="328">
        <v>43217.0</v>
      </c>
      <c r="B826" s="47" t="s">
        <v>12</v>
      </c>
      <c r="C826" s="47" t="s">
        <v>49</v>
      </c>
      <c r="D826" s="47" t="s">
        <v>27</v>
      </c>
      <c r="E826" s="47" t="s">
        <v>22</v>
      </c>
      <c r="F826" s="47" t="s">
        <v>16</v>
      </c>
      <c r="G826" s="47" t="s">
        <v>1032</v>
      </c>
      <c r="H826" s="327"/>
      <c r="I826" s="327"/>
      <c r="J826" s="327"/>
      <c r="K826" s="327"/>
      <c r="L826" s="47" t="s">
        <v>71</v>
      </c>
      <c r="M826" s="47" t="s">
        <v>1411</v>
      </c>
    </row>
    <row r="827">
      <c r="A827" s="328">
        <v>43217.0</v>
      </c>
      <c r="B827" s="47" t="s">
        <v>12</v>
      </c>
      <c r="C827" s="47" t="s">
        <v>723</v>
      </c>
      <c r="D827" s="47" t="s">
        <v>27</v>
      </c>
      <c r="E827" s="47" t="s">
        <v>22</v>
      </c>
      <c r="F827" s="47" t="s">
        <v>16</v>
      </c>
      <c r="G827" s="47" t="s">
        <v>1033</v>
      </c>
      <c r="H827" s="327"/>
      <c r="I827" s="47" t="s">
        <v>346</v>
      </c>
      <c r="J827" s="327"/>
      <c r="K827" s="327"/>
      <c r="L827" s="47" t="s">
        <v>71</v>
      </c>
      <c r="M827" s="47" t="s">
        <v>1411</v>
      </c>
    </row>
    <row r="828">
      <c r="A828" s="328">
        <v>43204.0</v>
      </c>
      <c r="B828" s="47" t="s">
        <v>25</v>
      </c>
      <c r="C828" s="47" t="s">
        <v>49</v>
      </c>
      <c r="D828" s="47" t="s">
        <v>58</v>
      </c>
      <c r="E828" s="47" t="s">
        <v>15</v>
      </c>
      <c r="F828" s="47" t="s">
        <v>16</v>
      </c>
      <c r="G828" s="47" t="s">
        <v>1413</v>
      </c>
      <c r="H828" s="47" t="s">
        <v>61</v>
      </c>
      <c r="I828" s="47" t="s">
        <v>115</v>
      </c>
      <c r="J828" s="327"/>
      <c r="K828" s="47" t="s">
        <v>1414</v>
      </c>
      <c r="L828" s="47" t="s">
        <v>71</v>
      </c>
      <c r="M828" s="47" t="s">
        <v>1411</v>
      </c>
    </row>
    <row r="829">
      <c r="A829" s="328">
        <v>43188.0</v>
      </c>
      <c r="B829" s="47" t="s">
        <v>19</v>
      </c>
      <c r="C829" s="47" t="s">
        <v>49</v>
      </c>
      <c r="D829" s="47" t="s">
        <v>58</v>
      </c>
      <c r="E829" s="47" t="s">
        <v>22</v>
      </c>
      <c r="F829" s="47" t="s">
        <v>16</v>
      </c>
      <c r="G829" s="47" t="s">
        <v>1415</v>
      </c>
      <c r="H829" s="47" t="s">
        <v>61</v>
      </c>
      <c r="I829" s="47" t="s">
        <v>115</v>
      </c>
      <c r="J829" s="327"/>
      <c r="K829" s="47" t="s">
        <v>1412</v>
      </c>
      <c r="L829" s="47" t="s">
        <v>71</v>
      </c>
      <c r="M829" s="47" t="s">
        <v>1411</v>
      </c>
    </row>
    <row r="830">
      <c r="A830" s="328">
        <v>43187.0</v>
      </c>
      <c r="B830" s="47" t="s">
        <v>19</v>
      </c>
      <c r="C830" s="47" t="s">
        <v>76</v>
      </c>
      <c r="D830" s="47" t="s">
        <v>14</v>
      </c>
      <c r="E830" s="47" t="s">
        <v>46</v>
      </c>
      <c r="F830" s="47" t="s">
        <v>16</v>
      </c>
      <c r="G830" s="47" t="s">
        <v>1036</v>
      </c>
      <c r="H830" s="47" t="s">
        <v>97</v>
      </c>
      <c r="I830" s="47" t="s">
        <v>127</v>
      </c>
      <c r="J830" s="327"/>
      <c r="K830" s="327"/>
      <c r="L830" s="47" t="s">
        <v>162</v>
      </c>
      <c r="M830" s="47" t="s">
        <v>1411</v>
      </c>
    </row>
    <row r="831">
      <c r="A831" s="328">
        <v>43167.0</v>
      </c>
      <c r="B831" s="47" t="s">
        <v>19</v>
      </c>
      <c r="C831" s="47" t="s">
        <v>723</v>
      </c>
      <c r="D831" s="47" t="s">
        <v>77</v>
      </c>
      <c r="E831" s="47" t="s">
        <v>22</v>
      </c>
      <c r="F831" s="47" t="s">
        <v>16</v>
      </c>
      <c r="G831" s="47" t="s">
        <v>1037</v>
      </c>
      <c r="H831" s="327"/>
      <c r="I831" s="47" t="s">
        <v>346</v>
      </c>
      <c r="J831" s="327"/>
      <c r="K831" s="327"/>
      <c r="L831" s="47" t="s">
        <v>71</v>
      </c>
      <c r="M831" s="47" t="s">
        <v>1411</v>
      </c>
    </row>
    <row r="832">
      <c r="A832" s="328">
        <v>43174.0</v>
      </c>
      <c r="B832" s="47" t="s">
        <v>19</v>
      </c>
      <c r="C832" s="47" t="s">
        <v>72</v>
      </c>
      <c r="D832" s="47" t="s">
        <v>14</v>
      </c>
      <c r="E832" s="47" t="s">
        <v>22</v>
      </c>
      <c r="F832" s="47" t="s">
        <v>16</v>
      </c>
      <c r="G832" s="47" t="s">
        <v>1038</v>
      </c>
      <c r="H832" s="327"/>
      <c r="I832" s="47" t="s">
        <v>1039</v>
      </c>
      <c r="J832" s="327"/>
      <c r="K832" s="327"/>
      <c r="L832" s="47" t="s">
        <v>71</v>
      </c>
      <c r="M832" s="47" t="s">
        <v>1411</v>
      </c>
    </row>
    <row r="833">
      <c r="A833" s="328">
        <v>43174.0</v>
      </c>
      <c r="B833" s="47" t="s">
        <v>19</v>
      </c>
      <c r="C833" s="47" t="s">
        <v>26</v>
      </c>
      <c r="D833" s="47" t="s">
        <v>14</v>
      </c>
      <c r="E833" s="47" t="s">
        <v>22</v>
      </c>
      <c r="F833" s="47" t="s">
        <v>16</v>
      </c>
      <c r="G833" s="47" t="s">
        <v>1040</v>
      </c>
      <c r="H833" s="327"/>
      <c r="I833" s="47" t="s">
        <v>127</v>
      </c>
      <c r="J833" s="327"/>
      <c r="K833" s="327"/>
      <c r="L833" s="47" t="s">
        <v>68</v>
      </c>
      <c r="M833" s="47" t="s">
        <v>1411</v>
      </c>
    </row>
    <row r="834">
      <c r="A834" s="328">
        <v>43171.0</v>
      </c>
      <c r="B834" s="47" t="s">
        <v>19</v>
      </c>
      <c r="C834" s="47" t="s">
        <v>57</v>
      </c>
      <c r="D834" s="47" t="s">
        <v>58</v>
      </c>
      <c r="E834" s="47" t="s">
        <v>22</v>
      </c>
      <c r="F834" s="47" t="s">
        <v>16</v>
      </c>
      <c r="G834" s="47" t="s">
        <v>1041</v>
      </c>
      <c r="H834" s="327"/>
      <c r="I834" s="47" t="s">
        <v>1042</v>
      </c>
      <c r="J834" s="327"/>
      <c r="K834" s="327"/>
      <c r="L834" s="47" t="s">
        <v>71</v>
      </c>
      <c r="M834" s="47" t="s">
        <v>1411</v>
      </c>
    </row>
    <row r="835">
      <c r="A835" s="328">
        <v>43168.0</v>
      </c>
      <c r="B835" s="47" t="s">
        <v>19</v>
      </c>
      <c r="C835" s="47" t="s">
        <v>57</v>
      </c>
      <c r="D835" s="47" t="s">
        <v>58</v>
      </c>
      <c r="E835" s="47" t="s">
        <v>22</v>
      </c>
      <c r="F835" s="47" t="s">
        <v>16</v>
      </c>
      <c r="G835" s="47" t="s">
        <v>1043</v>
      </c>
      <c r="H835" s="327"/>
      <c r="I835" s="47" t="s">
        <v>1042</v>
      </c>
      <c r="J835" s="327"/>
      <c r="K835" s="327"/>
      <c r="L835" s="47" t="s">
        <v>144</v>
      </c>
      <c r="M835" s="47" t="s">
        <v>1411</v>
      </c>
    </row>
    <row r="836">
      <c r="A836" s="328">
        <v>43157.0</v>
      </c>
      <c r="B836" s="47" t="s">
        <v>19</v>
      </c>
      <c r="C836" s="47" t="s">
        <v>723</v>
      </c>
      <c r="D836" s="47" t="s">
        <v>14</v>
      </c>
      <c r="E836" s="47" t="s">
        <v>22</v>
      </c>
      <c r="F836" s="47" t="s">
        <v>16</v>
      </c>
      <c r="G836" s="47" t="s">
        <v>1044</v>
      </c>
      <c r="H836" s="47" t="s">
        <v>97</v>
      </c>
      <c r="I836" s="47" t="s">
        <v>346</v>
      </c>
      <c r="J836" s="47" t="s">
        <v>1045</v>
      </c>
      <c r="K836" s="47" t="s">
        <v>97</v>
      </c>
      <c r="L836" s="47" t="s">
        <v>71</v>
      </c>
      <c r="M836" s="47" t="s">
        <v>1411</v>
      </c>
    </row>
    <row r="837">
      <c r="A837" s="328">
        <v>43157.0</v>
      </c>
      <c r="B837" s="47" t="s">
        <v>19</v>
      </c>
      <c r="C837" s="47" t="s">
        <v>723</v>
      </c>
      <c r="D837" s="47" t="s">
        <v>27</v>
      </c>
      <c r="E837" s="47" t="s">
        <v>22</v>
      </c>
      <c r="F837" s="47" t="s">
        <v>16</v>
      </c>
      <c r="G837" s="47" t="s">
        <v>1046</v>
      </c>
      <c r="H837" s="47" t="s">
        <v>97</v>
      </c>
      <c r="I837" s="47" t="s">
        <v>346</v>
      </c>
      <c r="J837" s="47" t="s">
        <v>127</v>
      </c>
      <c r="K837" s="47" t="s">
        <v>97</v>
      </c>
      <c r="L837" s="47" t="s">
        <v>71</v>
      </c>
      <c r="M837" s="47" t="s">
        <v>1411</v>
      </c>
    </row>
    <row r="838">
      <c r="A838" s="328">
        <v>43143.0</v>
      </c>
      <c r="B838" s="47" t="s">
        <v>19</v>
      </c>
      <c r="C838" s="47" t="s">
        <v>72</v>
      </c>
      <c r="D838" s="47" t="s">
        <v>27</v>
      </c>
      <c r="E838" s="47" t="s">
        <v>15</v>
      </c>
      <c r="F838" s="47" t="s">
        <v>16</v>
      </c>
      <c r="G838" s="47" t="s">
        <v>1047</v>
      </c>
      <c r="H838" s="47" t="s">
        <v>97</v>
      </c>
      <c r="I838" s="47" t="s">
        <v>1039</v>
      </c>
      <c r="J838" s="47" t="s">
        <v>346</v>
      </c>
      <c r="K838" s="47" t="s">
        <v>97</v>
      </c>
      <c r="L838" s="47" t="s">
        <v>71</v>
      </c>
      <c r="M838" s="47" t="s">
        <v>1411</v>
      </c>
    </row>
    <row r="839">
      <c r="A839" s="328">
        <v>43143.0</v>
      </c>
      <c r="B839" s="47" t="s">
        <v>19</v>
      </c>
      <c r="C839" s="47" t="s">
        <v>49</v>
      </c>
      <c r="D839" s="47" t="s">
        <v>58</v>
      </c>
      <c r="E839" s="47" t="s">
        <v>22</v>
      </c>
      <c r="F839" s="47" t="s">
        <v>16</v>
      </c>
      <c r="G839" s="47" t="s">
        <v>1048</v>
      </c>
      <c r="H839" s="327"/>
      <c r="I839" s="47" t="s">
        <v>66</v>
      </c>
      <c r="J839" s="327"/>
      <c r="K839" s="327"/>
      <c r="L839" s="47" t="s">
        <v>162</v>
      </c>
      <c r="M839" s="47" t="s">
        <v>1411</v>
      </c>
    </row>
    <row r="840">
      <c r="A840" s="328">
        <v>43143.0</v>
      </c>
      <c r="B840" s="47" t="s">
        <v>19</v>
      </c>
      <c r="C840" s="47" t="s">
        <v>57</v>
      </c>
      <c r="D840" s="47" t="s">
        <v>58</v>
      </c>
      <c r="E840" s="47" t="s">
        <v>22</v>
      </c>
      <c r="F840" s="47" t="s">
        <v>16</v>
      </c>
      <c r="G840" s="47" t="s">
        <v>1049</v>
      </c>
      <c r="H840" s="327"/>
      <c r="I840" s="47" t="s">
        <v>1042</v>
      </c>
      <c r="J840" s="327"/>
      <c r="K840" s="327"/>
      <c r="L840" s="47" t="s">
        <v>144</v>
      </c>
      <c r="M840" s="47" t="s">
        <v>1411</v>
      </c>
    </row>
    <row r="841">
      <c r="A841" s="328">
        <v>43140.0</v>
      </c>
      <c r="B841" s="47" t="s">
        <v>19</v>
      </c>
      <c r="C841" s="47" t="s">
        <v>13</v>
      </c>
      <c r="D841" s="47" t="s">
        <v>27</v>
      </c>
      <c r="E841" s="47" t="s">
        <v>15</v>
      </c>
      <c r="F841" s="47" t="s">
        <v>16</v>
      </c>
      <c r="G841" s="47" t="s">
        <v>1050</v>
      </c>
      <c r="H841" s="327"/>
      <c r="I841" s="47" t="s">
        <v>79</v>
      </c>
      <c r="J841" s="47" t="s">
        <v>127</v>
      </c>
      <c r="K841" s="327"/>
      <c r="L841" s="47" t="s">
        <v>162</v>
      </c>
      <c r="M841" s="47" t="s">
        <v>1411</v>
      </c>
    </row>
    <row r="842">
      <c r="A842" s="328">
        <v>43143.0</v>
      </c>
      <c r="B842" s="47" t="s">
        <v>19</v>
      </c>
      <c r="C842" s="47" t="s">
        <v>26</v>
      </c>
      <c r="D842" s="47" t="s">
        <v>14</v>
      </c>
      <c r="E842" s="47" t="s">
        <v>22</v>
      </c>
      <c r="F842" s="47" t="s">
        <v>16</v>
      </c>
      <c r="G842" s="47" t="s">
        <v>1051</v>
      </c>
      <c r="H842" s="327"/>
      <c r="I842" s="47" t="s">
        <v>127</v>
      </c>
      <c r="J842" s="327"/>
      <c r="K842" s="327"/>
      <c r="L842" s="47" t="s">
        <v>68</v>
      </c>
      <c r="M842" s="47" t="s">
        <v>1411</v>
      </c>
    </row>
    <row r="843">
      <c r="A843" s="328">
        <v>43142.0</v>
      </c>
      <c r="B843" s="47" t="s">
        <v>19</v>
      </c>
      <c r="C843" s="47" t="s">
        <v>49</v>
      </c>
      <c r="D843" s="47" t="s">
        <v>44</v>
      </c>
      <c r="E843" s="47" t="s">
        <v>22</v>
      </c>
      <c r="F843" s="47" t="s">
        <v>16</v>
      </c>
      <c r="G843" s="47" t="s">
        <v>1052</v>
      </c>
      <c r="H843" s="47" t="s">
        <v>61</v>
      </c>
      <c r="I843" s="47" t="s">
        <v>115</v>
      </c>
      <c r="J843" s="327"/>
      <c r="K843" s="327"/>
      <c r="L843" s="47" t="s">
        <v>162</v>
      </c>
      <c r="M843" s="47" t="s">
        <v>1411</v>
      </c>
    </row>
    <row r="844">
      <c r="A844" s="328">
        <v>43142.0</v>
      </c>
      <c r="B844" s="47" t="s">
        <v>19</v>
      </c>
      <c r="C844" s="47" t="s">
        <v>723</v>
      </c>
      <c r="D844" s="47" t="s">
        <v>27</v>
      </c>
      <c r="E844" s="47" t="s">
        <v>22</v>
      </c>
      <c r="F844" s="47" t="s">
        <v>16</v>
      </c>
      <c r="G844" s="47" t="s">
        <v>1053</v>
      </c>
      <c r="H844" s="47" t="s">
        <v>97</v>
      </c>
      <c r="I844" s="47" t="s">
        <v>346</v>
      </c>
      <c r="J844" s="47" t="s">
        <v>127</v>
      </c>
      <c r="K844" s="47" t="s">
        <v>97</v>
      </c>
      <c r="L844" s="47" t="s">
        <v>71</v>
      </c>
      <c r="M844" s="47" t="s">
        <v>1411</v>
      </c>
    </row>
    <row r="845">
      <c r="A845" s="328">
        <v>43108.0</v>
      </c>
      <c r="B845" s="47" t="s">
        <v>43</v>
      </c>
      <c r="C845" s="47" t="s">
        <v>49</v>
      </c>
      <c r="D845" s="47" t="s">
        <v>44</v>
      </c>
      <c r="E845" s="47" t="s">
        <v>15</v>
      </c>
      <c r="F845" s="47" t="s">
        <v>16</v>
      </c>
      <c r="G845" s="47" t="s">
        <v>1054</v>
      </c>
      <c r="H845" s="47" t="s">
        <v>61</v>
      </c>
      <c r="I845" s="47" t="s">
        <v>115</v>
      </c>
      <c r="J845" s="47" t="s">
        <v>1055</v>
      </c>
      <c r="K845" s="47" t="s">
        <v>61</v>
      </c>
      <c r="L845" s="47" t="s">
        <v>162</v>
      </c>
      <c r="M845" s="47" t="s">
        <v>1411</v>
      </c>
    </row>
    <row r="846">
      <c r="A846" s="328">
        <v>43118.0</v>
      </c>
      <c r="B846" s="47" t="s">
        <v>43</v>
      </c>
      <c r="C846" s="47" t="s">
        <v>723</v>
      </c>
      <c r="D846" s="47" t="s">
        <v>77</v>
      </c>
      <c r="E846" s="47" t="s">
        <v>22</v>
      </c>
      <c r="F846" s="47" t="s">
        <v>16</v>
      </c>
      <c r="G846" s="47" t="s">
        <v>1056</v>
      </c>
      <c r="H846" s="47" t="s">
        <v>97</v>
      </c>
      <c r="I846" s="47" t="s">
        <v>346</v>
      </c>
      <c r="J846" s="327"/>
      <c r="K846" s="47" t="s">
        <v>97</v>
      </c>
      <c r="L846" s="47" t="s">
        <v>63</v>
      </c>
      <c r="M846" s="47" t="s">
        <v>1411</v>
      </c>
    </row>
    <row r="847">
      <c r="A847" s="328">
        <v>43134.0</v>
      </c>
      <c r="B847" s="47" t="s">
        <v>43</v>
      </c>
      <c r="C847" s="47" t="s">
        <v>26</v>
      </c>
      <c r="D847" s="47" t="s">
        <v>27</v>
      </c>
      <c r="E847" s="47" t="s">
        <v>22</v>
      </c>
      <c r="F847" s="47" t="s">
        <v>16</v>
      </c>
      <c r="G847" s="47" t="s">
        <v>1057</v>
      </c>
      <c r="H847" s="47" t="s">
        <v>97</v>
      </c>
      <c r="I847" s="47" t="s">
        <v>66</v>
      </c>
      <c r="J847" s="327"/>
      <c r="K847" s="47" t="s">
        <v>97</v>
      </c>
      <c r="L847" s="47" t="s">
        <v>71</v>
      </c>
      <c r="M847" s="47" t="s">
        <v>1411</v>
      </c>
    </row>
    <row r="848">
      <c r="A848" s="328">
        <v>43115.0</v>
      </c>
      <c r="B848" s="47" t="s">
        <v>43</v>
      </c>
      <c r="C848" s="47" t="s">
        <v>72</v>
      </c>
      <c r="D848" s="47" t="s">
        <v>27</v>
      </c>
      <c r="E848" s="47" t="s">
        <v>22</v>
      </c>
      <c r="F848" s="47" t="s">
        <v>16</v>
      </c>
      <c r="G848" s="47" t="s">
        <v>1058</v>
      </c>
      <c r="H848" s="47" t="s">
        <v>97</v>
      </c>
      <c r="I848" s="47" t="s">
        <v>1039</v>
      </c>
      <c r="J848" s="327"/>
      <c r="K848" s="47" t="s">
        <v>97</v>
      </c>
      <c r="L848" s="47" t="s">
        <v>71</v>
      </c>
      <c r="M848" s="47" t="s">
        <v>1411</v>
      </c>
    </row>
    <row r="849">
      <c r="A849" s="328">
        <v>43104.0</v>
      </c>
      <c r="B849" s="47" t="s">
        <v>43</v>
      </c>
      <c r="C849" s="47" t="s">
        <v>33</v>
      </c>
      <c r="D849" s="47" t="s">
        <v>58</v>
      </c>
      <c r="E849" s="47" t="s">
        <v>22</v>
      </c>
      <c r="F849" s="47" t="s">
        <v>16</v>
      </c>
      <c r="G849" s="47" t="s">
        <v>1416</v>
      </c>
      <c r="H849" s="47" t="s">
        <v>97</v>
      </c>
      <c r="I849" s="47" t="s">
        <v>463</v>
      </c>
      <c r="J849" s="327"/>
      <c r="K849" s="47" t="s">
        <v>97</v>
      </c>
      <c r="L849" s="47" t="s">
        <v>71</v>
      </c>
      <c r="M849" s="47" t="s">
        <v>1411</v>
      </c>
    </row>
    <row r="850">
      <c r="A850" s="328">
        <v>43087.0</v>
      </c>
      <c r="B850" s="47" t="s">
        <v>43</v>
      </c>
      <c r="C850" s="47" t="s">
        <v>36</v>
      </c>
      <c r="D850" s="47" t="s">
        <v>27</v>
      </c>
      <c r="E850" s="47" t="s">
        <v>22</v>
      </c>
      <c r="F850" s="47" t="s">
        <v>16</v>
      </c>
      <c r="G850" s="47" t="s">
        <v>1060</v>
      </c>
      <c r="H850" s="47" t="s">
        <v>97</v>
      </c>
      <c r="I850" s="47" t="s">
        <v>463</v>
      </c>
      <c r="J850" s="327"/>
      <c r="K850" s="47" t="s">
        <v>97</v>
      </c>
      <c r="L850" s="47" t="s">
        <v>68</v>
      </c>
      <c r="M850" s="47" t="s">
        <v>1411</v>
      </c>
    </row>
    <row r="851">
      <c r="A851" s="328">
        <v>43094.0</v>
      </c>
      <c r="B851" s="47" t="s">
        <v>43</v>
      </c>
      <c r="C851" s="47" t="s">
        <v>57</v>
      </c>
      <c r="D851" s="47" t="s">
        <v>58</v>
      </c>
      <c r="E851" s="47" t="s">
        <v>22</v>
      </c>
      <c r="F851" s="47" t="s">
        <v>16</v>
      </c>
      <c r="G851" s="47" t="s">
        <v>1417</v>
      </c>
      <c r="H851" s="47" t="s">
        <v>61</v>
      </c>
      <c r="I851" s="47" t="s">
        <v>1042</v>
      </c>
      <c r="J851" s="327"/>
      <c r="K851" s="47" t="s">
        <v>61</v>
      </c>
      <c r="L851" s="47" t="s">
        <v>144</v>
      </c>
      <c r="M851" s="47" t="s">
        <v>1411</v>
      </c>
    </row>
    <row r="852">
      <c r="A852" s="328">
        <v>43108.0</v>
      </c>
      <c r="B852" s="47" t="s">
        <v>43</v>
      </c>
      <c r="C852" s="47" t="s">
        <v>36</v>
      </c>
      <c r="D852" s="47" t="s">
        <v>58</v>
      </c>
      <c r="E852" s="47" t="s">
        <v>22</v>
      </c>
      <c r="F852" s="47" t="s">
        <v>16</v>
      </c>
      <c r="G852" s="47" t="s">
        <v>1064</v>
      </c>
      <c r="H852" s="47" t="s">
        <v>97</v>
      </c>
      <c r="I852" s="47" t="s">
        <v>70</v>
      </c>
      <c r="J852" s="327"/>
      <c r="K852" s="47" t="s">
        <v>97</v>
      </c>
      <c r="L852" s="47" t="s">
        <v>71</v>
      </c>
      <c r="M852" s="47" t="s">
        <v>1411</v>
      </c>
    </row>
    <row r="853">
      <c r="A853" s="328">
        <v>43129.0</v>
      </c>
      <c r="B853" s="47" t="s">
        <v>19</v>
      </c>
      <c r="C853" s="47" t="s">
        <v>723</v>
      </c>
      <c r="D853" s="47" t="s">
        <v>27</v>
      </c>
      <c r="E853" s="47" t="s">
        <v>15</v>
      </c>
      <c r="F853" s="47" t="s">
        <v>16</v>
      </c>
      <c r="G853" s="47" t="s">
        <v>1065</v>
      </c>
      <c r="H853" s="47" t="s">
        <v>97</v>
      </c>
      <c r="I853" s="47" t="s">
        <v>127</v>
      </c>
      <c r="J853" s="47" t="s">
        <v>67</v>
      </c>
      <c r="K853" s="47" t="s">
        <v>97</v>
      </c>
      <c r="L853" s="47" t="s">
        <v>162</v>
      </c>
      <c r="M853" s="47" t="s">
        <v>1411</v>
      </c>
    </row>
    <row r="854">
      <c r="A854" s="328">
        <v>43117.0</v>
      </c>
      <c r="B854" s="47" t="s">
        <v>43</v>
      </c>
      <c r="C854" s="47" t="s">
        <v>57</v>
      </c>
      <c r="D854" s="47" t="s">
        <v>89</v>
      </c>
      <c r="E854" s="47" t="s">
        <v>15</v>
      </c>
      <c r="F854" s="47" t="s">
        <v>16</v>
      </c>
      <c r="G854" s="47" t="s">
        <v>1066</v>
      </c>
      <c r="H854" s="327"/>
      <c r="I854" s="47" t="s">
        <v>1042</v>
      </c>
      <c r="J854" s="47" t="s">
        <v>1055</v>
      </c>
      <c r="K854" s="327"/>
      <c r="L854" s="47" t="s">
        <v>144</v>
      </c>
      <c r="M854" s="47" t="s">
        <v>1411</v>
      </c>
    </row>
    <row r="855">
      <c r="A855" s="328">
        <v>43094.0</v>
      </c>
      <c r="B855" s="47" t="s">
        <v>43</v>
      </c>
      <c r="C855" s="47" t="s">
        <v>30</v>
      </c>
      <c r="D855" s="47" t="s">
        <v>58</v>
      </c>
      <c r="E855" s="47" t="s">
        <v>22</v>
      </c>
      <c r="F855" s="47" t="s">
        <v>16</v>
      </c>
      <c r="G855" s="47" t="s">
        <v>1067</v>
      </c>
      <c r="H855" s="47" t="s">
        <v>97</v>
      </c>
      <c r="I855" s="47" t="s">
        <v>127</v>
      </c>
      <c r="J855" s="327"/>
      <c r="K855" s="47" t="s">
        <v>97</v>
      </c>
      <c r="L855" s="47" t="s">
        <v>63</v>
      </c>
      <c r="M855" s="47" t="s">
        <v>1411</v>
      </c>
    </row>
    <row r="856">
      <c r="A856" s="328">
        <v>43116.0</v>
      </c>
      <c r="B856" s="47" t="s">
        <v>43</v>
      </c>
      <c r="C856" s="47" t="s">
        <v>57</v>
      </c>
      <c r="D856" s="47" t="s">
        <v>58</v>
      </c>
      <c r="E856" s="47" t="s">
        <v>22</v>
      </c>
      <c r="F856" s="47" t="s">
        <v>16</v>
      </c>
      <c r="G856" s="47" t="s">
        <v>1068</v>
      </c>
      <c r="H856" s="47" t="s">
        <v>97</v>
      </c>
      <c r="I856" s="47" t="s">
        <v>1042</v>
      </c>
      <c r="J856" s="47" t="s">
        <v>346</v>
      </c>
      <c r="K856" s="47" t="s">
        <v>97</v>
      </c>
      <c r="L856" s="47" t="s">
        <v>167</v>
      </c>
      <c r="M856" s="47" t="s">
        <v>1411</v>
      </c>
    </row>
    <row r="857">
      <c r="A857" s="328">
        <v>43108.0</v>
      </c>
      <c r="B857" s="47" t="s">
        <v>43</v>
      </c>
      <c r="C857" s="47" t="s">
        <v>723</v>
      </c>
      <c r="D857" s="47" t="s">
        <v>27</v>
      </c>
      <c r="E857" s="47" t="s">
        <v>22</v>
      </c>
      <c r="F857" s="47" t="s">
        <v>16</v>
      </c>
      <c r="G857" s="47" t="s">
        <v>1069</v>
      </c>
      <c r="H857" s="47" t="s">
        <v>97</v>
      </c>
      <c r="I857" s="47" t="s">
        <v>346</v>
      </c>
      <c r="J857" s="327"/>
      <c r="K857" s="47" t="s">
        <v>97</v>
      </c>
      <c r="L857" s="47" t="s">
        <v>71</v>
      </c>
      <c r="M857" s="47" t="s">
        <v>1411</v>
      </c>
    </row>
    <row r="858">
      <c r="A858" s="328">
        <v>43108.0</v>
      </c>
      <c r="B858" s="47" t="s">
        <v>43</v>
      </c>
      <c r="C858" s="47" t="s">
        <v>723</v>
      </c>
      <c r="D858" s="47" t="s">
        <v>27</v>
      </c>
      <c r="E858" s="47" t="s">
        <v>22</v>
      </c>
      <c r="F858" s="47" t="s">
        <v>16</v>
      </c>
      <c r="G858" s="47" t="s">
        <v>1070</v>
      </c>
      <c r="H858" s="47" t="s">
        <v>97</v>
      </c>
      <c r="I858" s="47" t="s">
        <v>70</v>
      </c>
      <c r="J858" s="327"/>
      <c r="K858" s="47" t="s">
        <v>97</v>
      </c>
      <c r="L858" s="47" t="s">
        <v>144</v>
      </c>
      <c r="M858" s="47" t="s">
        <v>1411</v>
      </c>
    </row>
    <row r="859">
      <c r="A859" s="328">
        <v>43108.0</v>
      </c>
      <c r="B859" s="47" t="s">
        <v>43</v>
      </c>
      <c r="C859" s="47" t="s">
        <v>20</v>
      </c>
      <c r="D859" s="47" t="s">
        <v>44</v>
      </c>
      <c r="E859" s="47" t="s">
        <v>22</v>
      </c>
      <c r="F859" s="47" t="s">
        <v>16</v>
      </c>
      <c r="G859" s="47" t="s">
        <v>1071</v>
      </c>
      <c r="H859" s="47" t="s">
        <v>97</v>
      </c>
      <c r="I859" s="47" t="s">
        <v>67</v>
      </c>
      <c r="J859" s="327"/>
      <c r="K859" s="47" t="s">
        <v>97</v>
      </c>
      <c r="L859" s="47" t="s">
        <v>63</v>
      </c>
      <c r="M859" s="47" t="s">
        <v>1411</v>
      </c>
    </row>
    <row r="860">
      <c r="A860" s="328">
        <v>43094.0</v>
      </c>
      <c r="B860" s="47" t="s">
        <v>43</v>
      </c>
      <c r="C860" s="47" t="s">
        <v>26</v>
      </c>
      <c r="D860" s="47" t="s">
        <v>27</v>
      </c>
      <c r="E860" s="47" t="s">
        <v>15</v>
      </c>
      <c r="F860" s="47" t="s">
        <v>16</v>
      </c>
      <c r="G860" s="47" t="s">
        <v>1072</v>
      </c>
      <c r="H860" s="47" t="s">
        <v>97</v>
      </c>
      <c r="I860" s="47" t="s">
        <v>66</v>
      </c>
      <c r="J860" s="327"/>
      <c r="K860" s="47" t="s">
        <v>97</v>
      </c>
      <c r="L860" s="47" t="s">
        <v>71</v>
      </c>
      <c r="M860" s="47" t="s">
        <v>1411</v>
      </c>
    </row>
    <row r="861">
      <c r="A861" s="328">
        <v>43054.0</v>
      </c>
      <c r="B861" s="47" t="s">
        <v>56</v>
      </c>
      <c r="C861" s="47" t="s">
        <v>49</v>
      </c>
      <c r="D861" s="47" t="s">
        <v>58</v>
      </c>
      <c r="E861" s="47" t="s">
        <v>22</v>
      </c>
      <c r="F861" s="47" t="s">
        <v>16</v>
      </c>
      <c r="G861" s="47" t="s">
        <v>1418</v>
      </c>
      <c r="H861" s="47" t="s">
        <v>97</v>
      </c>
      <c r="I861" s="47" t="s">
        <v>66</v>
      </c>
      <c r="J861" s="327"/>
      <c r="K861" s="47" t="s">
        <v>97</v>
      </c>
      <c r="L861" s="47" t="s">
        <v>71</v>
      </c>
      <c r="M861" s="47" t="s">
        <v>1411</v>
      </c>
    </row>
    <row r="862">
      <c r="A862" s="328">
        <v>42906.0</v>
      </c>
      <c r="B862" s="47" t="s">
        <v>56</v>
      </c>
      <c r="C862" s="47" t="s">
        <v>72</v>
      </c>
      <c r="D862" s="47" t="s">
        <v>44</v>
      </c>
      <c r="E862" s="47" t="s">
        <v>22</v>
      </c>
      <c r="F862" s="47" t="s">
        <v>16</v>
      </c>
      <c r="G862" s="47" t="s">
        <v>1074</v>
      </c>
      <c r="H862" s="47" t="s">
        <v>61</v>
      </c>
      <c r="I862" s="47" t="s">
        <v>1039</v>
      </c>
      <c r="J862" s="327"/>
      <c r="K862" s="47" t="s">
        <v>61</v>
      </c>
      <c r="L862" s="47" t="s">
        <v>68</v>
      </c>
      <c r="M862" s="47" t="s">
        <v>1411</v>
      </c>
    </row>
    <row r="863">
      <c r="A863" s="328">
        <v>43096.0</v>
      </c>
      <c r="B863" s="47" t="s">
        <v>43</v>
      </c>
      <c r="C863" s="47" t="s">
        <v>723</v>
      </c>
      <c r="D863" s="47" t="s">
        <v>58</v>
      </c>
      <c r="E863" s="47" t="s">
        <v>22</v>
      </c>
      <c r="F863" s="47" t="s">
        <v>16</v>
      </c>
      <c r="G863" s="47" t="s">
        <v>1075</v>
      </c>
      <c r="H863" s="47" t="s">
        <v>97</v>
      </c>
      <c r="I863" s="47" t="s">
        <v>346</v>
      </c>
      <c r="J863" s="327"/>
      <c r="K863" s="47" t="s">
        <v>97</v>
      </c>
      <c r="L863" s="47" t="s">
        <v>167</v>
      </c>
      <c r="M863" s="47" t="s">
        <v>1411</v>
      </c>
    </row>
    <row r="864">
      <c r="A864" s="328">
        <v>43096.0</v>
      </c>
      <c r="B864" s="47" t="s">
        <v>43</v>
      </c>
      <c r="C864" s="47" t="s">
        <v>57</v>
      </c>
      <c r="D864" s="47" t="s">
        <v>58</v>
      </c>
      <c r="E864" s="47" t="s">
        <v>22</v>
      </c>
      <c r="F864" s="47" t="s">
        <v>16</v>
      </c>
      <c r="G864" s="47" t="s">
        <v>1076</v>
      </c>
      <c r="H864" s="47" t="s">
        <v>97</v>
      </c>
      <c r="I864" s="47" t="s">
        <v>463</v>
      </c>
      <c r="J864" s="327"/>
      <c r="K864" s="47" t="s">
        <v>97</v>
      </c>
      <c r="L864" s="47" t="s">
        <v>71</v>
      </c>
      <c r="M864" s="47" t="s">
        <v>1411</v>
      </c>
    </row>
    <row r="865">
      <c r="A865" s="328">
        <v>43094.0</v>
      </c>
      <c r="B865" s="47" t="s">
        <v>43</v>
      </c>
      <c r="C865" s="47" t="s">
        <v>57</v>
      </c>
      <c r="D865" s="47" t="s">
        <v>58</v>
      </c>
      <c r="E865" s="47" t="s">
        <v>22</v>
      </c>
      <c r="F865" s="47" t="s">
        <v>16</v>
      </c>
      <c r="G865" s="47" t="s">
        <v>1077</v>
      </c>
      <c r="H865" s="47" t="s">
        <v>61</v>
      </c>
      <c r="I865" s="47" t="s">
        <v>1042</v>
      </c>
      <c r="J865" s="327"/>
      <c r="K865" s="47" t="s">
        <v>61</v>
      </c>
      <c r="L865" s="47" t="s">
        <v>71</v>
      </c>
      <c r="M865" s="47" t="s">
        <v>1411</v>
      </c>
    </row>
    <row r="866">
      <c r="A866" s="328">
        <v>43094.0</v>
      </c>
      <c r="B866" s="47" t="s">
        <v>43</v>
      </c>
      <c r="C866" s="47" t="s">
        <v>57</v>
      </c>
      <c r="D866" s="47" t="s">
        <v>58</v>
      </c>
      <c r="E866" s="47" t="s">
        <v>22</v>
      </c>
      <c r="F866" s="47" t="s">
        <v>16</v>
      </c>
      <c r="G866" s="47" t="s">
        <v>1078</v>
      </c>
      <c r="H866" s="47" t="s">
        <v>61</v>
      </c>
      <c r="I866" s="47" t="s">
        <v>1042</v>
      </c>
      <c r="J866" s="327"/>
      <c r="K866" s="47" t="s">
        <v>61</v>
      </c>
      <c r="L866" s="47" t="s">
        <v>71</v>
      </c>
      <c r="M866" s="47" t="s">
        <v>1411</v>
      </c>
    </row>
    <row r="867">
      <c r="A867" s="328">
        <v>43081.0</v>
      </c>
      <c r="B867" s="47" t="s">
        <v>43</v>
      </c>
      <c r="C867" s="47" t="s">
        <v>49</v>
      </c>
      <c r="D867" s="47" t="s">
        <v>27</v>
      </c>
      <c r="E867" s="47" t="s">
        <v>22</v>
      </c>
      <c r="F867" s="47" t="s">
        <v>16</v>
      </c>
      <c r="G867" s="47" t="s">
        <v>1079</v>
      </c>
      <c r="H867" s="47" t="s">
        <v>97</v>
      </c>
      <c r="I867" s="47" t="s">
        <v>115</v>
      </c>
      <c r="J867" s="327"/>
      <c r="K867" s="47" t="s">
        <v>97</v>
      </c>
      <c r="L867" s="47" t="s">
        <v>63</v>
      </c>
      <c r="M867" s="47" t="s">
        <v>1411</v>
      </c>
    </row>
    <row r="868">
      <c r="A868" s="328">
        <v>43073.0</v>
      </c>
      <c r="B868" s="47" t="s">
        <v>56</v>
      </c>
      <c r="C868" s="47" t="s">
        <v>723</v>
      </c>
      <c r="D868" s="47" t="s">
        <v>44</v>
      </c>
      <c r="E868" s="47" t="s">
        <v>22</v>
      </c>
      <c r="F868" s="47" t="s">
        <v>16</v>
      </c>
      <c r="G868" s="47" t="s">
        <v>1080</v>
      </c>
      <c r="H868" s="47" t="s">
        <v>97</v>
      </c>
      <c r="I868" s="47" t="s">
        <v>1039</v>
      </c>
      <c r="J868" s="327"/>
      <c r="K868" s="47" t="s">
        <v>97</v>
      </c>
      <c r="L868" s="47" t="s">
        <v>68</v>
      </c>
      <c r="M868" s="47" t="s">
        <v>1411</v>
      </c>
    </row>
    <row r="869">
      <c r="A869" s="328">
        <v>43061.0</v>
      </c>
      <c r="B869" s="47" t="s">
        <v>56</v>
      </c>
      <c r="C869" s="47" t="s">
        <v>26</v>
      </c>
      <c r="D869" s="47" t="s">
        <v>58</v>
      </c>
      <c r="E869" s="47" t="s">
        <v>22</v>
      </c>
      <c r="F869" s="47" t="s">
        <v>16</v>
      </c>
      <c r="G869" s="47" t="s">
        <v>1081</v>
      </c>
      <c r="H869" s="47" t="s">
        <v>61</v>
      </c>
      <c r="I869" s="47" t="s">
        <v>66</v>
      </c>
      <c r="J869" s="327"/>
      <c r="K869" s="47" t="s">
        <v>61</v>
      </c>
      <c r="L869" s="47" t="s">
        <v>167</v>
      </c>
      <c r="M869" s="47" t="s">
        <v>1411</v>
      </c>
    </row>
    <row r="870">
      <c r="A870" s="328">
        <v>43072.0</v>
      </c>
      <c r="B870" s="47" t="s">
        <v>56</v>
      </c>
      <c r="C870" s="47" t="s">
        <v>36</v>
      </c>
      <c r="D870" s="47" t="s">
        <v>14</v>
      </c>
      <c r="E870" s="47" t="s">
        <v>22</v>
      </c>
      <c r="F870" s="47" t="s">
        <v>16</v>
      </c>
      <c r="G870" s="47" t="s">
        <v>1082</v>
      </c>
      <c r="H870" s="47" t="s">
        <v>97</v>
      </c>
      <c r="I870" s="47" t="s">
        <v>463</v>
      </c>
      <c r="J870" s="327"/>
      <c r="K870" s="47" t="s">
        <v>97</v>
      </c>
      <c r="L870" s="47" t="s">
        <v>68</v>
      </c>
      <c r="M870" s="47" t="s">
        <v>1411</v>
      </c>
    </row>
    <row r="871">
      <c r="A871" s="328">
        <v>43066.0</v>
      </c>
      <c r="B871" s="47" t="s">
        <v>56</v>
      </c>
      <c r="C871" s="47" t="s">
        <v>76</v>
      </c>
      <c r="D871" s="47" t="s">
        <v>44</v>
      </c>
      <c r="E871" s="47" t="s">
        <v>22</v>
      </c>
      <c r="F871" s="47" t="s">
        <v>16</v>
      </c>
      <c r="G871" s="47" t="s">
        <v>1419</v>
      </c>
      <c r="H871" s="47" t="s">
        <v>112</v>
      </c>
      <c r="I871" s="47" t="s">
        <v>79</v>
      </c>
      <c r="J871" s="327"/>
      <c r="K871" s="47" t="s">
        <v>112</v>
      </c>
      <c r="L871" s="47" t="s">
        <v>167</v>
      </c>
      <c r="M871" s="47" t="s">
        <v>1411</v>
      </c>
    </row>
    <row r="872">
      <c r="A872" s="328">
        <v>43070.0</v>
      </c>
      <c r="B872" s="47" t="s">
        <v>56</v>
      </c>
      <c r="C872" s="47" t="s">
        <v>57</v>
      </c>
      <c r="D872" s="47" t="s">
        <v>58</v>
      </c>
      <c r="E872" s="47" t="s">
        <v>22</v>
      </c>
      <c r="F872" s="47" t="s">
        <v>16</v>
      </c>
      <c r="G872" s="47" t="s">
        <v>1084</v>
      </c>
      <c r="H872" s="47" t="s">
        <v>97</v>
      </c>
      <c r="I872" s="47" t="s">
        <v>1042</v>
      </c>
      <c r="J872" s="327"/>
      <c r="K872" s="47" t="s">
        <v>97</v>
      </c>
      <c r="L872" s="47" t="s">
        <v>71</v>
      </c>
      <c r="M872" s="47" t="s">
        <v>1411</v>
      </c>
    </row>
    <row r="873">
      <c r="A873" s="328">
        <v>43094.0</v>
      </c>
      <c r="B873" s="47" t="s">
        <v>43</v>
      </c>
      <c r="C873" s="47" t="s">
        <v>57</v>
      </c>
      <c r="D873" s="47" t="s">
        <v>89</v>
      </c>
      <c r="E873" s="47" t="s">
        <v>22</v>
      </c>
      <c r="F873" s="47" t="s">
        <v>16</v>
      </c>
      <c r="G873" s="47" t="s">
        <v>1085</v>
      </c>
      <c r="H873" s="47" t="s">
        <v>97</v>
      </c>
      <c r="I873" s="47" t="s">
        <v>127</v>
      </c>
      <c r="J873" s="327"/>
      <c r="K873" s="47" t="s">
        <v>97</v>
      </c>
      <c r="L873" s="47" t="s">
        <v>144</v>
      </c>
      <c r="M873" s="47" t="s">
        <v>1411</v>
      </c>
    </row>
    <row r="874">
      <c r="A874" s="328">
        <v>43098.0</v>
      </c>
      <c r="B874" s="47" t="s">
        <v>43</v>
      </c>
      <c r="C874" s="47" t="s">
        <v>26</v>
      </c>
      <c r="D874" s="47" t="s">
        <v>14</v>
      </c>
      <c r="E874" s="47" t="s">
        <v>22</v>
      </c>
      <c r="F874" s="47" t="s">
        <v>16</v>
      </c>
      <c r="G874" s="47" t="s">
        <v>1086</v>
      </c>
      <c r="H874" s="47" t="s">
        <v>61</v>
      </c>
      <c r="I874" s="47" t="s">
        <v>66</v>
      </c>
      <c r="J874" s="327"/>
      <c r="K874" s="47" t="s">
        <v>61</v>
      </c>
      <c r="L874" s="47" t="s">
        <v>63</v>
      </c>
      <c r="M874" s="47" t="s">
        <v>1411</v>
      </c>
    </row>
    <row r="875">
      <c r="A875" s="328">
        <v>43054.0</v>
      </c>
      <c r="B875" s="47" t="s">
        <v>56</v>
      </c>
      <c r="C875" s="47" t="s">
        <v>36</v>
      </c>
      <c r="D875" s="47" t="s">
        <v>58</v>
      </c>
      <c r="E875" s="47" t="s">
        <v>15</v>
      </c>
      <c r="F875" s="47" t="s">
        <v>16</v>
      </c>
      <c r="G875" s="47" t="s">
        <v>1087</v>
      </c>
      <c r="H875" s="47" t="s">
        <v>97</v>
      </c>
      <c r="I875" s="47" t="s">
        <v>463</v>
      </c>
      <c r="J875" s="327"/>
      <c r="K875" s="47" t="s">
        <v>97</v>
      </c>
      <c r="L875" s="47" t="s">
        <v>68</v>
      </c>
      <c r="M875" s="47" t="s">
        <v>1411</v>
      </c>
    </row>
    <row r="876">
      <c r="A876" s="328">
        <v>43048.0</v>
      </c>
      <c r="B876" s="47" t="s">
        <v>43</v>
      </c>
      <c r="C876" s="47" t="s">
        <v>49</v>
      </c>
      <c r="D876" s="47" t="s">
        <v>44</v>
      </c>
      <c r="E876" s="47" t="s">
        <v>15</v>
      </c>
      <c r="F876" s="47" t="s">
        <v>16</v>
      </c>
      <c r="G876" s="47" t="s">
        <v>1088</v>
      </c>
      <c r="H876" s="47" t="s">
        <v>97</v>
      </c>
      <c r="I876" s="47" t="s">
        <v>1089</v>
      </c>
      <c r="J876" s="327"/>
      <c r="K876" s="47" t="s">
        <v>97</v>
      </c>
      <c r="L876" s="47" t="s">
        <v>63</v>
      </c>
      <c r="M876" s="47" t="s">
        <v>1411</v>
      </c>
    </row>
    <row r="877">
      <c r="A877" s="328">
        <v>43066.0</v>
      </c>
      <c r="B877" s="47" t="s">
        <v>56</v>
      </c>
      <c r="C877" s="47" t="s">
        <v>57</v>
      </c>
      <c r="D877" s="47" t="s">
        <v>58</v>
      </c>
      <c r="E877" s="47" t="s">
        <v>15</v>
      </c>
      <c r="F877" s="47" t="s">
        <v>16</v>
      </c>
      <c r="G877" s="47" t="s">
        <v>1090</v>
      </c>
      <c r="H877" s="327"/>
      <c r="I877" s="47" t="s">
        <v>1042</v>
      </c>
      <c r="J877" s="327"/>
      <c r="K877" s="327"/>
      <c r="L877" s="47" t="s">
        <v>144</v>
      </c>
      <c r="M877" s="47" t="s">
        <v>1411</v>
      </c>
    </row>
    <row r="878">
      <c r="A878" s="328">
        <v>43052.0</v>
      </c>
      <c r="B878" s="47" t="s">
        <v>56</v>
      </c>
      <c r="C878" s="47" t="s">
        <v>26</v>
      </c>
      <c r="D878" s="47" t="s">
        <v>58</v>
      </c>
      <c r="E878" s="47" t="s">
        <v>22</v>
      </c>
      <c r="F878" s="47" t="s">
        <v>16</v>
      </c>
      <c r="G878" s="47" t="s">
        <v>1420</v>
      </c>
      <c r="H878" s="47" t="s">
        <v>97</v>
      </c>
      <c r="I878" s="47" t="s">
        <v>66</v>
      </c>
      <c r="J878" s="327"/>
      <c r="K878" s="47" t="s">
        <v>97</v>
      </c>
      <c r="L878" s="47" t="s">
        <v>71</v>
      </c>
      <c r="M878" s="47" t="s">
        <v>1411</v>
      </c>
    </row>
    <row r="879">
      <c r="A879" s="328">
        <v>43061.0</v>
      </c>
      <c r="B879" s="47" t="s">
        <v>56</v>
      </c>
      <c r="C879" s="47" t="s">
        <v>83</v>
      </c>
      <c r="D879" s="47" t="s">
        <v>27</v>
      </c>
      <c r="E879" s="47" t="s">
        <v>15</v>
      </c>
      <c r="F879" s="47" t="s">
        <v>16</v>
      </c>
      <c r="G879" s="47" t="s">
        <v>1092</v>
      </c>
      <c r="H879" s="327"/>
      <c r="I879" s="47" t="s">
        <v>1039</v>
      </c>
      <c r="J879" s="327"/>
      <c r="K879" s="327"/>
      <c r="L879" s="47" t="s">
        <v>144</v>
      </c>
      <c r="M879" s="47" t="s">
        <v>1411</v>
      </c>
    </row>
    <row r="880">
      <c r="A880" s="328">
        <v>43052.0</v>
      </c>
      <c r="B880" s="47" t="s">
        <v>56</v>
      </c>
      <c r="C880" s="47" t="s">
        <v>36</v>
      </c>
      <c r="D880" s="47" t="s">
        <v>58</v>
      </c>
      <c r="E880" s="47" t="s">
        <v>22</v>
      </c>
      <c r="F880" s="47" t="s">
        <v>16</v>
      </c>
      <c r="G880" s="47" t="s">
        <v>1093</v>
      </c>
      <c r="H880" s="47" t="s">
        <v>97</v>
      </c>
      <c r="I880" s="47" t="s">
        <v>463</v>
      </c>
      <c r="J880" s="327"/>
      <c r="K880" s="47" t="s">
        <v>97</v>
      </c>
      <c r="L880" s="47" t="s">
        <v>71</v>
      </c>
      <c r="M880" s="47" t="s">
        <v>1411</v>
      </c>
    </row>
    <row r="881">
      <c r="A881" s="328">
        <v>43049.0</v>
      </c>
      <c r="B881" s="47" t="s">
        <v>56</v>
      </c>
      <c r="C881" s="47" t="s">
        <v>76</v>
      </c>
      <c r="D881" s="47" t="s">
        <v>77</v>
      </c>
      <c r="E881" s="47" t="s">
        <v>15</v>
      </c>
      <c r="F881" s="47" t="s">
        <v>16</v>
      </c>
      <c r="G881" s="47" t="s">
        <v>1094</v>
      </c>
      <c r="H881" s="47" t="s">
        <v>97</v>
      </c>
      <c r="I881" s="47" t="s">
        <v>79</v>
      </c>
      <c r="J881" s="327"/>
      <c r="K881" s="47" t="s">
        <v>97</v>
      </c>
      <c r="L881" s="47" t="s">
        <v>71</v>
      </c>
      <c r="M881" s="47" t="s">
        <v>1411</v>
      </c>
    </row>
    <row r="882">
      <c r="A882" s="328">
        <v>43048.0</v>
      </c>
      <c r="B882" s="47" t="s">
        <v>56</v>
      </c>
      <c r="C882" s="47" t="s">
        <v>30</v>
      </c>
      <c r="D882" s="47" t="s">
        <v>44</v>
      </c>
      <c r="E882" s="47" t="s">
        <v>22</v>
      </c>
      <c r="F882" s="47" t="s">
        <v>16</v>
      </c>
      <c r="G882" s="47" t="s">
        <v>1095</v>
      </c>
      <c r="H882" s="47" t="s">
        <v>61</v>
      </c>
      <c r="I882" s="47" t="s">
        <v>127</v>
      </c>
      <c r="J882" s="327"/>
      <c r="K882" s="47" t="s">
        <v>61</v>
      </c>
      <c r="L882" s="47" t="s">
        <v>71</v>
      </c>
      <c r="M882" s="47" t="s">
        <v>1411</v>
      </c>
    </row>
    <row r="883">
      <c r="A883" s="328">
        <v>43047.0</v>
      </c>
      <c r="B883" s="47" t="s">
        <v>56</v>
      </c>
      <c r="C883" s="47" t="s">
        <v>72</v>
      </c>
      <c r="D883" s="47" t="s">
        <v>44</v>
      </c>
      <c r="E883" s="47" t="s">
        <v>22</v>
      </c>
      <c r="F883" s="47" t="s">
        <v>16</v>
      </c>
      <c r="G883" s="47" t="s">
        <v>1096</v>
      </c>
      <c r="H883" s="327"/>
      <c r="I883" s="47" t="s">
        <v>79</v>
      </c>
      <c r="J883" s="327"/>
      <c r="K883" s="327"/>
      <c r="L883" s="47" t="s">
        <v>68</v>
      </c>
      <c r="M883" s="47" t="s">
        <v>1411</v>
      </c>
    </row>
    <row r="884">
      <c r="A884" s="328">
        <v>43031.0</v>
      </c>
      <c r="B884" s="47" t="s">
        <v>56</v>
      </c>
      <c r="C884" s="47" t="s">
        <v>723</v>
      </c>
      <c r="D884" s="47" t="s">
        <v>44</v>
      </c>
      <c r="E884" s="47" t="s">
        <v>22</v>
      </c>
      <c r="F884" s="47" t="s">
        <v>16</v>
      </c>
      <c r="G884" s="47" t="s">
        <v>1097</v>
      </c>
      <c r="H884" s="47" t="s">
        <v>97</v>
      </c>
      <c r="I884" s="47" t="s">
        <v>70</v>
      </c>
      <c r="J884" s="327"/>
      <c r="K884" s="47" t="s">
        <v>97</v>
      </c>
      <c r="L884" s="47" t="s">
        <v>63</v>
      </c>
      <c r="M884" s="47" t="s">
        <v>1411</v>
      </c>
    </row>
    <row r="885">
      <c r="A885" s="328">
        <v>43090.0</v>
      </c>
      <c r="B885" s="47" t="s">
        <v>43</v>
      </c>
      <c r="C885" s="47" t="s">
        <v>36</v>
      </c>
      <c r="D885" s="47" t="s">
        <v>58</v>
      </c>
      <c r="E885" s="47" t="s">
        <v>22</v>
      </c>
      <c r="F885" s="47" t="s">
        <v>16</v>
      </c>
      <c r="G885" s="47" t="s">
        <v>1098</v>
      </c>
      <c r="H885" s="47" t="s">
        <v>61</v>
      </c>
      <c r="I885" s="47" t="s">
        <v>70</v>
      </c>
      <c r="J885" s="327"/>
      <c r="K885" s="47" t="s">
        <v>61</v>
      </c>
      <c r="L885" s="47" t="s">
        <v>68</v>
      </c>
      <c r="M885" s="47" t="s">
        <v>1411</v>
      </c>
    </row>
    <row r="886">
      <c r="A886" s="328">
        <v>43085.0</v>
      </c>
      <c r="B886" s="47" t="s">
        <v>43</v>
      </c>
      <c r="C886" s="47" t="s">
        <v>723</v>
      </c>
      <c r="D886" s="47" t="s">
        <v>27</v>
      </c>
      <c r="E886" s="47" t="s">
        <v>22</v>
      </c>
      <c r="F886" s="47" t="s">
        <v>16</v>
      </c>
      <c r="G886" s="47" t="s">
        <v>1099</v>
      </c>
      <c r="H886" s="47" t="s">
        <v>97</v>
      </c>
      <c r="I886" s="47" t="s">
        <v>70</v>
      </c>
      <c r="J886" s="327"/>
      <c r="K886" s="47" t="s">
        <v>97</v>
      </c>
      <c r="L886" s="47" t="s">
        <v>71</v>
      </c>
      <c r="M886" s="47" t="s">
        <v>1411</v>
      </c>
    </row>
    <row r="887">
      <c r="A887" s="328">
        <v>43035.0</v>
      </c>
      <c r="B887" s="47" t="s">
        <v>56</v>
      </c>
      <c r="C887" s="47" t="s">
        <v>20</v>
      </c>
      <c r="D887" s="47" t="s">
        <v>44</v>
      </c>
      <c r="E887" s="47" t="s">
        <v>22</v>
      </c>
      <c r="F887" s="47" t="s">
        <v>16</v>
      </c>
      <c r="G887" s="47" t="s">
        <v>1100</v>
      </c>
      <c r="H887" s="47" t="s">
        <v>97</v>
      </c>
      <c r="I887" s="47" t="s">
        <v>70</v>
      </c>
      <c r="J887" s="327"/>
      <c r="K887" s="47" t="s">
        <v>97</v>
      </c>
      <c r="L887" s="47" t="s">
        <v>71</v>
      </c>
      <c r="M887" s="47" t="s">
        <v>1411</v>
      </c>
    </row>
    <row r="888">
      <c r="A888" s="328">
        <v>43020.0</v>
      </c>
      <c r="B888" s="47" t="s">
        <v>56</v>
      </c>
      <c r="C888" s="47" t="s">
        <v>13</v>
      </c>
      <c r="D888" s="47" t="s">
        <v>77</v>
      </c>
      <c r="E888" s="47" t="s">
        <v>22</v>
      </c>
      <c r="F888" s="47" t="s">
        <v>16</v>
      </c>
      <c r="G888" s="47" t="s">
        <v>1101</v>
      </c>
      <c r="H888" s="327"/>
      <c r="I888" s="47" t="s">
        <v>79</v>
      </c>
      <c r="J888" s="327"/>
      <c r="K888" s="327"/>
      <c r="L888" s="47" t="s">
        <v>71</v>
      </c>
      <c r="M888" s="47" t="s">
        <v>1411</v>
      </c>
    </row>
    <row r="889">
      <c r="A889" s="328">
        <v>43020.0</v>
      </c>
      <c r="B889" s="47" t="s">
        <v>56</v>
      </c>
      <c r="C889" s="47" t="s">
        <v>49</v>
      </c>
      <c r="D889" s="47" t="s">
        <v>27</v>
      </c>
      <c r="E889" s="47" t="s">
        <v>22</v>
      </c>
      <c r="F889" s="47" t="s">
        <v>16</v>
      </c>
      <c r="G889" s="47" t="s">
        <v>1102</v>
      </c>
      <c r="H889" s="47" t="s">
        <v>97</v>
      </c>
      <c r="I889" s="47" t="s">
        <v>79</v>
      </c>
      <c r="J889" s="327"/>
      <c r="K889" s="47" t="s">
        <v>97</v>
      </c>
      <c r="L889" s="47" t="s">
        <v>144</v>
      </c>
      <c r="M889" s="47" t="s">
        <v>1411</v>
      </c>
    </row>
    <row r="890">
      <c r="A890" s="328">
        <v>42902.0</v>
      </c>
      <c r="B890" s="47" t="s">
        <v>75</v>
      </c>
      <c r="C890" s="47" t="s">
        <v>723</v>
      </c>
      <c r="D890" s="47" t="s">
        <v>44</v>
      </c>
      <c r="E890" s="47" t="s">
        <v>22</v>
      </c>
      <c r="F890" s="47" t="s">
        <v>16</v>
      </c>
      <c r="G890" s="47" t="s">
        <v>1103</v>
      </c>
      <c r="H890" s="47" t="s">
        <v>97</v>
      </c>
      <c r="I890" s="47" t="s">
        <v>70</v>
      </c>
      <c r="J890" s="327"/>
      <c r="K890" s="47" t="s">
        <v>97</v>
      </c>
      <c r="L890" s="47" t="s">
        <v>63</v>
      </c>
      <c r="M890" s="47" t="s">
        <v>1411</v>
      </c>
    </row>
    <row r="891">
      <c r="A891" s="328">
        <v>42902.0</v>
      </c>
      <c r="B891" s="47" t="s">
        <v>327</v>
      </c>
      <c r="C891" s="47" t="s">
        <v>49</v>
      </c>
      <c r="D891" s="47" t="s">
        <v>44</v>
      </c>
      <c r="E891" s="47" t="s">
        <v>15</v>
      </c>
      <c r="F891" s="47" t="s">
        <v>16</v>
      </c>
      <c r="G891" s="47" t="s">
        <v>1104</v>
      </c>
      <c r="H891" s="47" t="s">
        <v>61</v>
      </c>
      <c r="I891" s="47" t="s">
        <v>115</v>
      </c>
      <c r="J891" s="327"/>
      <c r="K891" s="47" t="s">
        <v>61</v>
      </c>
      <c r="L891" s="47" t="s">
        <v>68</v>
      </c>
      <c r="M891" s="47" t="s">
        <v>1411</v>
      </c>
    </row>
    <row r="892">
      <c r="A892" s="328">
        <v>42941.0</v>
      </c>
      <c r="B892" s="47" t="s">
        <v>327</v>
      </c>
      <c r="C892" s="47" t="s">
        <v>36</v>
      </c>
      <c r="D892" s="47" t="s">
        <v>44</v>
      </c>
      <c r="E892" s="47" t="s">
        <v>15</v>
      </c>
      <c r="F892" s="47" t="s">
        <v>16</v>
      </c>
      <c r="G892" s="47" t="s">
        <v>1105</v>
      </c>
      <c r="H892" s="327"/>
      <c r="I892" s="47" t="s">
        <v>1042</v>
      </c>
      <c r="J892" s="327"/>
      <c r="K892" s="327"/>
      <c r="L892" s="47" t="s">
        <v>63</v>
      </c>
      <c r="M892" s="47" t="s">
        <v>1411</v>
      </c>
    </row>
    <row r="893">
      <c r="A893" s="328">
        <v>42962.0</v>
      </c>
      <c r="B893" s="47" t="s">
        <v>75</v>
      </c>
      <c r="C893" s="47" t="s">
        <v>83</v>
      </c>
      <c r="D893" s="47" t="s">
        <v>44</v>
      </c>
      <c r="E893" s="47" t="s">
        <v>15</v>
      </c>
      <c r="F893" s="47" t="s">
        <v>16</v>
      </c>
      <c r="G893" s="47" t="s">
        <v>1106</v>
      </c>
      <c r="H893" s="47" t="s">
        <v>97</v>
      </c>
      <c r="I893" s="47" t="s">
        <v>1039</v>
      </c>
      <c r="J893" s="327"/>
      <c r="K893" s="47" t="s">
        <v>97</v>
      </c>
      <c r="L893" s="47" t="s">
        <v>68</v>
      </c>
      <c r="M893" s="47" t="s">
        <v>1411</v>
      </c>
    </row>
    <row r="894">
      <c r="A894" s="328">
        <v>42948.0</v>
      </c>
      <c r="B894" s="47" t="s">
        <v>385</v>
      </c>
      <c r="C894" s="47" t="s">
        <v>83</v>
      </c>
      <c r="D894" s="47" t="s">
        <v>44</v>
      </c>
      <c r="E894" s="47" t="s">
        <v>64</v>
      </c>
      <c r="F894" s="47" t="s">
        <v>16</v>
      </c>
      <c r="G894" s="47" t="s">
        <v>1107</v>
      </c>
      <c r="H894" s="47" t="s">
        <v>97</v>
      </c>
      <c r="I894" s="47" t="s">
        <v>1039</v>
      </c>
      <c r="J894" s="327"/>
      <c r="K894" s="47" t="s">
        <v>97</v>
      </c>
      <c r="L894" s="47" t="s">
        <v>68</v>
      </c>
      <c r="M894" s="47" t="s">
        <v>1411</v>
      </c>
    </row>
    <row r="895">
      <c r="A895" s="328">
        <v>42906.0</v>
      </c>
      <c r="B895" s="47" t="s">
        <v>385</v>
      </c>
      <c r="C895" s="47" t="s">
        <v>33</v>
      </c>
      <c r="D895" s="47" t="s">
        <v>44</v>
      </c>
      <c r="E895" s="47" t="s">
        <v>22</v>
      </c>
      <c r="F895" s="47" t="s">
        <v>16</v>
      </c>
      <c r="G895" s="47" t="s">
        <v>1108</v>
      </c>
      <c r="H895" s="47" t="s">
        <v>61</v>
      </c>
      <c r="I895" s="47" t="s">
        <v>463</v>
      </c>
      <c r="J895" s="327"/>
      <c r="K895" s="47" t="s">
        <v>61</v>
      </c>
      <c r="L895" s="47" t="s">
        <v>68</v>
      </c>
      <c r="M895" s="47" t="s">
        <v>1411</v>
      </c>
    </row>
    <row r="896">
      <c r="A896" s="329"/>
      <c r="B896" s="47" t="s">
        <v>385</v>
      </c>
      <c r="C896" s="47" t="s">
        <v>26</v>
      </c>
      <c r="D896" s="47" t="s">
        <v>44</v>
      </c>
      <c r="E896" s="47" t="s">
        <v>46</v>
      </c>
      <c r="F896" s="47" t="s">
        <v>16</v>
      </c>
      <c r="G896" s="47" t="s">
        <v>1109</v>
      </c>
      <c r="H896" s="47" t="s">
        <v>97</v>
      </c>
      <c r="I896" s="47" t="s">
        <v>1055</v>
      </c>
      <c r="J896" s="327"/>
      <c r="K896" s="47" t="s">
        <v>97</v>
      </c>
      <c r="L896" s="47" t="s">
        <v>167</v>
      </c>
      <c r="M896" s="47" t="s">
        <v>1411</v>
      </c>
    </row>
    <row r="897">
      <c r="A897" s="328">
        <v>42975.0</v>
      </c>
      <c r="B897" s="47" t="s">
        <v>75</v>
      </c>
      <c r="C897" s="47" t="s">
        <v>26</v>
      </c>
      <c r="D897" s="47" t="s">
        <v>44</v>
      </c>
      <c r="E897" s="47" t="s">
        <v>46</v>
      </c>
      <c r="F897" s="47" t="s">
        <v>16</v>
      </c>
      <c r="G897" s="47" t="s">
        <v>1110</v>
      </c>
      <c r="H897" s="47" t="s">
        <v>97</v>
      </c>
      <c r="I897" s="47" t="s">
        <v>66</v>
      </c>
      <c r="J897" s="327"/>
      <c r="K897" s="47" t="s">
        <v>97</v>
      </c>
      <c r="L897" s="47" t="s">
        <v>63</v>
      </c>
      <c r="M897" s="47" t="s">
        <v>1411</v>
      </c>
    </row>
    <row r="898">
      <c r="A898" s="328">
        <v>42902.0</v>
      </c>
      <c r="B898" s="47" t="s">
        <v>385</v>
      </c>
      <c r="C898" s="47" t="s">
        <v>723</v>
      </c>
      <c r="D898" s="47" t="s">
        <v>44</v>
      </c>
      <c r="E898" s="47" t="s">
        <v>15</v>
      </c>
      <c r="F898" s="47" t="s">
        <v>16</v>
      </c>
      <c r="G898" s="47" t="s">
        <v>1111</v>
      </c>
      <c r="H898" s="47" t="s">
        <v>748</v>
      </c>
      <c r="I898" s="47" t="s">
        <v>70</v>
      </c>
      <c r="J898" s="327"/>
      <c r="K898" s="47" t="s">
        <v>748</v>
      </c>
      <c r="L898" s="47" t="s">
        <v>68</v>
      </c>
      <c r="M898" s="47" t="s">
        <v>1411</v>
      </c>
    </row>
    <row r="899">
      <c r="A899" s="328">
        <v>42919.0</v>
      </c>
      <c r="B899" s="47" t="s">
        <v>385</v>
      </c>
      <c r="C899" s="47" t="s">
        <v>83</v>
      </c>
      <c r="D899" s="47" t="s">
        <v>44</v>
      </c>
      <c r="E899" s="47" t="s">
        <v>15</v>
      </c>
      <c r="F899" s="47" t="s">
        <v>16</v>
      </c>
      <c r="G899" s="47" t="s">
        <v>1112</v>
      </c>
      <c r="H899" s="47" t="s">
        <v>61</v>
      </c>
      <c r="I899" s="47" t="s">
        <v>1039</v>
      </c>
      <c r="J899" s="327"/>
      <c r="K899" s="47" t="s">
        <v>61</v>
      </c>
      <c r="L899" s="47" t="s">
        <v>68</v>
      </c>
      <c r="M899" s="47" t="s">
        <v>1411</v>
      </c>
    </row>
    <row r="900">
      <c r="A900" s="328">
        <v>42902.0</v>
      </c>
      <c r="B900" s="47" t="s">
        <v>385</v>
      </c>
      <c r="C900" s="47" t="s">
        <v>49</v>
      </c>
      <c r="D900" s="47" t="s">
        <v>44</v>
      </c>
      <c r="E900" s="47" t="s">
        <v>22</v>
      </c>
      <c r="F900" s="47" t="s">
        <v>16</v>
      </c>
      <c r="G900" s="47" t="s">
        <v>1113</v>
      </c>
      <c r="H900" s="47" t="s">
        <v>61</v>
      </c>
      <c r="I900" s="47" t="s">
        <v>115</v>
      </c>
      <c r="J900" s="327"/>
      <c r="K900" s="47" t="s">
        <v>61</v>
      </c>
      <c r="L900" s="47" t="s">
        <v>167</v>
      </c>
      <c r="M900" s="47" t="s">
        <v>1411</v>
      </c>
    </row>
    <row r="901">
      <c r="A901" s="328">
        <v>42906.0</v>
      </c>
      <c r="B901" s="47" t="s">
        <v>385</v>
      </c>
      <c r="C901" s="47" t="s">
        <v>36</v>
      </c>
      <c r="D901" s="47" t="s">
        <v>44</v>
      </c>
      <c r="E901" s="47" t="s">
        <v>15</v>
      </c>
      <c r="F901" s="47" t="s">
        <v>16</v>
      </c>
      <c r="G901" s="47" t="s">
        <v>1421</v>
      </c>
      <c r="H901" s="327"/>
      <c r="I901" s="47" t="s">
        <v>463</v>
      </c>
      <c r="J901" s="327"/>
      <c r="K901" s="327"/>
      <c r="L901" s="47" t="s">
        <v>68</v>
      </c>
      <c r="M901" s="47" t="s">
        <v>1411</v>
      </c>
    </row>
    <row r="902">
      <c r="A902" s="328">
        <v>42902.0</v>
      </c>
      <c r="B902" s="47" t="s">
        <v>385</v>
      </c>
      <c r="C902" s="47" t="s">
        <v>49</v>
      </c>
      <c r="D902" s="47" t="s">
        <v>44</v>
      </c>
      <c r="E902" s="47" t="s">
        <v>15</v>
      </c>
      <c r="F902" s="47" t="s">
        <v>16</v>
      </c>
      <c r="G902" s="47" t="s">
        <v>1115</v>
      </c>
      <c r="H902" s="47" t="s">
        <v>61</v>
      </c>
      <c r="I902" s="47" t="s">
        <v>115</v>
      </c>
      <c r="J902" s="327"/>
      <c r="K902" s="47" t="s">
        <v>61</v>
      </c>
      <c r="L902" s="47" t="s">
        <v>68</v>
      </c>
      <c r="M902" s="47" t="s">
        <v>1411</v>
      </c>
    </row>
    <row r="903">
      <c r="A903" s="328">
        <v>42902.0</v>
      </c>
      <c r="B903" s="47" t="s">
        <v>385</v>
      </c>
      <c r="C903" s="47" t="s">
        <v>49</v>
      </c>
      <c r="D903" s="47" t="s">
        <v>44</v>
      </c>
      <c r="E903" s="47" t="s">
        <v>15</v>
      </c>
      <c r="F903" s="47" t="s">
        <v>16</v>
      </c>
      <c r="G903" s="47" t="s">
        <v>1116</v>
      </c>
      <c r="H903" s="47" t="s">
        <v>61</v>
      </c>
      <c r="I903" s="47" t="s">
        <v>66</v>
      </c>
      <c r="J903" s="327"/>
      <c r="K903" s="47" t="s">
        <v>61</v>
      </c>
      <c r="L903" s="47" t="s">
        <v>68</v>
      </c>
      <c r="M903" s="47" t="s">
        <v>1411</v>
      </c>
    </row>
    <row r="904">
      <c r="A904" s="328">
        <v>42949.0</v>
      </c>
      <c r="B904" s="47" t="s">
        <v>385</v>
      </c>
      <c r="C904" s="47" t="s">
        <v>83</v>
      </c>
      <c r="D904" s="47" t="s">
        <v>44</v>
      </c>
      <c r="E904" s="47" t="s">
        <v>64</v>
      </c>
      <c r="F904" s="47" t="s">
        <v>16</v>
      </c>
      <c r="G904" s="47" t="s">
        <v>1117</v>
      </c>
      <c r="H904" s="47" t="s">
        <v>97</v>
      </c>
      <c r="I904" s="47" t="s">
        <v>1042</v>
      </c>
      <c r="J904" s="327"/>
      <c r="K904" s="47" t="s">
        <v>97</v>
      </c>
      <c r="L904" s="47" t="s">
        <v>68</v>
      </c>
      <c r="M904" s="47" t="s">
        <v>1411</v>
      </c>
    </row>
    <row r="905">
      <c r="A905" s="328">
        <v>42902.0</v>
      </c>
      <c r="B905" s="47" t="s">
        <v>385</v>
      </c>
      <c r="C905" s="47" t="s">
        <v>30</v>
      </c>
      <c r="D905" s="47" t="s">
        <v>44</v>
      </c>
      <c r="E905" s="47" t="s">
        <v>64</v>
      </c>
      <c r="F905" s="47" t="s">
        <v>16</v>
      </c>
      <c r="G905" s="47" t="s">
        <v>1118</v>
      </c>
      <c r="H905" s="47" t="s">
        <v>61</v>
      </c>
      <c r="I905" s="47" t="s">
        <v>127</v>
      </c>
      <c r="J905" s="327"/>
      <c r="K905" s="47" t="s">
        <v>61</v>
      </c>
      <c r="L905" s="47" t="s">
        <v>68</v>
      </c>
      <c r="M905" s="47" t="s">
        <v>1411</v>
      </c>
    </row>
    <row r="906">
      <c r="A906" s="328">
        <v>43815.0</v>
      </c>
      <c r="B906" s="47" t="s">
        <v>172</v>
      </c>
      <c r="C906" s="47" t="s">
        <v>72</v>
      </c>
      <c r="D906" s="47" t="s">
        <v>95</v>
      </c>
      <c r="E906" s="47" t="s">
        <v>15</v>
      </c>
      <c r="F906" s="47" t="s">
        <v>86</v>
      </c>
      <c r="G906" s="47" t="s">
        <v>1119</v>
      </c>
      <c r="H906" s="327"/>
      <c r="I906" s="327"/>
      <c r="J906" s="327"/>
      <c r="K906" s="327"/>
      <c r="L906" s="47" t="s">
        <v>71</v>
      </c>
      <c r="M906" s="47" t="s">
        <v>1422</v>
      </c>
    </row>
    <row r="907">
      <c r="A907" s="328">
        <v>43668.0</v>
      </c>
      <c r="B907" s="47" t="s">
        <v>12</v>
      </c>
      <c r="C907" s="47" t="s">
        <v>20</v>
      </c>
      <c r="D907" s="47" t="s">
        <v>27</v>
      </c>
      <c r="E907" s="47" t="s">
        <v>15</v>
      </c>
      <c r="F907" s="47" t="s">
        <v>16</v>
      </c>
      <c r="G907" s="47" t="s">
        <v>1120</v>
      </c>
      <c r="H907" s="47" t="s">
        <v>97</v>
      </c>
      <c r="I907" s="47" t="s">
        <v>67</v>
      </c>
      <c r="J907" s="47" t="s">
        <v>79</v>
      </c>
      <c r="K907" s="327"/>
      <c r="L907" s="47" t="s">
        <v>71</v>
      </c>
      <c r="M907" s="47" t="s">
        <v>1422</v>
      </c>
    </row>
    <row r="908">
      <c r="A908" s="328">
        <v>43651.0</v>
      </c>
      <c r="B908" s="47" t="s">
        <v>12</v>
      </c>
      <c r="C908" s="47" t="s">
        <v>20</v>
      </c>
      <c r="D908" s="47" t="s">
        <v>14</v>
      </c>
      <c r="E908" s="47" t="s">
        <v>22</v>
      </c>
      <c r="F908" s="47" t="s">
        <v>16</v>
      </c>
      <c r="G908" s="47" t="s">
        <v>1121</v>
      </c>
      <c r="H908" s="47" t="s">
        <v>61</v>
      </c>
      <c r="I908" s="47" t="s">
        <v>67</v>
      </c>
      <c r="J908" s="47" t="s">
        <v>127</v>
      </c>
      <c r="K908" s="327"/>
      <c r="L908" s="47" t="s">
        <v>71</v>
      </c>
      <c r="M908" s="47" t="s">
        <v>1422</v>
      </c>
    </row>
    <row r="909">
      <c r="A909" s="328">
        <v>43651.0</v>
      </c>
      <c r="B909" s="47" t="s">
        <v>12</v>
      </c>
      <c r="C909" s="47" t="s">
        <v>76</v>
      </c>
      <c r="D909" s="47" t="s">
        <v>14</v>
      </c>
      <c r="E909" s="47" t="s">
        <v>22</v>
      </c>
      <c r="F909" s="47" t="s">
        <v>16</v>
      </c>
      <c r="G909" s="47" t="s">
        <v>1122</v>
      </c>
      <c r="H909" s="327"/>
      <c r="I909" s="47" t="s">
        <v>463</v>
      </c>
      <c r="J909" s="327"/>
      <c r="K909" s="327"/>
      <c r="L909" s="47" t="s">
        <v>71</v>
      </c>
      <c r="M909" s="47" t="s">
        <v>1422</v>
      </c>
    </row>
    <row r="910">
      <c r="A910" s="328">
        <v>43630.0</v>
      </c>
      <c r="B910" s="47" t="s">
        <v>12</v>
      </c>
      <c r="C910" s="47" t="s">
        <v>83</v>
      </c>
      <c r="D910" s="47" t="s">
        <v>44</v>
      </c>
      <c r="E910" s="47" t="s">
        <v>22</v>
      </c>
      <c r="F910" s="47" t="s">
        <v>16</v>
      </c>
      <c r="G910" s="47" t="s">
        <v>1123</v>
      </c>
      <c r="H910" s="47" t="s">
        <v>97</v>
      </c>
      <c r="I910" s="47" t="s">
        <v>79</v>
      </c>
      <c r="J910" s="47" t="s">
        <v>346</v>
      </c>
      <c r="K910" s="327"/>
      <c r="L910" s="47" t="s">
        <v>71</v>
      </c>
      <c r="M910" s="47" t="s">
        <v>1422</v>
      </c>
    </row>
    <row r="911">
      <c r="A911" s="328">
        <v>43630.0</v>
      </c>
      <c r="B911" s="47" t="s">
        <v>25</v>
      </c>
      <c r="C911" s="47" t="s">
        <v>13</v>
      </c>
      <c r="D911" s="47" t="s">
        <v>58</v>
      </c>
      <c r="E911" s="47" t="s">
        <v>22</v>
      </c>
      <c r="F911" s="47" t="s">
        <v>64</v>
      </c>
      <c r="G911" s="47" t="s">
        <v>1124</v>
      </c>
      <c r="H911" s="327"/>
      <c r="I911" s="47" t="s">
        <v>79</v>
      </c>
      <c r="J911" s="327"/>
      <c r="K911" s="327"/>
      <c r="L911" s="47" t="s">
        <v>68</v>
      </c>
      <c r="M911" s="47" t="s">
        <v>1422</v>
      </c>
    </row>
    <row r="912">
      <c r="A912" s="328">
        <v>43630.0</v>
      </c>
      <c r="B912" s="47" t="s">
        <v>25</v>
      </c>
      <c r="C912" s="47" t="s">
        <v>57</v>
      </c>
      <c r="D912" s="47" t="s">
        <v>58</v>
      </c>
      <c r="E912" s="47" t="s">
        <v>22</v>
      </c>
      <c r="F912" s="47" t="s">
        <v>16</v>
      </c>
      <c r="G912" s="47" t="s">
        <v>1125</v>
      </c>
      <c r="H912" s="327"/>
      <c r="I912" s="47" t="s">
        <v>717</v>
      </c>
      <c r="J912" s="327"/>
      <c r="K912" s="327"/>
      <c r="L912" s="47" t="s">
        <v>71</v>
      </c>
      <c r="M912" s="47" t="s">
        <v>1422</v>
      </c>
    </row>
    <row r="913">
      <c r="A913" s="328">
        <v>43630.0</v>
      </c>
      <c r="B913" s="47" t="s">
        <v>25</v>
      </c>
      <c r="C913" s="47" t="s">
        <v>57</v>
      </c>
      <c r="D913" s="47" t="s">
        <v>21</v>
      </c>
      <c r="E913" s="47" t="s">
        <v>22</v>
      </c>
      <c r="F913" s="47" t="s">
        <v>16</v>
      </c>
      <c r="G913" s="47" t="s">
        <v>1126</v>
      </c>
      <c r="H913" s="47" t="s">
        <v>97</v>
      </c>
      <c r="I913" s="47" t="s">
        <v>717</v>
      </c>
      <c r="J913" s="327"/>
      <c r="K913" s="327"/>
      <c r="L913" s="47" t="s">
        <v>71</v>
      </c>
      <c r="M913" s="47" t="s">
        <v>1422</v>
      </c>
    </row>
    <row r="914">
      <c r="A914" s="328">
        <v>43620.0</v>
      </c>
      <c r="B914" s="47" t="s">
        <v>19</v>
      </c>
      <c r="C914" s="47" t="s">
        <v>49</v>
      </c>
      <c r="D914" s="47" t="s">
        <v>27</v>
      </c>
      <c r="E914" s="47" t="s">
        <v>22</v>
      </c>
      <c r="F914" s="47" t="s">
        <v>16</v>
      </c>
      <c r="G914" s="47" t="s">
        <v>1127</v>
      </c>
      <c r="H914" s="47" t="s">
        <v>61</v>
      </c>
      <c r="I914" s="47" t="s">
        <v>66</v>
      </c>
      <c r="J914" s="47" t="s">
        <v>115</v>
      </c>
      <c r="K914" s="327"/>
      <c r="L914" s="47" t="s">
        <v>71</v>
      </c>
      <c r="M914" s="47" t="s">
        <v>1422</v>
      </c>
    </row>
    <row r="915">
      <c r="A915" s="328">
        <v>43616.0</v>
      </c>
      <c r="B915" s="47" t="s">
        <v>19</v>
      </c>
      <c r="C915" s="47" t="s">
        <v>49</v>
      </c>
      <c r="D915" s="47" t="s">
        <v>14</v>
      </c>
      <c r="E915" s="47" t="s">
        <v>22</v>
      </c>
      <c r="F915" s="47" t="s">
        <v>16</v>
      </c>
      <c r="G915" s="47" t="s">
        <v>1128</v>
      </c>
      <c r="H915" s="47" t="s">
        <v>61</v>
      </c>
      <c r="I915" s="47" t="s">
        <v>66</v>
      </c>
      <c r="J915" s="47" t="s">
        <v>115</v>
      </c>
      <c r="K915" s="327"/>
      <c r="L915" s="47" t="s">
        <v>162</v>
      </c>
      <c r="M915" s="47" t="s">
        <v>1422</v>
      </c>
    </row>
    <row r="916">
      <c r="A916" s="328">
        <v>43616.0</v>
      </c>
      <c r="B916" s="47" t="s">
        <v>19</v>
      </c>
      <c r="C916" s="47" t="s">
        <v>36</v>
      </c>
      <c r="D916" s="47" t="s">
        <v>21</v>
      </c>
      <c r="E916" s="47" t="s">
        <v>22</v>
      </c>
      <c r="F916" s="47" t="s">
        <v>16</v>
      </c>
      <c r="G916" s="47" t="s">
        <v>1129</v>
      </c>
      <c r="H916" s="47" t="s">
        <v>97</v>
      </c>
      <c r="I916" s="47" t="s">
        <v>463</v>
      </c>
      <c r="J916" s="47" t="s">
        <v>127</v>
      </c>
      <c r="K916" s="327"/>
      <c r="L916" s="47" t="s">
        <v>71</v>
      </c>
      <c r="M916" s="47" t="s">
        <v>1422</v>
      </c>
    </row>
    <row r="917">
      <c r="A917" s="328">
        <v>43614.0</v>
      </c>
      <c r="B917" s="47" t="s">
        <v>19</v>
      </c>
      <c r="C917" s="47" t="s">
        <v>20</v>
      </c>
      <c r="D917" s="47" t="s">
        <v>58</v>
      </c>
      <c r="E917" s="47" t="s">
        <v>22</v>
      </c>
      <c r="F917" s="47" t="s">
        <v>16</v>
      </c>
      <c r="G917" s="47" t="s">
        <v>1130</v>
      </c>
      <c r="H917" s="47" t="s">
        <v>748</v>
      </c>
      <c r="I917" s="47" t="s">
        <v>67</v>
      </c>
      <c r="J917" s="47" t="s">
        <v>127</v>
      </c>
      <c r="K917" s="327"/>
      <c r="L917" s="47" t="s">
        <v>68</v>
      </c>
      <c r="M917" s="47" t="s">
        <v>1422</v>
      </c>
    </row>
    <row r="918">
      <c r="A918" s="328">
        <v>43601.0</v>
      </c>
      <c r="B918" s="47" t="s">
        <v>19</v>
      </c>
      <c r="C918" s="47" t="s">
        <v>33</v>
      </c>
      <c r="D918" s="47" t="s">
        <v>21</v>
      </c>
      <c r="E918" s="47" t="s">
        <v>15</v>
      </c>
      <c r="F918" s="47" t="s">
        <v>16</v>
      </c>
      <c r="G918" s="47" t="s">
        <v>1131</v>
      </c>
      <c r="H918" s="47" t="s">
        <v>748</v>
      </c>
      <c r="I918" s="47" t="s">
        <v>463</v>
      </c>
      <c r="J918" s="47" t="s">
        <v>346</v>
      </c>
      <c r="K918" s="327"/>
      <c r="L918" s="47" t="s">
        <v>71</v>
      </c>
      <c r="M918" s="47" t="s">
        <v>1422</v>
      </c>
    </row>
    <row r="919">
      <c r="A919" s="328">
        <v>43584.0</v>
      </c>
      <c r="B919" s="47" t="s">
        <v>43</v>
      </c>
      <c r="C919" s="47" t="s">
        <v>13</v>
      </c>
      <c r="D919" s="47" t="s">
        <v>44</v>
      </c>
      <c r="E919" s="47" t="s">
        <v>22</v>
      </c>
      <c r="F919" s="47" t="s">
        <v>16</v>
      </c>
      <c r="G919" s="47" t="s">
        <v>1132</v>
      </c>
      <c r="H919" s="327"/>
      <c r="I919" s="47" t="s">
        <v>79</v>
      </c>
      <c r="J919" s="47" t="s">
        <v>70</v>
      </c>
      <c r="K919" s="327"/>
      <c r="L919" s="47" t="s">
        <v>63</v>
      </c>
      <c r="M919" s="47" t="s">
        <v>1422</v>
      </c>
    </row>
    <row r="920">
      <c r="A920" s="328">
        <v>43584.0</v>
      </c>
      <c r="B920" s="47" t="s">
        <v>19</v>
      </c>
      <c r="C920" s="47" t="s">
        <v>49</v>
      </c>
      <c r="D920" s="47" t="s">
        <v>44</v>
      </c>
      <c r="E920" s="47" t="s">
        <v>22</v>
      </c>
      <c r="F920" s="47" t="s">
        <v>16</v>
      </c>
      <c r="G920" s="47" t="s">
        <v>1133</v>
      </c>
      <c r="H920" s="47" t="s">
        <v>748</v>
      </c>
      <c r="I920" s="47" t="s">
        <v>115</v>
      </c>
      <c r="J920" s="47" t="s">
        <v>66</v>
      </c>
      <c r="K920" s="327"/>
      <c r="L920" s="47" t="s">
        <v>71</v>
      </c>
      <c r="M920" s="47" t="s">
        <v>1422</v>
      </c>
    </row>
    <row r="921">
      <c r="A921" s="328">
        <v>43623.0</v>
      </c>
      <c r="B921" s="47" t="s">
        <v>25</v>
      </c>
      <c r="C921" s="47" t="s">
        <v>20</v>
      </c>
      <c r="D921" s="47" t="s">
        <v>58</v>
      </c>
      <c r="E921" s="47" t="s">
        <v>22</v>
      </c>
      <c r="F921" s="47" t="s">
        <v>16</v>
      </c>
      <c r="G921" s="47" t="s">
        <v>1423</v>
      </c>
      <c r="H921" s="47" t="s">
        <v>97</v>
      </c>
      <c r="I921" s="47" t="s">
        <v>463</v>
      </c>
      <c r="J921" s="327"/>
      <c r="K921" s="327"/>
      <c r="L921" s="47" t="s">
        <v>68</v>
      </c>
      <c r="M921" s="47" t="s">
        <v>1422</v>
      </c>
    </row>
    <row r="922">
      <c r="A922" s="328">
        <v>43591.0</v>
      </c>
      <c r="B922" s="47" t="s">
        <v>19</v>
      </c>
      <c r="C922" s="47" t="s">
        <v>57</v>
      </c>
      <c r="D922" s="47" t="s">
        <v>58</v>
      </c>
      <c r="E922" s="47" t="s">
        <v>22</v>
      </c>
      <c r="F922" s="47" t="s">
        <v>64</v>
      </c>
      <c r="G922" s="47" t="s">
        <v>1135</v>
      </c>
      <c r="H922" s="327"/>
      <c r="I922" s="47" t="s">
        <v>717</v>
      </c>
      <c r="J922" s="327"/>
      <c r="K922" s="327"/>
      <c r="L922" s="47" t="s">
        <v>71</v>
      </c>
      <c r="M922" s="47" t="s">
        <v>1422</v>
      </c>
    </row>
    <row r="923">
      <c r="A923" s="328">
        <v>43582.0</v>
      </c>
      <c r="B923" s="47" t="s">
        <v>19</v>
      </c>
      <c r="C923" s="47" t="s">
        <v>33</v>
      </c>
      <c r="D923" s="47" t="s">
        <v>14</v>
      </c>
      <c r="E923" s="47" t="s">
        <v>64</v>
      </c>
      <c r="F923" s="47" t="s">
        <v>16</v>
      </c>
      <c r="G923" s="47" t="s">
        <v>1136</v>
      </c>
      <c r="H923" s="327"/>
      <c r="I923" s="47" t="s">
        <v>463</v>
      </c>
      <c r="J923" s="327"/>
      <c r="K923" s="327"/>
      <c r="L923" s="47" t="s">
        <v>68</v>
      </c>
      <c r="M923" s="47" t="s">
        <v>1422</v>
      </c>
    </row>
    <row r="924">
      <c r="A924" s="328">
        <v>43584.0</v>
      </c>
      <c r="B924" s="47" t="s">
        <v>19</v>
      </c>
      <c r="C924" s="47" t="s">
        <v>49</v>
      </c>
      <c r="D924" s="47" t="s">
        <v>27</v>
      </c>
      <c r="E924" s="47" t="s">
        <v>22</v>
      </c>
      <c r="F924" s="47" t="s">
        <v>16</v>
      </c>
      <c r="G924" s="47" t="s">
        <v>1137</v>
      </c>
      <c r="H924" s="327"/>
      <c r="I924" s="47" t="s">
        <v>115</v>
      </c>
      <c r="J924" s="47" t="s">
        <v>66</v>
      </c>
      <c r="K924" s="327"/>
      <c r="L924" s="47" t="s">
        <v>71</v>
      </c>
      <c r="M924" s="47" t="s">
        <v>1422</v>
      </c>
    </row>
    <row r="925">
      <c r="A925" s="328">
        <v>43584.0</v>
      </c>
      <c r="B925" s="47" t="s">
        <v>43</v>
      </c>
      <c r="C925" s="47" t="s">
        <v>83</v>
      </c>
      <c r="D925" s="47" t="s">
        <v>58</v>
      </c>
      <c r="E925" s="47" t="s">
        <v>15</v>
      </c>
      <c r="F925" s="47" t="s">
        <v>16</v>
      </c>
      <c r="G925" s="47" t="s">
        <v>1138</v>
      </c>
      <c r="H925" s="47" t="s">
        <v>61</v>
      </c>
      <c r="I925" s="47" t="s">
        <v>66</v>
      </c>
      <c r="J925" s="47" t="s">
        <v>463</v>
      </c>
      <c r="K925" s="327"/>
      <c r="L925" s="47" t="s">
        <v>71</v>
      </c>
      <c r="M925" s="47" t="s">
        <v>1422</v>
      </c>
    </row>
    <row r="926">
      <c r="A926" s="328">
        <v>43534.0</v>
      </c>
      <c r="B926" s="47" t="s">
        <v>43</v>
      </c>
      <c r="C926" s="47" t="s">
        <v>26</v>
      </c>
      <c r="D926" s="47" t="s">
        <v>27</v>
      </c>
      <c r="E926" s="47" t="s">
        <v>15</v>
      </c>
      <c r="F926" s="47" t="s">
        <v>16</v>
      </c>
      <c r="G926" s="47" t="s">
        <v>1139</v>
      </c>
      <c r="H926" s="47" t="s">
        <v>748</v>
      </c>
      <c r="I926" s="47" t="s">
        <v>66</v>
      </c>
      <c r="J926" s="47" t="s">
        <v>720</v>
      </c>
      <c r="K926" s="47" t="s">
        <v>748</v>
      </c>
      <c r="L926" s="47" t="s">
        <v>71</v>
      </c>
      <c r="M926" s="47" t="s">
        <v>1422</v>
      </c>
    </row>
    <row r="927">
      <c r="A927" s="328">
        <v>43577.0</v>
      </c>
      <c r="B927" s="47" t="s">
        <v>43</v>
      </c>
      <c r="C927" s="47" t="s">
        <v>26</v>
      </c>
      <c r="D927" s="47" t="s">
        <v>58</v>
      </c>
      <c r="E927" s="47" t="s">
        <v>22</v>
      </c>
      <c r="F927" s="47" t="s">
        <v>16</v>
      </c>
      <c r="G927" s="47" t="s">
        <v>1140</v>
      </c>
      <c r="H927" s="47" t="s">
        <v>61</v>
      </c>
      <c r="I927" s="47" t="s">
        <v>463</v>
      </c>
      <c r="J927" s="47" t="s">
        <v>66</v>
      </c>
      <c r="K927" s="327"/>
      <c r="L927" s="47" t="s">
        <v>71</v>
      </c>
      <c r="M927" s="47" t="s">
        <v>1422</v>
      </c>
    </row>
    <row r="928">
      <c r="A928" s="328">
        <v>43572.0</v>
      </c>
      <c r="B928" s="47" t="s">
        <v>43</v>
      </c>
      <c r="C928" s="47" t="s">
        <v>57</v>
      </c>
      <c r="D928" s="47" t="s">
        <v>58</v>
      </c>
      <c r="E928" s="47" t="s">
        <v>22</v>
      </c>
      <c r="F928" s="47" t="s">
        <v>64</v>
      </c>
      <c r="G928" s="47" t="s">
        <v>1141</v>
      </c>
      <c r="H928" s="327"/>
      <c r="I928" s="47" t="s">
        <v>717</v>
      </c>
      <c r="J928" s="327"/>
      <c r="K928" s="327"/>
      <c r="L928" s="47" t="s">
        <v>68</v>
      </c>
      <c r="M928" s="47" t="s">
        <v>1422</v>
      </c>
    </row>
    <row r="929">
      <c r="A929" s="328">
        <v>43565.0</v>
      </c>
      <c r="B929" s="47" t="s">
        <v>43</v>
      </c>
      <c r="C929" s="47" t="s">
        <v>26</v>
      </c>
      <c r="D929" s="47" t="s">
        <v>27</v>
      </c>
      <c r="E929" s="47" t="s">
        <v>64</v>
      </c>
      <c r="F929" s="47" t="s">
        <v>64</v>
      </c>
      <c r="G929" s="47" t="s">
        <v>1142</v>
      </c>
      <c r="H929" s="327"/>
      <c r="I929" s="47" t="s">
        <v>66</v>
      </c>
      <c r="J929" s="47" t="s">
        <v>720</v>
      </c>
      <c r="K929" s="327"/>
      <c r="L929" s="47" t="s">
        <v>71</v>
      </c>
      <c r="M929" s="47" t="s">
        <v>1422</v>
      </c>
    </row>
    <row r="930">
      <c r="A930" s="328">
        <v>43548.0</v>
      </c>
      <c r="B930" s="47" t="s">
        <v>43</v>
      </c>
      <c r="C930" s="47" t="s">
        <v>76</v>
      </c>
      <c r="D930" s="47" t="s">
        <v>44</v>
      </c>
      <c r="E930" s="47" t="s">
        <v>15</v>
      </c>
      <c r="F930" s="47" t="s">
        <v>16</v>
      </c>
      <c r="G930" s="47" t="s">
        <v>1424</v>
      </c>
      <c r="H930" s="47" t="s">
        <v>61</v>
      </c>
      <c r="I930" s="47" t="s">
        <v>346</v>
      </c>
      <c r="J930" s="327"/>
      <c r="K930" s="327"/>
      <c r="L930" s="47" t="s">
        <v>63</v>
      </c>
      <c r="M930" s="47" t="s">
        <v>1422</v>
      </c>
    </row>
    <row r="931">
      <c r="A931" s="328">
        <v>43580.0</v>
      </c>
      <c r="B931" s="47" t="s">
        <v>43</v>
      </c>
      <c r="C931" s="47" t="s">
        <v>57</v>
      </c>
      <c r="D931" s="47" t="s">
        <v>58</v>
      </c>
      <c r="E931" s="47" t="s">
        <v>22</v>
      </c>
      <c r="F931" s="47" t="s">
        <v>16</v>
      </c>
      <c r="G931" s="47" t="s">
        <v>1144</v>
      </c>
      <c r="H931" s="327"/>
      <c r="I931" s="47" t="s">
        <v>717</v>
      </c>
      <c r="J931" s="327"/>
      <c r="K931" s="327"/>
      <c r="L931" s="47" t="s">
        <v>71</v>
      </c>
      <c r="M931" s="47" t="s">
        <v>1422</v>
      </c>
    </row>
    <row r="932">
      <c r="A932" s="328">
        <v>43577.0</v>
      </c>
      <c r="B932" s="47" t="s">
        <v>43</v>
      </c>
      <c r="C932" s="47" t="s">
        <v>49</v>
      </c>
      <c r="D932" s="47" t="s">
        <v>95</v>
      </c>
      <c r="E932" s="47" t="s">
        <v>15</v>
      </c>
      <c r="F932" s="47" t="s">
        <v>16</v>
      </c>
      <c r="G932" s="47" t="s">
        <v>1145</v>
      </c>
      <c r="H932" s="47" t="s">
        <v>61</v>
      </c>
      <c r="I932" s="47" t="s">
        <v>115</v>
      </c>
      <c r="J932" s="47" t="s">
        <v>346</v>
      </c>
      <c r="K932" s="327"/>
      <c r="L932" s="47" t="s">
        <v>71</v>
      </c>
      <c r="M932" s="47" t="s">
        <v>1422</v>
      </c>
    </row>
    <row r="933">
      <c r="A933" s="328">
        <v>43572.0</v>
      </c>
      <c r="B933" s="47" t="s">
        <v>43</v>
      </c>
      <c r="C933" s="47" t="s">
        <v>57</v>
      </c>
      <c r="D933" s="47" t="s">
        <v>58</v>
      </c>
      <c r="E933" s="47" t="s">
        <v>22</v>
      </c>
      <c r="F933" s="47" t="s">
        <v>16</v>
      </c>
      <c r="G933" s="47" t="s">
        <v>1146</v>
      </c>
      <c r="H933" s="327"/>
      <c r="I933" s="47" t="s">
        <v>717</v>
      </c>
      <c r="J933" s="327"/>
      <c r="K933" s="327"/>
      <c r="L933" s="47" t="s">
        <v>68</v>
      </c>
      <c r="M933" s="47" t="s">
        <v>1422</v>
      </c>
    </row>
    <row r="934">
      <c r="A934" s="328">
        <v>43572.0</v>
      </c>
      <c r="B934" s="47" t="s">
        <v>43</v>
      </c>
      <c r="C934" s="47" t="s">
        <v>57</v>
      </c>
      <c r="D934" s="47" t="s">
        <v>58</v>
      </c>
      <c r="E934" s="47" t="s">
        <v>22</v>
      </c>
      <c r="F934" s="47" t="s">
        <v>16</v>
      </c>
      <c r="G934" s="47" t="s">
        <v>1147</v>
      </c>
      <c r="H934" s="327"/>
      <c r="I934" s="47" t="s">
        <v>717</v>
      </c>
      <c r="J934" s="327"/>
      <c r="K934" s="327"/>
      <c r="L934" s="47" t="s">
        <v>68</v>
      </c>
      <c r="M934" s="47" t="s">
        <v>1422</v>
      </c>
    </row>
    <row r="935">
      <c r="A935" s="328">
        <v>43565.0</v>
      </c>
      <c r="B935" s="47" t="s">
        <v>43</v>
      </c>
      <c r="C935" s="47" t="s">
        <v>57</v>
      </c>
      <c r="D935" s="47" t="s">
        <v>58</v>
      </c>
      <c r="E935" s="47" t="s">
        <v>22</v>
      </c>
      <c r="F935" s="47" t="s">
        <v>16</v>
      </c>
      <c r="G935" s="47" t="s">
        <v>1148</v>
      </c>
      <c r="H935" s="327"/>
      <c r="I935" s="47" t="s">
        <v>717</v>
      </c>
      <c r="J935" s="327"/>
      <c r="K935" s="327"/>
      <c r="L935" s="47" t="s">
        <v>71</v>
      </c>
      <c r="M935" s="47" t="s">
        <v>1422</v>
      </c>
    </row>
    <row r="936">
      <c r="A936" s="328">
        <v>43548.0</v>
      </c>
      <c r="B936" s="47" t="s">
        <v>43</v>
      </c>
      <c r="C936" s="47" t="s">
        <v>49</v>
      </c>
      <c r="D936" s="47" t="s">
        <v>27</v>
      </c>
      <c r="E936" s="47" t="s">
        <v>22</v>
      </c>
      <c r="F936" s="47" t="s">
        <v>16</v>
      </c>
      <c r="G936" s="47" t="s">
        <v>1425</v>
      </c>
      <c r="H936" s="47" t="s">
        <v>61</v>
      </c>
      <c r="I936" s="47" t="s">
        <v>115</v>
      </c>
      <c r="J936" s="47" t="s">
        <v>66</v>
      </c>
      <c r="K936" s="327"/>
      <c r="L936" s="47" t="s">
        <v>162</v>
      </c>
      <c r="M936" s="47" t="s">
        <v>1422</v>
      </c>
    </row>
    <row r="937">
      <c r="A937" s="328">
        <v>43560.0</v>
      </c>
      <c r="B937" s="47" t="s">
        <v>43</v>
      </c>
      <c r="C937" s="47" t="s">
        <v>76</v>
      </c>
      <c r="D937" s="47" t="s">
        <v>58</v>
      </c>
      <c r="E937" s="47" t="s">
        <v>22</v>
      </c>
      <c r="F937" s="47" t="s">
        <v>16</v>
      </c>
      <c r="G937" s="47" t="s">
        <v>1150</v>
      </c>
      <c r="H937" s="327"/>
      <c r="I937" s="47" t="s">
        <v>346</v>
      </c>
      <c r="J937" s="327"/>
      <c r="K937" s="327"/>
      <c r="L937" s="47" t="s">
        <v>71</v>
      </c>
      <c r="M937" s="47" t="s">
        <v>1422</v>
      </c>
    </row>
    <row r="938">
      <c r="A938" s="328">
        <v>43548.0</v>
      </c>
      <c r="B938" s="47" t="s">
        <v>43</v>
      </c>
      <c r="C938" s="47" t="s">
        <v>76</v>
      </c>
      <c r="D938" s="47" t="s">
        <v>44</v>
      </c>
      <c r="E938" s="47" t="s">
        <v>64</v>
      </c>
      <c r="F938" s="47" t="s">
        <v>16</v>
      </c>
      <c r="G938" s="47" t="s">
        <v>1151</v>
      </c>
      <c r="H938" s="47" t="s">
        <v>61</v>
      </c>
      <c r="I938" s="47" t="s">
        <v>346</v>
      </c>
      <c r="J938" s="327"/>
      <c r="K938" s="327"/>
      <c r="L938" s="47" t="s">
        <v>63</v>
      </c>
      <c r="M938" s="47" t="s">
        <v>1422</v>
      </c>
    </row>
    <row r="939">
      <c r="A939" s="328">
        <v>43548.0</v>
      </c>
      <c r="B939" s="47" t="s">
        <v>43</v>
      </c>
      <c r="C939" s="47" t="s">
        <v>57</v>
      </c>
      <c r="D939" s="47" t="s">
        <v>58</v>
      </c>
      <c r="E939" s="47" t="s">
        <v>22</v>
      </c>
      <c r="F939" s="47" t="s">
        <v>16</v>
      </c>
      <c r="G939" s="47" t="s">
        <v>1152</v>
      </c>
      <c r="H939" s="327"/>
      <c r="I939" s="47" t="s">
        <v>717</v>
      </c>
      <c r="J939" s="327"/>
      <c r="K939" s="327"/>
      <c r="L939" s="47" t="s">
        <v>71</v>
      </c>
      <c r="M939" s="47" t="s">
        <v>1422</v>
      </c>
    </row>
    <row r="940">
      <c r="A940" s="328">
        <v>43549.0</v>
      </c>
      <c r="B940" s="47" t="s">
        <v>43</v>
      </c>
      <c r="C940" s="47" t="s">
        <v>13</v>
      </c>
      <c r="D940" s="47" t="s">
        <v>44</v>
      </c>
      <c r="E940" s="47" t="s">
        <v>15</v>
      </c>
      <c r="F940" s="47" t="s">
        <v>16</v>
      </c>
      <c r="G940" s="47" t="s">
        <v>1153</v>
      </c>
      <c r="H940" s="47" t="s">
        <v>97</v>
      </c>
      <c r="I940" s="47" t="s">
        <v>67</v>
      </c>
      <c r="J940" s="47" t="s">
        <v>127</v>
      </c>
      <c r="K940" s="327"/>
      <c r="L940" s="47" t="s">
        <v>162</v>
      </c>
      <c r="M940" s="47" t="s">
        <v>1422</v>
      </c>
    </row>
    <row r="941">
      <c r="A941" s="328">
        <v>43544.0</v>
      </c>
      <c r="B941" s="47" t="s">
        <v>43</v>
      </c>
      <c r="C941" s="47" t="s">
        <v>20</v>
      </c>
      <c r="D941" s="47" t="s">
        <v>58</v>
      </c>
      <c r="E941" s="47" t="s">
        <v>22</v>
      </c>
      <c r="F941" s="47" t="s">
        <v>16</v>
      </c>
      <c r="G941" s="47" t="s">
        <v>1426</v>
      </c>
      <c r="H941" s="47" t="s">
        <v>61</v>
      </c>
      <c r="I941" s="47" t="s">
        <v>66</v>
      </c>
      <c r="J941" s="47" t="s">
        <v>67</v>
      </c>
      <c r="K941" s="327"/>
      <c r="L941" s="47" t="s">
        <v>71</v>
      </c>
      <c r="M941" s="47" t="s">
        <v>1422</v>
      </c>
    </row>
    <row r="942">
      <c r="A942" s="328">
        <v>43543.0</v>
      </c>
      <c r="B942" s="47" t="s">
        <v>43</v>
      </c>
      <c r="C942" s="47" t="s">
        <v>26</v>
      </c>
      <c r="D942" s="47" t="s">
        <v>58</v>
      </c>
      <c r="E942" s="47" t="s">
        <v>22</v>
      </c>
      <c r="F942" s="47" t="s">
        <v>16</v>
      </c>
      <c r="G942" s="47" t="s">
        <v>1427</v>
      </c>
      <c r="H942" s="47" t="s">
        <v>61</v>
      </c>
      <c r="I942" s="47" t="s">
        <v>66</v>
      </c>
      <c r="J942" s="327"/>
      <c r="K942" s="327"/>
      <c r="L942" s="47" t="s">
        <v>71</v>
      </c>
      <c r="M942" s="47" t="s">
        <v>1422</v>
      </c>
    </row>
    <row r="943">
      <c r="A943" s="328">
        <v>43543.0</v>
      </c>
      <c r="B943" s="47" t="s">
        <v>43</v>
      </c>
      <c r="C943" s="47" t="s">
        <v>57</v>
      </c>
      <c r="D943" s="47" t="s">
        <v>44</v>
      </c>
      <c r="E943" s="47" t="s">
        <v>22</v>
      </c>
      <c r="F943" s="47" t="s">
        <v>16</v>
      </c>
      <c r="G943" s="47" t="s">
        <v>1156</v>
      </c>
      <c r="H943" s="327"/>
      <c r="I943" s="47" t="s">
        <v>717</v>
      </c>
      <c r="J943" s="327"/>
      <c r="K943" s="327"/>
      <c r="L943" s="47" t="s">
        <v>71</v>
      </c>
      <c r="M943" s="47" t="s">
        <v>1422</v>
      </c>
    </row>
    <row r="944">
      <c r="A944" s="328">
        <v>43543.0</v>
      </c>
      <c r="B944" s="47" t="s">
        <v>43</v>
      </c>
      <c r="C944" s="47" t="s">
        <v>57</v>
      </c>
      <c r="D944" s="47" t="s">
        <v>44</v>
      </c>
      <c r="E944" s="47" t="s">
        <v>22</v>
      </c>
      <c r="F944" s="47" t="s">
        <v>16</v>
      </c>
      <c r="G944" s="47" t="s">
        <v>1157</v>
      </c>
      <c r="H944" s="327"/>
      <c r="I944" s="47" t="s">
        <v>717</v>
      </c>
      <c r="J944" s="47" t="s">
        <v>115</v>
      </c>
      <c r="K944" s="327"/>
      <c r="L944" s="47" t="s">
        <v>71</v>
      </c>
      <c r="M944" s="47" t="s">
        <v>1422</v>
      </c>
    </row>
    <row r="945">
      <c r="A945" s="328">
        <v>43542.0</v>
      </c>
      <c r="B945" s="47" t="s">
        <v>43</v>
      </c>
      <c r="C945" s="47" t="s">
        <v>49</v>
      </c>
      <c r="D945" s="47" t="s">
        <v>27</v>
      </c>
      <c r="E945" s="47" t="s">
        <v>22</v>
      </c>
      <c r="F945" s="47" t="s">
        <v>16</v>
      </c>
      <c r="G945" s="47" t="s">
        <v>1158</v>
      </c>
      <c r="H945" s="327"/>
      <c r="I945" s="47" t="s">
        <v>115</v>
      </c>
      <c r="J945" s="327"/>
      <c r="K945" s="47" t="s">
        <v>61</v>
      </c>
      <c r="L945" s="47" t="s">
        <v>71</v>
      </c>
      <c r="M945" s="47" t="s">
        <v>1422</v>
      </c>
    </row>
    <row r="946">
      <c r="A946" s="328">
        <v>43474.0</v>
      </c>
      <c r="B946" s="47" t="s">
        <v>75</v>
      </c>
      <c r="C946" s="47" t="s">
        <v>26</v>
      </c>
      <c r="D946" s="47" t="s">
        <v>81</v>
      </c>
      <c r="E946" s="47" t="s">
        <v>22</v>
      </c>
      <c r="F946" s="47" t="s">
        <v>16</v>
      </c>
      <c r="G946" s="47" t="s">
        <v>1159</v>
      </c>
      <c r="H946" s="47" t="s">
        <v>748</v>
      </c>
      <c r="I946" s="47" t="s">
        <v>463</v>
      </c>
      <c r="J946" s="327"/>
      <c r="K946" s="47" t="s">
        <v>1428</v>
      </c>
      <c r="L946" s="47" t="s">
        <v>68</v>
      </c>
      <c r="M946" s="47" t="s">
        <v>1422</v>
      </c>
    </row>
    <row r="947">
      <c r="A947" s="328">
        <v>43525.0</v>
      </c>
      <c r="B947" s="47" t="s">
        <v>56</v>
      </c>
      <c r="C947" s="47" t="s">
        <v>13</v>
      </c>
      <c r="D947" s="47" t="s">
        <v>44</v>
      </c>
      <c r="E947" s="47" t="s">
        <v>22</v>
      </c>
      <c r="F947" s="47" t="s">
        <v>16</v>
      </c>
      <c r="G947" s="47" t="s">
        <v>1160</v>
      </c>
      <c r="H947" s="327"/>
      <c r="I947" s="47" t="s">
        <v>79</v>
      </c>
      <c r="J947" s="47" t="s">
        <v>346</v>
      </c>
      <c r="K947" s="327"/>
      <c r="L947" s="47" t="s">
        <v>68</v>
      </c>
      <c r="M947" s="47" t="s">
        <v>1422</v>
      </c>
    </row>
    <row r="948">
      <c r="A948" s="328">
        <v>43544.0</v>
      </c>
      <c r="B948" s="47" t="s">
        <v>43</v>
      </c>
      <c r="C948" s="47" t="s">
        <v>83</v>
      </c>
      <c r="D948" s="47" t="s">
        <v>27</v>
      </c>
      <c r="E948" s="47" t="s">
        <v>22</v>
      </c>
      <c r="F948" s="47" t="s">
        <v>16</v>
      </c>
      <c r="G948" s="47" t="s">
        <v>1161</v>
      </c>
      <c r="H948" s="327"/>
      <c r="I948" s="47" t="s">
        <v>346</v>
      </c>
      <c r="J948" s="47" t="s">
        <v>66</v>
      </c>
      <c r="K948" s="327"/>
      <c r="L948" s="47" t="s">
        <v>71</v>
      </c>
      <c r="M948" s="47" t="s">
        <v>1422</v>
      </c>
    </row>
    <row r="949">
      <c r="A949" s="328">
        <v>43542.0</v>
      </c>
      <c r="B949" s="47" t="s">
        <v>43</v>
      </c>
      <c r="C949" s="47" t="s">
        <v>13</v>
      </c>
      <c r="D949" s="47" t="s">
        <v>58</v>
      </c>
      <c r="E949" s="47" t="s">
        <v>22</v>
      </c>
      <c r="F949" s="47" t="s">
        <v>16</v>
      </c>
      <c r="G949" s="47" t="s">
        <v>1162</v>
      </c>
      <c r="H949" s="327"/>
      <c r="I949" s="47" t="s">
        <v>79</v>
      </c>
      <c r="K949" s="327"/>
      <c r="L949" s="47" t="s">
        <v>71</v>
      </c>
      <c r="M949" s="47" t="s">
        <v>1422</v>
      </c>
    </row>
    <row r="950">
      <c r="A950" s="328">
        <v>43523.0</v>
      </c>
      <c r="B950" s="47" t="s">
        <v>56</v>
      </c>
      <c r="C950" s="47" t="s">
        <v>13</v>
      </c>
      <c r="D950" s="47" t="s">
        <v>44</v>
      </c>
      <c r="E950" s="47" t="s">
        <v>22</v>
      </c>
      <c r="F950" s="47" t="s">
        <v>16</v>
      </c>
      <c r="G950" s="47" t="s">
        <v>1429</v>
      </c>
      <c r="H950" s="327"/>
      <c r="I950" s="47" t="s">
        <v>79</v>
      </c>
      <c r="J950" s="327"/>
      <c r="K950" s="327"/>
      <c r="L950" s="47" t="s">
        <v>63</v>
      </c>
      <c r="M950" s="47" t="s">
        <v>1422</v>
      </c>
    </row>
    <row r="951">
      <c r="A951" s="328">
        <v>43523.0</v>
      </c>
      <c r="B951" s="47" t="s">
        <v>56</v>
      </c>
      <c r="C951" s="47" t="s">
        <v>57</v>
      </c>
      <c r="D951" s="47" t="s">
        <v>44</v>
      </c>
      <c r="E951" s="47" t="s">
        <v>22</v>
      </c>
      <c r="F951" s="47" t="s">
        <v>16</v>
      </c>
      <c r="G951" s="47" t="s">
        <v>1164</v>
      </c>
      <c r="H951" s="327"/>
      <c r="I951" s="47" t="s">
        <v>717</v>
      </c>
      <c r="J951" s="327"/>
      <c r="L951" s="47" t="s">
        <v>63</v>
      </c>
      <c r="M951" s="47" t="s">
        <v>1422</v>
      </c>
    </row>
    <row r="952">
      <c r="A952" s="328">
        <v>43523.0</v>
      </c>
      <c r="B952" s="47" t="s">
        <v>56</v>
      </c>
      <c r="C952" s="47" t="s">
        <v>83</v>
      </c>
      <c r="D952" s="47" t="s">
        <v>77</v>
      </c>
      <c r="E952" s="47" t="s">
        <v>22</v>
      </c>
      <c r="F952" s="47" t="s">
        <v>16</v>
      </c>
      <c r="G952" s="47" t="s">
        <v>1165</v>
      </c>
      <c r="H952" s="327"/>
      <c r="I952" s="47" t="s">
        <v>346</v>
      </c>
      <c r="J952" s="327"/>
      <c r="K952" s="327"/>
      <c r="L952" s="47" t="s">
        <v>71</v>
      </c>
      <c r="M952" s="47" t="s">
        <v>1422</v>
      </c>
    </row>
    <row r="953">
      <c r="A953" s="328">
        <v>43601.0</v>
      </c>
      <c r="B953" s="47" t="s">
        <v>19</v>
      </c>
      <c r="C953" s="47" t="s">
        <v>36</v>
      </c>
      <c r="D953" s="47" t="s">
        <v>27</v>
      </c>
      <c r="E953" s="47" t="s">
        <v>22</v>
      </c>
      <c r="F953" s="47" t="s">
        <v>16</v>
      </c>
      <c r="G953" s="47" t="s">
        <v>1166</v>
      </c>
      <c r="H953" s="47" t="s">
        <v>748</v>
      </c>
      <c r="I953" s="47" t="s">
        <v>463</v>
      </c>
      <c r="J953" s="327"/>
      <c r="K953" s="327"/>
      <c r="L953" s="47" t="s">
        <v>71</v>
      </c>
      <c r="M953" s="47" t="s">
        <v>1422</v>
      </c>
    </row>
    <row r="954">
      <c r="A954" s="328">
        <v>43090.0</v>
      </c>
      <c r="B954" s="47" t="s">
        <v>12</v>
      </c>
      <c r="C954" s="47" t="s">
        <v>57</v>
      </c>
      <c r="D954" s="47" t="s">
        <v>14</v>
      </c>
      <c r="E954" s="47" t="s">
        <v>46</v>
      </c>
      <c r="F954" s="47" t="s">
        <v>16</v>
      </c>
      <c r="G954" s="47" t="s">
        <v>1168</v>
      </c>
      <c r="H954" s="327"/>
      <c r="I954" s="47" t="s">
        <v>1169</v>
      </c>
      <c r="J954" s="327"/>
      <c r="K954" s="327"/>
      <c r="L954" s="47" t="s">
        <v>68</v>
      </c>
      <c r="M954" s="47" t="s">
        <v>1430</v>
      </c>
    </row>
    <row r="955">
      <c r="A955" s="328">
        <v>42849.0</v>
      </c>
      <c r="B955" s="47" t="s">
        <v>12</v>
      </c>
      <c r="C955" s="47" t="s">
        <v>57</v>
      </c>
      <c r="D955" s="47" t="s">
        <v>58</v>
      </c>
      <c r="E955" s="47" t="s">
        <v>64</v>
      </c>
      <c r="F955" s="47" t="s">
        <v>16</v>
      </c>
      <c r="G955" s="47" t="s">
        <v>1431</v>
      </c>
      <c r="H955" s="47" t="s">
        <v>748</v>
      </c>
      <c r="I955" s="47" t="s">
        <v>1169</v>
      </c>
      <c r="K955" s="327"/>
      <c r="L955" s="47" t="s">
        <v>144</v>
      </c>
      <c r="M955" s="47" t="s">
        <v>1430</v>
      </c>
    </row>
    <row r="956">
      <c r="A956" s="328">
        <v>42816.0</v>
      </c>
      <c r="B956" s="47" t="s">
        <v>19</v>
      </c>
      <c r="C956" s="47" t="s">
        <v>33</v>
      </c>
      <c r="D956" s="47" t="s">
        <v>89</v>
      </c>
      <c r="E956" s="47" t="s">
        <v>64</v>
      </c>
      <c r="F956" s="47" t="s">
        <v>16</v>
      </c>
      <c r="G956" s="47" t="s">
        <v>1171</v>
      </c>
      <c r="H956" s="47" t="s">
        <v>748</v>
      </c>
      <c r="I956" s="47" t="s">
        <v>1172</v>
      </c>
      <c r="J956" s="327"/>
      <c r="L956" s="47" t="s">
        <v>68</v>
      </c>
      <c r="M956" s="47" t="s">
        <v>1430</v>
      </c>
    </row>
    <row r="957">
      <c r="A957" s="328">
        <v>42838.0</v>
      </c>
      <c r="B957" s="47" t="s">
        <v>25</v>
      </c>
      <c r="C957" s="47" t="s">
        <v>57</v>
      </c>
      <c r="D957" s="47" t="s">
        <v>89</v>
      </c>
      <c r="E957" s="47" t="s">
        <v>22</v>
      </c>
      <c r="F957" s="47" t="s">
        <v>16</v>
      </c>
      <c r="G957" s="47" t="s">
        <v>1173</v>
      </c>
      <c r="H957" s="47" t="s">
        <v>748</v>
      </c>
      <c r="I957" s="47" t="s">
        <v>1169</v>
      </c>
      <c r="J957" s="327"/>
      <c r="L957" s="47" t="s">
        <v>71</v>
      </c>
      <c r="M957" s="47" t="s">
        <v>1430</v>
      </c>
    </row>
    <row r="958">
      <c r="A958" s="328">
        <v>42793.0</v>
      </c>
      <c r="B958" s="47" t="s">
        <v>19</v>
      </c>
      <c r="C958" s="47" t="s">
        <v>49</v>
      </c>
      <c r="D958" s="47" t="s">
        <v>58</v>
      </c>
      <c r="E958" s="47" t="s">
        <v>22</v>
      </c>
      <c r="F958" s="47" t="s">
        <v>16</v>
      </c>
      <c r="G958" s="47" t="s">
        <v>1174</v>
      </c>
      <c r="H958" s="47" t="s">
        <v>748</v>
      </c>
      <c r="I958" s="47" t="s">
        <v>1175</v>
      </c>
      <c r="J958" s="327"/>
      <c r="K958" s="327"/>
      <c r="L958" s="47" t="s">
        <v>71</v>
      </c>
      <c r="M958" s="47" t="s">
        <v>1430</v>
      </c>
    </row>
    <row r="959">
      <c r="A959" s="328">
        <v>42783.0</v>
      </c>
      <c r="B959" s="47" t="s">
        <v>19</v>
      </c>
      <c r="C959" s="47" t="s">
        <v>57</v>
      </c>
      <c r="D959" s="47" t="s">
        <v>21</v>
      </c>
      <c r="E959" s="47" t="s">
        <v>64</v>
      </c>
      <c r="F959" s="47" t="s">
        <v>16</v>
      </c>
      <c r="G959" s="47" t="s">
        <v>1176</v>
      </c>
      <c r="H959" s="47" t="s">
        <v>748</v>
      </c>
      <c r="I959" s="47" t="s">
        <v>1169</v>
      </c>
      <c r="J959" s="327"/>
      <c r="K959" s="327"/>
      <c r="L959" s="47" t="s">
        <v>167</v>
      </c>
      <c r="M959" s="47" t="s">
        <v>1430</v>
      </c>
    </row>
    <row r="960">
      <c r="A960" s="328">
        <v>42372.0</v>
      </c>
      <c r="B960" s="47" t="s">
        <v>43</v>
      </c>
      <c r="C960" s="47" t="s">
        <v>57</v>
      </c>
      <c r="D960" s="47" t="s">
        <v>21</v>
      </c>
      <c r="E960" s="47" t="s">
        <v>64</v>
      </c>
      <c r="F960" s="47" t="s">
        <v>16</v>
      </c>
      <c r="G960" s="47" t="s">
        <v>1177</v>
      </c>
      <c r="H960" s="47" t="s">
        <v>748</v>
      </c>
      <c r="I960" s="47" t="s">
        <v>1169</v>
      </c>
      <c r="L960" s="47" t="s">
        <v>63</v>
      </c>
      <c r="M960" s="47" t="s">
        <v>1430</v>
      </c>
    </row>
    <row r="961">
      <c r="A961" s="328">
        <v>42374.0</v>
      </c>
      <c r="B961" s="47" t="s">
        <v>43</v>
      </c>
      <c r="C961" s="47" t="s">
        <v>49</v>
      </c>
      <c r="D961" s="47" t="s">
        <v>21</v>
      </c>
      <c r="E961" s="47" t="s">
        <v>64</v>
      </c>
      <c r="F961" s="47" t="s">
        <v>16</v>
      </c>
      <c r="G961" s="47" t="s">
        <v>1178</v>
      </c>
      <c r="H961" s="47" t="s">
        <v>748</v>
      </c>
      <c r="I961" s="47" t="s">
        <v>1179</v>
      </c>
      <c r="K961" s="327"/>
      <c r="L961" s="47" t="s">
        <v>162</v>
      </c>
      <c r="M961" s="47" t="s">
        <v>1430</v>
      </c>
    </row>
    <row r="962">
      <c r="A962" s="328">
        <v>42733.0</v>
      </c>
      <c r="B962" s="47" t="s">
        <v>43</v>
      </c>
      <c r="C962" s="47" t="s">
        <v>371</v>
      </c>
      <c r="D962" s="47" t="s">
        <v>58</v>
      </c>
      <c r="E962" s="47" t="s">
        <v>64</v>
      </c>
      <c r="F962" s="47" t="s">
        <v>16</v>
      </c>
      <c r="G962" s="47" t="s">
        <v>1180</v>
      </c>
      <c r="H962" s="47" t="s">
        <v>748</v>
      </c>
      <c r="I962" s="47" t="s">
        <v>1172</v>
      </c>
      <c r="J962" s="327"/>
      <c r="K962" s="327"/>
      <c r="L962" s="47" t="s">
        <v>167</v>
      </c>
      <c r="M962" s="47" t="s">
        <v>1430</v>
      </c>
    </row>
    <row r="963">
      <c r="A963" s="328">
        <v>42758.0</v>
      </c>
      <c r="B963" s="47" t="s">
        <v>43</v>
      </c>
      <c r="C963" s="47" t="s">
        <v>57</v>
      </c>
      <c r="D963" s="47" t="s">
        <v>89</v>
      </c>
      <c r="E963" s="47" t="s">
        <v>64</v>
      </c>
      <c r="F963" s="47" t="s">
        <v>16</v>
      </c>
      <c r="G963" s="47" t="s">
        <v>1181</v>
      </c>
      <c r="H963" s="47" t="s">
        <v>748</v>
      </c>
      <c r="I963" s="47" t="s">
        <v>1182</v>
      </c>
      <c r="J963" s="327"/>
      <c r="L963" s="47" t="s">
        <v>144</v>
      </c>
      <c r="M963" s="47" t="s">
        <v>1430</v>
      </c>
    </row>
    <row r="964">
      <c r="A964" s="328">
        <v>42746.0</v>
      </c>
      <c r="B964" s="47" t="s">
        <v>43</v>
      </c>
      <c r="C964" s="47" t="s">
        <v>36</v>
      </c>
      <c r="D964" s="47" t="s">
        <v>44</v>
      </c>
      <c r="E964" s="47" t="s">
        <v>64</v>
      </c>
      <c r="F964" s="47" t="s">
        <v>16</v>
      </c>
      <c r="G964" s="47" t="s">
        <v>1183</v>
      </c>
      <c r="H964" s="47" t="s">
        <v>748</v>
      </c>
      <c r="I964" s="47" t="s">
        <v>1184</v>
      </c>
      <c r="K964" s="327"/>
      <c r="L964" s="47" t="s">
        <v>71</v>
      </c>
      <c r="M964" s="47" t="s">
        <v>1430</v>
      </c>
    </row>
    <row r="965">
      <c r="A965" s="328">
        <v>42696.0</v>
      </c>
      <c r="B965" s="47" t="s">
        <v>56</v>
      </c>
      <c r="C965" s="47" t="s">
        <v>57</v>
      </c>
      <c r="D965" s="47" t="s">
        <v>44</v>
      </c>
      <c r="E965" s="47" t="s">
        <v>64</v>
      </c>
      <c r="F965" s="47" t="s">
        <v>16</v>
      </c>
      <c r="G965" s="47" t="s">
        <v>1185</v>
      </c>
      <c r="H965" s="47" t="s">
        <v>748</v>
      </c>
      <c r="I965" s="47" t="s">
        <v>1186</v>
      </c>
      <c r="J965" s="327"/>
      <c r="L965" s="47" t="s">
        <v>167</v>
      </c>
      <c r="M965" s="47" t="s">
        <v>1430</v>
      </c>
    </row>
    <row r="966">
      <c r="A966" s="328">
        <v>42703.0</v>
      </c>
      <c r="B966" s="47" t="s">
        <v>56</v>
      </c>
      <c r="C966" s="47" t="s">
        <v>57</v>
      </c>
      <c r="D966" s="47" t="s">
        <v>44</v>
      </c>
      <c r="E966" s="47" t="s">
        <v>64</v>
      </c>
      <c r="F966" s="47" t="s">
        <v>16</v>
      </c>
      <c r="G966" s="47" t="s">
        <v>1187</v>
      </c>
      <c r="H966" s="47" t="s">
        <v>748</v>
      </c>
      <c r="I966" s="47" t="s">
        <v>1182</v>
      </c>
      <c r="J966" s="327"/>
      <c r="K966" s="327"/>
      <c r="L966" s="47" t="s">
        <v>167</v>
      </c>
      <c r="M966" s="47" t="s">
        <v>1430</v>
      </c>
    </row>
    <row r="967">
      <c r="A967" s="328">
        <v>42703.0</v>
      </c>
      <c r="B967" s="47" t="s">
        <v>56</v>
      </c>
      <c r="C967" s="47" t="s">
        <v>57</v>
      </c>
      <c r="D967" s="47" t="s">
        <v>21</v>
      </c>
      <c r="E967" s="47" t="s">
        <v>64</v>
      </c>
      <c r="F967" s="47" t="s">
        <v>16</v>
      </c>
      <c r="G967" s="47" t="s">
        <v>1188</v>
      </c>
      <c r="H967" s="47" t="s">
        <v>748</v>
      </c>
      <c r="I967" s="47" t="s">
        <v>1186</v>
      </c>
      <c r="K967" s="327"/>
      <c r="L967" s="47" t="s">
        <v>63</v>
      </c>
      <c r="M967" s="47" t="s">
        <v>1430</v>
      </c>
    </row>
    <row r="968">
      <c r="A968" s="328">
        <v>42886.0</v>
      </c>
      <c r="B968" s="47" t="s">
        <v>25</v>
      </c>
      <c r="C968" s="327"/>
      <c r="D968" s="47" t="s">
        <v>1189</v>
      </c>
      <c r="E968" s="47" t="s">
        <v>22</v>
      </c>
      <c r="F968" s="47" t="s">
        <v>16</v>
      </c>
      <c r="G968" s="47" t="s">
        <v>1190</v>
      </c>
      <c r="H968" s="47" t="s">
        <v>748</v>
      </c>
      <c r="I968" s="47" t="s">
        <v>1191</v>
      </c>
      <c r="J968" s="327"/>
      <c r="L968" s="327"/>
      <c r="M968" s="47" t="s">
        <v>1432</v>
      </c>
    </row>
    <row r="969">
      <c r="A969" s="328">
        <v>42886.0</v>
      </c>
      <c r="B969" s="47" t="s">
        <v>25</v>
      </c>
      <c r="C969" s="327"/>
      <c r="D969" s="47" t="s">
        <v>1189</v>
      </c>
      <c r="E969" s="47" t="s">
        <v>64</v>
      </c>
      <c r="F969" s="47" t="s">
        <v>16</v>
      </c>
      <c r="G969" s="47" t="s">
        <v>1192</v>
      </c>
      <c r="H969" s="47" t="s">
        <v>748</v>
      </c>
      <c r="I969" s="47" t="s">
        <v>1182</v>
      </c>
      <c r="K969" s="327"/>
      <c r="L969" s="327"/>
      <c r="M969" s="47" t="s">
        <v>1432</v>
      </c>
    </row>
    <row r="970">
      <c r="A970" s="328">
        <v>42875.0</v>
      </c>
      <c r="B970" s="47" t="s">
        <v>19</v>
      </c>
      <c r="C970" s="327"/>
      <c r="D970" s="47" t="s">
        <v>1189</v>
      </c>
      <c r="E970" s="47" t="s">
        <v>15</v>
      </c>
      <c r="F970" s="47" t="s">
        <v>16</v>
      </c>
      <c r="G970" s="47" t="s">
        <v>1193</v>
      </c>
      <c r="H970" s="47" t="s">
        <v>748</v>
      </c>
      <c r="I970" s="47" t="s">
        <v>1182</v>
      </c>
      <c r="J970" s="327"/>
      <c r="K970" s="327"/>
      <c r="L970" s="327"/>
      <c r="M970" s="47" t="s">
        <v>1432</v>
      </c>
    </row>
    <row r="971">
      <c r="A971" s="328">
        <v>42853.0</v>
      </c>
      <c r="B971" s="47" t="s">
        <v>19</v>
      </c>
      <c r="C971" s="327"/>
      <c r="D971" s="47" t="s">
        <v>1194</v>
      </c>
      <c r="E971" s="47" t="s">
        <v>64</v>
      </c>
      <c r="F971" s="47" t="s">
        <v>16</v>
      </c>
      <c r="G971" s="47" t="s">
        <v>1195</v>
      </c>
      <c r="H971" s="47" t="s">
        <v>748</v>
      </c>
      <c r="I971" s="47" t="s">
        <v>391</v>
      </c>
      <c r="J971" s="327"/>
      <c r="K971" s="327"/>
      <c r="M971" s="47" t="s">
        <v>1432</v>
      </c>
    </row>
    <row r="972">
      <c r="A972" s="328">
        <v>42853.0</v>
      </c>
      <c r="B972" s="47" t="s">
        <v>19</v>
      </c>
      <c r="C972" s="327"/>
      <c r="D972" s="47" t="s">
        <v>1196</v>
      </c>
      <c r="E972" s="47" t="s">
        <v>22</v>
      </c>
      <c r="F972" s="47" t="s">
        <v>16</v>
      </c>
      <c r="G972" s="47" t="s">
        <v>1197</v>
      </c>
      <c r="H972" s="47" t="s">
        <v>748</v>
      </c>
      <c r="I972" s="47" t="s">
        <v>1182</v>
      </c>
      <c r="L972" s="327"/>
      <c r="M972" s="47" t="s">
        <v>1432</v>
      </c>
    </row>
    <row r="973">
      <c r="A973" s="328">
        <v>42845.0</v>
      </c>
      <c r="B973" s="47" t="s">
        <v>19</v>
      </c>
      <c r="C973" s="327"/>
      <c r="D973" s="47" t="s">
        <v>1189</v>
      </c>
      <c r="E973" s="47" t="s">
        <v>64</v>
      </c>
      <c r="F973" s="47" t="s">
        <v>16</v>
      </c>
      <c r="G973" s="47" t="s">
        <v>1198</v>
      </c>
      <c r="H973" s="47" t="s">
        <v>748</v>
      </c>
      <c r="I973" s="47" t="s">
        <v>1199</v>
      </c>
      <c r="J973" s="327"/>
      <c r="K973" s="327"/>
      <c r="L973" s="327"/>
      <c r="M973" s="47" t="s">
        <v>1432</v>
      </c>
    </row>
    <row r="974">
      <c r="A974" s="328">
        <v>42845.0</v>
      </c>
      <c r="B974" s="47" t="s">
        <v>19</v>
      </c>
      <c r="C974" s="327"/>
      <c r="D974" s="47" t="s">
        <v>1189</v>
      </c>
      <c r="E974" s="47" t="s">
        <v>22</v>
      </c>
      <c r="F974" s="47" t="s">
        <v>16</v>
      </c>
      <c r="G974" s="47" t="s">
        <v>1200</v>
      </c>
      <c r="H974" s="47" t="s">
        <v>748</v>
      </c>
      <c r="I974" s="47" t="s">
        <v>381</v>
      </c>
      <c r="J974" s="327"/>
      <c r="K974" s="327"/>
      <c r="L974" s="327"/>
      <c r="M974" s="47" t="s">
        <v>1432</v>
      </c>
    </row>
    <row r="975">
      <c r="A975" s="328">
        <v>42844.0</v>
      </c>
      <c r="B975" s="47" t="s">
        <v>19</v>
      </c>
      <c r="C975" s="327"/>
      <c r="D975" s="47" t="s">
        <v>1189</v>
      </c>
      <c r="E975" s="47" t="s">
        <v>22</v>
      </c>
      <c r="F975" s="47" t="s">
        <v>16</v>
      </c>
      <c r="G975" s="47" t="s">
        <v>1201</v>
      </c>
      <c r="H975" s="47" t="s">
        <v>748</v>
      </c>
      <c r="I975" s="47" t="s">
        <v>381</v>
      </c>
      <c r="J975" s="327"/>
      <c r="K975" s="327"/>
      <c r="L975" s="327"/>
      <c r="M975" s="47" t="s">
        <v>1432</v>
      </c>
    </row>
    <row r="976">
      <c r="A976" s="328">
        <v>42842.0</v>
      </c>
      <c r="B976" s="47" t="s">
        <v>19</v>
      </c>
      <c r="C976" s="327"/>
      <c r="D976" s="47" t="s">
        <v>1189</v>
      </c>
      <c r="E976" s="47" t="s">
        <v>64</v>
      </c>
      <c r="F976" s="47" t="s">
        <v>16</v>
      </c>
      <c r="G976" s="47" t="s">
        <v>1202</v>
      </c>
      <c r="H976" s="47" t="s">
        <v>748</v>
      </c>
      <c r="I976" s="47" t="s">
        <v>381</v>
      </c>
      <c r="K976" s="327"/>
      <c r="L976" s="327"/>
      <c r="M976" s="47" t="s">
        <v>1432</v>
      </c>
    </row>
    <row r="977">
      <c r="A977" s="328">
        <v>42801.0</v>
      </c>
      <c r="B977" s="47" t="s">
        <v>43</v>
      </c>
      <c r="C977" s="327"/>
      <c r="D977" s="47" t="s">
        <v>1189</v>
      </c>
      <c r="E977" s="47" t="s">
        <v>64</v>
      </c>
      <c r="F977" s="47" t="s">
        <v>16</v>
      </c>
      <c r="G977" s="47" t="s">
        <v>1203</v>
      </c>
      <c r="H977" s="47" t="s">
        <v>748</v>
      </c>
      <c r="I977" s="47" t="s">
        <v>1199</v>
      </c>
      <c r="J977" s="327"/>
      <c r="K977" s="327"/>
      <c r="L977" s="327"/>
      <c r="M977" s="47" t="s">
        <v>1432</v>
      </c>
    </row>
    <row r="978">
      <c r="A978" s="328">
        <v>42819.0</v>
      </c>
      <c r="B978" s="47" t="s">
        <v>43</v>
      </c>
      <c r="C978" s="327"/>
      <c r="D978" s="47" t="s">
        <v>1189</v>
      </c>
      <c r="E978" s="47" t="s">
        <v>64</v>
      </c>
      <c r="F978" s="47" t="s">
        <v>16</v>
      </c>
      <c r="G978" s="47" t="s">
        <v>1204</v>
      </c>
      <c r="H978" s="47" t="s">
        <v>97</v>
      </c>
      <c r="I978" s="47" t="s">
        <v>1199</v>
      </c>
      <c r="J978" s="327"/>
      <c r="K978" s="327"/>
      <c r="L978" s="327"/>
      <c r="M978" s="47" t="s">
        <v>1432</v>
      </c>
    </row>
    <row r="979">
      <c r="A979" s="328">
        <v>42801.0</v>
      </c>
      <c r="B979" s="47" t="s">
        <v>43</v>
      </c>
      <c r="C979" s="327"/>
      <c r="D979" s="47" t="s">
        <v>1189</v>
      </c>
      <c r="E979" s="47" t="s">
        <v>64</v>
      </c>
      <c r="F979" s="47" t="s">
        <v>16</v>
      </c>
      <c r="G979" s="47" t="s">
        <v>1205</v>
      </c>
      <c r="H979" s="47" t="s">
        <v>748</v>
      </c>
      <c r="I979" s="47" t="s">
        <v>1199</v>
      </c>
      <c r="J979" s="327"/>
      <c r="K979" s="327"/>
      <c r="L979" s="327"/>
      <c r="M979" s="47" t="s">
        <v>1432</v>
      </c>
    </row>
    <row r="980">
      <c r="A980" s="328">
        <v>42842.0</v>
      </c>
      <c r="B980" s="47" t="s">
        <v>19</v>
      </c>
      <c r="C980" s="327"/>
      <c r="D980" s="47" t="s">
        <v>1189</v>
      </c>
      <c r="E980" s="47" t="s">
        <v>64</v>
      </c>
      <c r="F980" s="47" t="s">
        <v>16</v>
      </c>
      <c r="G980" s="47" t="s">
        <v>1206</v>
      </c>
      <c r="H980" s="47" t="s">
        <v>748</v>
      </c>
      <c r="I980" s="47" t="s">
        <v>381</v>
      </c>
      <c r="J980" s="327"/>
      <c r="K980" s="327"/>
      <c r="L980" s="327"/>
      <c r="M980" s="47" t="s">
        <v>1432</v>
      </c>
    </row>
    <row r="981">
      <c r="A981" s="328">
        <v>42838.0</v>
      </c>
      <c r="B981" s="47" t="s">
        <v>19</v>
      </c>
      <c r="C981" s="327"/>
      <c r="D981" s="47" t="s">
        <v>1189</v>
      </c>
      <c r="E981" s="47" t="s">
        <v>64</v>
      </c>
      <c r="F981" s="47" t="s">
        <v>16</v>
      </c>
      <c r="G981" s="47" t="s">
        <v>1207</v>
      </c>
      <c r="H981" s="47" t="s">
        <v>748</v>
      </c>
      <c r="I981" s="47" t="s">
        <v>1208</v>
      </c>
      <c r="J981" s="327"/>
      <c r="K981" s="327"/>
      <c r="L981" s="327"/>
      <c r="M981" s="47" t="s">
        <v>1432</v>
      </c>
    </row>
    <row r="982">
      <c r="A982" s="328">
        <v>42809.0</v>
      </c>
      <c r="B982" s="47" t="s">
        <v>43</v>
      </c>
      <c r="C982" s="327"/>
      <c r="D982" s="47" t="s">
        <v>1194</v>
      </c>
      <c r="E982" s="47" t="s">
        <v>64</v>
      </c>
      <c r="F982" s="47" t="s">
        <v>16</v>
      </c>
      <c r="G982" s="327"/>
      <c r="H982" s="47" t="s">
        <v>748</v>
      </c>
      <c r="I982" s="47" t="s">
        <v>381</v>
      </c>
      <c r="J982" s="327"/>
      <c r="K982" s="327"/>
      <c r="L982" s="327"/>
      <c r="M982" s="47" t="s">
        <v>1432</v>
      </c>
    </row>
    <row r="983">
      <c r="A983" s="328">
        <v>42801.0</v>
      </c>
      <c r="B983" s="47" t="s">
        <v>43</v>
      </c>
      <c r="C983" s="327"/>
      <c r="D983" s="47" t="s">
        <v>1189</v>
      </c>
      <c r="E983" s="47" t="s">
        <v>64</v>
      </c>
      <c r="F983" s="47" t="s">
        <v>16</v>
      </c>
      <c r="G983" s="47" t="s">
        <v>1209</v>
      </c>
      <c r="H983" s="47" t="s">
        <v>748</v>
      </c>
      <c r="I983" s="47" t="s">
        <v>1199</v>
      </c>
      <c r="J983" s="327"/>
      <c r="K983" s="327"/>
      <c r="L983" s="327"/>
      <c r="M983" s="47" t="s">
        <v>1432</v>
      </c>
    </row>
    <row r="984">
      <c r="A984" s="328">
        <v>42809.0</v>
      </c>
      <c r="B984" s="47" t="s">
        <v>43</v>
      </c>
      <c r="C984" s="327"/>
      <c r="D984" s="47" t="s">
        <v>1194</v>
      </c>
      <c r="E984" s="47" t="s">
        <v>64</v>
      </c>
      <c r="F984" s="47" t="s">
        <v>16</v>
      </c>
      <c r="G984" s="47" t="s">
        <v>1210</v>
      </c>
      <c r="H984" s="47" t="s">
        <v>748</v>
      </c>
      <c r="I984" s="47" t="s">
        <v>381</v>
      </c>
      <c r="J984" s="327"/>
      <c r="K984" s="327"/>
      <c r="M984" s="47" t="s">
        <v>1432</v>
      </c>
    </row>
    <row r="985">
      <c r="A985" s="328">
        <v>42801.0</v>
      </c>
      <c r="B985" s="47" t="s">
        <v>43</v>
      </c>
      <c r="C985" s="327"/>
      <c r="D985" s="47" t="s">
        <v>1211</v>
      </c>
      <c r="E985" s="47" t="s">
        <v>64</v>
      </c>
      <c r="F985" s="47" t="s">
        <v>16</v>
      </c>
      <c r="G985" s="47" t="s">
        <v>1212</v>
      </c>
      <c r="H985" s="47" t="s">
        <v>748</v>
      </c>
      <c r="I985" s="47" t="s">
        <v>1199</v>
      </c>
      <c r="J985" s="327"/>
      <c r="M985" s="47" t="s">
        <v>1432</v>
      </c>
    </row>
    <row r="986">
      <c r="A986" s="328">
        <v>42751.0</v>
      </c>
      <c r="B986" s="47" t="s">
        <v>56</v>
      </c>
      <c r="C986" s="327"/>
      <c r="D986" s="47" t="s">
        <v>1211</v>
      </c>
      <c r="E986" s="47" t="s">
        <v>64</v>
      </c>
      <c r="F986" s="47" t="s">
        <v>16</v>
      </c>
      <c r="G986" s="47" t="s">
        <v>1213</v>
      </c>
      <c r="H986" s="327"/>
      <c r="I986" s="47" t="s">
        <v>358</v>
      </c>
      <c r="J986" s="327"/>
      <c r="L986" s="327"/>
      <c r="M986" s="47" t="s">
        <v>1432</v>
      </c>
    </row>
    <row r="987">
      <c r="A987" s="328">
        <v>42751.0</v>
      </c>
      <c r="B987" s="47" t="s">
        <v>56</v>
      </c>
      <c r="C987" s="327"/>
      <c r="D987" s="47" t="s">
        <v>1189</v>
      </c>
      <c r="E987" s="47" t="s">
        <v>64</v>
      </c>
      <c r="F987" s="47" t="s">
        <v>16</v>
      </c>
      <c r="G987" s="47" t="s">
        <v>1214</v>
      </c>
      <c r="H987" s="47" t="s">
        <v>748</v>
      </c>
      <c r="I987" s="47" t="s">
        <v>1215</v>
      </c>
      <c r="J987" s="327"/>
      <c r="K987" s="327"/>
      <c r="L987" s="327"/>
      <c r="M987" s="47" t="s">
        <v>1432</v>
      </c>
    </row>
    <row r="988">
      <c r="A988" s="328">
        <v>42748.0</v>
      </c>
      <c r="B988" s="47" t="s">
        <v>56</v>
      </c>
      <c r="C988" s="327"/>
      <c r="D988" s="47" t="s">
        <v>1194</v>
      </c>
      <c r="E988" s="47" t="s">
        <v>64</v>
      </c>
      <c r="F988" s="47" t="s">
        <v>16</v>
      </c>
      <c r="G988" s="47" t="s">
        <v>1216</v>
      </c>
      <c r="H988" s="47" t="s">
        <v>748</v>
      </c>
      <c r="I988" s="47" t="s">
        <v>1217</v>
      </c>
      <c r="J988" s="327"/>
      <c r="K988" s="327"/>
      <c r="L988" s="327"/>
      <c r="M988" s="47" t="s">
        <v>1432</v>
      </c>
    </row>
    <row r="989">
      <c r="A989" s="47" t="s">
        <v>1433</v>
      </c>
      <c r="B989" s="47" t="s">
        <v>1434</v>
      </c>
      <c r="C989" s="327"/>
      <c r="D989" s="327"/>
      <c r="E989" s="327"/>
      <c r="F989" s="327"/>
      <c r="G989" s="327"/>
      <c r="H989" s="327"/>
      <c r="I989" s="327"/>
      <c r="K989" s="327"/>
      <c r="M989" s="47" t="e">
        <v>#N/A</v>
      </c>
    </row>
    <row r="990">
      <c r="A990" s="327"/>
      <c r="B990" s="47" t="s">
        <v>1435</v>
      </c>
      <c r="C990" s="327"/>
      <c r="D990" s="327"/>
      <c r="E990" s="327"/>
      <c r="F990" s="327"/>
      <c r="G990" s="327"/>
      <c r="H990" s="327"/>
      <c r="I990" s="327"/>
      <c r="L990" s="327"/>
      <c r="M990" s="47" t="e">
        <v>#N/A</v>
      </c>
    </row>
    <row r="991">
      <c r="A991" s="47" t="s">
        <v>1433</v>
      </c>
      <c r="B991" s="47" t="s">
        <v>1434</v>
      </c>
      <c r="C991" s="327"/>
      <c r="D991" s="327"/>
      <c r="E991" s="327"/>
      <c r="F991" s="327"/>
      <c r="G991" s="327"/>
      <c r="H991" s="327"/>
      <c r="I991" s="327"/>
      <c r="J991" s="327"/>
      <c r="K991" s="327"/>
      <c r="L991" s="327"/>
      <c r="M991" s="47" t="e">
        <v>#N/A</v>
      </c>
    </row>
    <row r="992">
      <c r="A992" s="47" t="s">
        <v>1436</v>
      </c>
      <c r="B992" s="327"/>
      <c r="C992" s="327"/>
      <c r="D992" s="327"/>
      <c r="E992" s="327"/>
      <c r="F992" s="327"/>
      <c r="G992" s="327"/>
      <c r="H992" s="327"/>
      <c r="I992" s="327"/>
      <c r="J992" s="327"/>
      <c r="K992" s="327"/>
      <c r="M992" s="47" t="e">
        <v>#N/A</v>
      </c>
    </row>
    <row r="993">
      <c r="A993" s="329"/>
      <c r="B993" s="47" t="s">
        <v>1435</v>
      </c>
      <c r="C993" s="327"/>
      <c r="D993" s="327"/>
      <c r="E993" s="327"/>
      <c r="F993" s="327"/>
      <c r="G993" s="327"/>
      <c r="H993" s="327"/>
      <c r="I993" s="327"/>
      <c r="J993" s="327"/>
      <c r="L993" s="327"/>
      <c r="M993" s="47" t="e">
        <v>#N/A</v>
      </c>
    </row>
    <row r="994">
      <c r="A994" s="47" t="s">
        <v>1433</v>
      </c>
      <c r="B994" s="47" t="s">
        <v>1434</v>
      </c>
      <c r="C994" s="327"/>
      <c r="D994" s="327"/>
      <c r="E994" s="327"/>
      <c r="F994" s="327"/>
      <c r="G994" s="327"/>
      <c r="H994" s="327"/>
      <c r="I994" s="327"/>
      <c r="K994" s="327"/>
      <c r="L994" s="327"/>
      <c r="M994" s="47" t="e">
        <v>#N/A</v>
      </c>
    </row>
    <row r="995">
      <c r="A995" s="328">
        <v>44788.0</v>
      </c>
      <c r="B995" s="47" t="s">
        <v>12</v>
      </c>
      <c r="C995" s="47" t="s">
        <v>13</v>
      </c>
      <c r="D995" s="47" t="s">
        <v>14</v>
      </c>
      <c r="E995" s="47" t="s">
        <v>22</v>
      </c>
      <c r="F995" s="47" t="s">
        <v>16</v>
      </c>
      <c r="G995" s="47" t="s">
        <v>1437</v>
      </c>
      <c r="H995" s="47" t="s">
        <v>112</v>
      </c>
      <c r="I995" s="47" t="s">
        <v>79</v>
      </c>
      <c r="J995" s="327"/>
      <c r="K995" s="327"/>
      <c r="L995" s="327"/>
      <c r="M995" s="47" t="s">
        <v>1438</v>
      </c>
    </row>
    <row r="996">
      <c r="A996" s="328">
        <v>44757.0</v>
      </c>
      <c r="B996" s="47" t="s">
        <v>25</v>
      </c>
      <c r="C996" s="47" t="s">
        <v>57</v>
      </c>
      <c r="D996" s="47" t="s">
        <v>95</v>
      </c>
      <c r="E996" s="47" t="s">
        <v>64</v>
      </c>
      <c r="F996" s="47" t="s">
        <v>64</v>
      </c>
      <c r="G996" s="47" t="s">
        <v>1439</v>
      </c>
      <c r="H996" s="327"/>
      <c r="I996" s="47" t="s">
        <v>334</v>
      </c>
      <c r="J996" s="327"/>
      <c r="K996" s="327"/>
      <c r="M996" s="47" t="s">
        <v>1438</v>
      </c>
    </row>
    <row r="997">
      <c r="A997" s="328">
        <v>44735.0</v>
      </c>
      <c r="B997" s="47" t="s">
        <v>19</v>
      </c>
      <c r="C997" s="47" t="s">
        <v>30</v>
      </c>
      <c r="D997" s="47" t="s">
        <v>95</v>
      </c>
      <c r="E997" s="47" t="s">
        <v>15</v>
      </c>
      <c r="F997" s="47" t="s">
        <v>16</v>
      </c>
      <c r="G997" s="47" t="s">
        <v>1440</v>
      </c>
      <c r="H997" s="47" t="s">
        <v>1441</v>
      </c>
      <c r="I997" s="47" t="s">
        <v>127</v>
      </c>
      <c r="L997" s="47" t="s">
        <v>71</v>
      </c>
      <c r="M997" s="47" t="s">
        <v>1438</v>
      </c>
    </row>
    <row r="998">
      <c r="A998" s="328">
        <v>44790.0</v>
      </c>
      <c r="B998" s="47" t="s">
        <v>12</v>
      </c>
      <c r="C998" s="47" t="s">
        <v>36</v>
      </c>
      <c r="D998" s="47" t="s">
        <v>27</v>
      </c>
      <c r="E998" s="47" t="s">
        <v>64</v>
      </c>
      <c r="F998" s="47" t="s">
        <v>16</v>
      </c>
      <c r="G998" s="47" t="s">
        <v>1442</v>
      </c>
      <c r="H998" s="47" t="s">
        <v>61</v>
      </c>
      <c r="I998" s="47" t="s">
        <v>66</v>
      </c>
      <c r="J998" s="327"/>
      <c r="K998" s="47" t="s">
        <v>1443</v>
      </c>
      <c r="M998" s="47" t="s">
        <v>1438</v>
      </c>
    </row>
    <row r="999">
      <c r="A999" s="328">
        <v>44734.0</v>
      </c>
      <c r="B999" s="47" t="s">
        <v>19</v>
      </c>
      <c r="C999" s="47" t="s">
        <v>26</v>
      </c>
      <c r="D999" s="47" t="s">
        <v>27</v>
      </c>
      <c r="E999" s="47" t="s">
        <v>22</v>
      </c>
      <c r="F999" s="47" t="s">
        <v>16</v>
      </c>
      <c r="G999" s="47" t="s">
        <v>1444</v>
      </c>
      <c r="H999" s="47" t="s">
        <v>61</v>
      </c>
      <c r="I999" s="47" t="s">
        <v>66</v>
      </c>
      <c r="J999" s="327"/>
      <c r="M999" s="47" t="s">
        <v>1438</v>
      </c>
    </row>
    <row r="1000">
      <c r="A1000" s="328">
        <v>44695.0</v>
      </c>
      <c r="B1000" s="47" t="s">
        <v>43</v>
      </c>
      <c r="C1000" s="47" t="s">
        <v>26</v>
      </c>
      <c r="D1000" s="47" t="s">
        <v>27</v>
      </c>
      <c r="E1000" s="47" t="s">
        <v>64</v>
      </c>
      <c r="F1000" s="47" t="s">
        <v>16</v>
      </c>
      <c r="G1000" s="47" t="s">
        <v>1445</v>
      </c>
      <c r="H1000" s="47" t="s">
        <v>61</v>
      </c>
      <c r="I1000" s="47" t="s">
        <v>66</v>
      </c>
      <c r="J1000" s="327"/>
      <c r="M1000" s="47" t="s">
        <v>1438</v>
      </c>
    </row>
    <row r="1001">
      <c r="A1001" s="328">
        <v>44693.0</v>
      </c>
      <c r="B1001" s="47" t="s">
        <v>56</v>
      </c>
      <c r="C1001" s="47" t="s">
        <v>36</v>
      </c>
      <c r="D1001" s="47" t="s">
        <v>21</v>
      </c>
      <c r="E1001" s="47" t="s">
        <v>22</v>
      </c>
      <c r="F1001" s="47" t="s">
        <v>16</v>
      </c>
      <c r="G1001" s="47" t="s">
        <v>1446</v>
      </c>
      <c r="H1001" s="47" t="s">
        <v>61</v>
      </c>
      <c r="I1001" s="47" t="s">
        <v>66</v>
      </c>
      <c r="M1001" s="47" t="s">
        <v>1438</v>
      </c>
    </row>
    <row r="1002">
      <c r="A1002" s="328">
        <v>44686.0</v>
      </c>
      <c r="B1002" s="47" t="s">
        <v>56</v>
      </c>
      <c r="C1002" s="47" t="s">
        <v>49</v>
      </c>
      <c r="D1002" s="47" t="s">
        <v>44</v>
      </c>
      <c r="E1002" s="47" t="s">
        <v>22</v>
      </c>
      <c r="F1002" s="47" t="s">
        <v>16</v>
      </c>
      <c r="G1002" s="47" t="s">
        <v>1447</v>
      </c>
      <c r="H1002" s="327"/>
      <c r="I1002" s="47" t="s">
        <v>115</v>
      </c>
      <c r="J1002" s="47" t="s">
        <v>334</v>
      </c>
      <c r="M1002" s="47" t="s">
        <v>1438</v>
      </c>
    </row>
    <row r="1003">
      <c r="A1003" s="328">
        <v>44676.0</v>
      </c>
      <c r="B1003" s="47" t="s">
        <v>56</v>
      </c>
      <c r="C1003" s="47" t="s">
        <v>30</v>
      </c>
      <c r="D1003" s="47" t="s">
        <v>44</v>
      </c>
      <c r="E1003" s="47" t="s">
        <v>22</v>
      </c>
      <c r="F1003" s="47" t="s">
        <v>16</v>
      </c>
      <c r="G1003" s="47" t="s">
        <v>1448</v>
      </c>
      <c r="H1003" s="327"/>
      <c r="I1003" s="47" t="s">
        <v>127</v>
      </c>
      <c r="M1003" s="47" t="s">
        <v>1438</v>
      </c>
    </row>
    <row r="1004">
      <c r="A1004" s="328">
        <v>44676.0</v>
      </c>
      <c r="B1004" s="47" t="s">
        <v>56</v>
      </c>
      <c r="C1004" s="47" t="s">
        <v>36</v>
      </c>
      <c r="D1004" s="47" t="s">
        <v>27</v>
      </c>
      <c r="E1004" s="47" t="s">
        <v>22</v>
      </c>
      <c r="F1004" s="47" t="s">
        <v>16</v>
      </c>
      <c r="G1004" s="47" t="s">
        <v>1449</v>
      </c>
      <c r="H1004" s="47" t="s">
        <v>112</v>
      </c>
      <c r="I1004" s="47" t="s">
        <v>66</v>
      </c>
      <c r="M1004" s="47" t="s">
        <v>1438</v>
      </c>
    </row>
    <row r="1005">
      <c r="A1005" s="328">
        <v>44650.0</v>
      </c>
      <c r="B1005" s="47" t="s">
        <v>75</v>
      </c>
      <c r="C1005" s="47" t="s">
        <v>30</v>
      </c>
      <c r="D1005" s="47" t="s">
        <v>77</v>
      </c>
      <c r="E1005" s="47" t="s">
        <v>22</v>
      </c>
      <c r="F1005" s="47" t="s">
        <v>16</v>
      </c>
      <c r="G1005" s="47" t="s">
        <v>1450</v>
      </c>
      <c r="H1005" s="47" t="s">
        <v>112</v>
      </c>
      <c r="I1005" s="47" t="s">
        <v>127</v>
      </c>
      <c r="M1005" s="47" t="s">
        <v>1438</v>
      </c>
    </row>
    <row r="1006">
      <c r="A1006" s="328">
        <v>44650.0</v>
      </c>
      <c r="B1006" s="47" t="s">
        <v>75</v>
      </c>
      <c r="C1006" s="47" t="s">
        <v>26</v>
      </c>
      <c r="D1006" s="47" t="s">
        <v>77</v>
      </c>
      <c r="E1006" s="47" t="s">
        <v>22</v>
      </c>
      <c r="F1006" s="47" t="s">
        <v>16</v>
      </c>
      <c r="G1006" s="47" t="s">
        <v>1451</v>
      </c>
      <c r="H1006" s="47" t="s">
        <v>61</v>
      </c>
      <c r="I1006" s="47" t="s">
        <v>70</v>
      </c>
      <c r="M1006" s="47" t="s">
        <v>1438</v>
      </c>
    </row>
    <row r="1007">
      <c r="A1007" s="328">
        <v>44650.0</v>
      </c>
      <c r="B1007" s="47" t="s">
        <v>75</v>
      </c>
      <c r="C1007" s="47" t="s">
        <v>36</v>
      </c>
      <c r="D1007" s="47" t="s">
        <v>77</v>
      </c>
      <c r="E1007" s="47" t="s">
        <v>22</v>
      </c>
      <c r="F1007" s="47" t="s">
        <v>16</v>
      </c>
      <c r="G1007" s="47" t="s">
        <v>1452</v>
      </c>
      <c r="H1007" s="47" t="s">
        <v>61</v>
      </c>
      <c r="I1007" s="47" t="s">
        <v>66</v>
      </c>
      <c r="M1007" s="47" t="s">
        <v>1438</v>
      </c>
    </row>
    <row r="1008">
      <c r="A1008" s="328">
        <v>44650.0</v>
      </c>
      <c r="B1008" s="47" t="s">
        <v>75</v>
      </c>
      <c r="C1008" s="47" t="s">
        <v>36</v>
      </c>
      <c r="D1008" s="47" t="s">
        <v>77</v>
      </c>
      <c r="E1008" s="47" t="s">
        <v>22</v>
      </c>
      <c r="F1008" s="47" t="s">
        <v>16</v>
      </c>
      <c r="G1008" s="47" t="s">
        <v>1453</v>
      </c>
      <c r="I1008" s="47" t="s">
        <v>66</v>
      </c>
      <c r="M1008" s="47" t="s">
        <v>1438</v>
      </c>
    </row>
    <row r="1009">
      <c r="A1009" s="327"/>
      <c r="B1009" s="327"/>
      <c r="G1009" s="47" t="e">
        <v>#REF!</v>
      </c>
      <c r="M1009" s="47" t="s">
        <v>1438</v>
      </c>
    </row>
    <row r="1010">
      <c r="A1010" s="327"/>
      <c r="B1010" s="327"/>
      <c r="G1010" s="47" t="e">
        <v>#REF!</v>
      </c>
      <c r="M1010" s="47" t="s">
        <v>1438</v>
      </c>
    </row>
    <row r="1011">
      <c r="A1011" s="327"/>
      <c r="B1011" s="327"/>
      <c r="G1011" s="47" t="s">
        <v>1454</v>
      </c>
      <c r="M1011" s="47" t="s">
        <v>1438</v>
      </c>
    </row>
  </sheetData>
  <customSheetViews>
    <customSheetView guid="{4E722777-354C-41C4-BDAF-3C065BD42EC8}" filter="1" showAutoFilter="1">
      <autoFilter ref="$G$1:$M$1011"/>
    </customSheetView>
    <customSheetView guid="{35A93920-2C98-4ACF-95FD-9E549BB0A80C}" filter="1" showAutoFilter="1">
      <autoFilter ref="$G$1:$N$1011">
        <filterColumn colId="0">
          <filters>
            <filter val="issue: MIL drop 1.5        WH192393 D1        NEQE080016        Volume(up) button no function:D1(final)&#10;Solution:复测结果不明，升级软件后，功能测试ok"/>
            <filter val="[S2]Issue: Remove Max3108（I2C-&gt;Uart）,Current Drain reduce 6.5mA&#10;Clue:1.L19A 2.7V 1mA&#10;Root cause: &#10;1.UART Mode Config as Hi-z，improve 6mA&#10;2.Disable Internal PLL, improve 0.5mA&#10;Solution:1.Uart Mode Config -SW&#10;2.Disable Internal PLL-SW"/>
            <filter val="[S2]U5040 Solder joint&#10;Root Cause:1.Proposal:Soler Paste Over Volume&#10;Solution:1.Fine Grain Stencil&#10;Plan:Give Advice to SMT on Stencil Grain"/>
            <filter val="[s3] Issue:DVT1 ATT Drop(WH145506) Cap-sensor CH2 no function&#10;Root Cause:1.&#10;Solution:&#10;1.ME will change screw holes to optimize structural stress&#10;2.Optimize cap sensor signal line width(0.05-&gt;0.2)"/>
            <filter val="[s3] why sofia na using 3+4+3 PCB Layers while sofia row using 2+6+2 which lead to cost up 0.4$-0.5$?&#10;clue:Sofia NA PCB design is compatible with Sofia+ NA/row&#10;clue:NSMD on Memory and CPU in Sofia Row&#10;RootCause:1) PI/SI Simulation not Pass&#10;2)SMD"/>
            <filter val="[S3] Issue： EDU14 WH168701 , D1 After 150V surge pulse test,Cannot charge phone by USB.&#10;Clue： 1. RD can not reproduce when get D1&#10;exp: D1 do test again&#10;Root Cause:  1.  Monitor&#10;Solution:   TBD"/>
            <filter val="[S3] Stingray_TCC_ALT:1 unit auto power off after drop test  ，CR IKSWP-53809&#10;  DVT2A   1time in Loop3 （total  3 groups of ALT ） ，DVT2B  1time in Loop4&#10;monitor"/>
            <filter val="[s3]Issue:Edu03  15KV Air Discharge at  MIC3 ,System auto power off&#10;clue&#10;1:  6 units (2units TCC+4units new drivers) 15KV +200 times/unit ,Result :Pass&#10;Root Cause:&#10;1.  SW issue&#10;Solution:&#10;1.Monitor DVT1 TCC test pass"/>
            <filter val="[S1]Issue:With the charger can't turn it off,Will be automatically power on&#10;Clue:&#10;Root Cause:Mobile phone input ALT special instruction(fastboot oem off-mode-charge 0)&#10;Solution:Eliminate the instruction( fastboot oem off-mode-charge)"/>
            <filter val="[S3]Issue: DVT1A Soifa NA (WH118794) :Unable to power on.B1(2)&#10;Root cause: 1.Pmic Crack Vertically&#10;Solution:Feedback to ME，ME Follow"/>
            <filter val="Issue：  无线充SW在ADSP 里面初始化配置后 PMIV0102 的GPIO08作为中端口，实际测试无法收到中断&#10;Rootcause ： PMIV0102的GPIO 应该是不能作为中断使用。&#10;solution：   将WLC_DET改到CPU的GPIO63  。EVT导入 &#10;Action：0511  已通过飞线将更改后的口rework 出来 初步看符合需求，可以控制并收到中断了&#10;     EVT 确认OK"/>
            <filter val="[s3]DP over Usb-c didn't work on AR Prototype of  nReal（若太科技）&#10;Clue:1.Work on DP Display&#10;RootCause:&#10;1.USB SS&amp;DP Coexistance Config?&#10;Exp:Get USB+DP Hub to verify the co-existance&#10;2.Not Fit with This AR(Need Customization)"/>
            <filter val="Board Test Issue:2 PCS Board Fail&#10;1.Vr1421 TVS  damaged;（0.5mA current increase） &#10;EOS damage from FA report of vendor:&#10;2.U1205  PM8940 chipset damaged;(MPP2 pin damage)&#10;3.Not happened then in DVT1 build&#10;need vendor analysis report."/>
            <filter val="【故障来源】PVT MXc03跌落试验。&#10;【复现现象】敲击主板的时候图像卡住，重开相机可恢复。测量连接器各个引脚阻抗、连接正常。&#10;【历史线索】产线也有发现几台主摄异常，有发现U1000 和J3150-15印刷少锡。&#10;【推测原因】U1000 MIPI引脚缺锡断裂，震动时断路，MIPI信号终止，CQA图像卡住。&#10;【Next Plan】&#10;1. X-ray查看锡量。=====&gt; 无异常&#10;2. 安排切片查看U1000和J3150引脚是否锡球断裂。===&gt; 发现J3150连接器底部出现开路情况（报告待更新）"/>
            <filter val="[S2]Issue: 1. EVT with umcp cannot download &#10;Root Cause:1: There is no LUN in Blank umcp, ufs needs to be provisioned before download.&#10;Solution:provision UFS First"/>
            <filter val="Issue: Alt 3台滚筒 不开机，1台MIL不开机.&#10;    故障现象：开机了反应速度也比较慢，关机后，插充电器充电5V/0.3A&#10;RootCause：电池连接器松了， 甚至主FPC也松了&#10; &#10;Solution：ME"/>
            <filter val="[S3]Issue: DVT1A Soifa NA (WH118493) :Unable to power on.A5(4)  (Unexpected auto power off first A5:drop back side&#10;,and then after drop right side,can not power on)&#10;Root cause: Solder Crack&#10;Solution:Feedback to ME，ME Follow"/>
            <filter val="Issue:Mods I2S Tx no out&#10;RootCause:I2S Tx ，Rx Switched in front of MUX input&#10;Solution:&#10;     1. Short TX,RX,  -liguoa---I2S verified OK&#10;     2.Switch TX ,RX on EVT-2  -liguoa - Done&#10;&#10;Verification:Verify on EVT2"/>
            <filter val="Issue：1pcs P-sensor no function in ATT drop  ，D3&#10;Rootcause：initial fail 。临时rework 装配问题，泡棉装偏了。"/>
            <filter val="[s3]EVT TMO tumble WH156479 1st,P-Sensor no function&#10;Clue:issue follow mainboard&#10;rootcause  ：1.P-Senser line on corner damaged in inner layer.&#10;solution：1.change line to next inner layer.  2.other rest line expand to 0.2mm&#10;DVT1 ok"/>
            <filter val="[S3]  Issue ：SOL LED light guide  performance not good&#10;Root Cause:   need to check the phone with ME&#10; solution : ME own"/>
            <filter val="[S3]Issue: Soifa+ uplink no signal on headset mode used 02b sub board&#10;Clue: The mic which tear down from board is ok.&#10;  Root cause: The mic hold on the 02b sub pcb is blocked off, PCB vender process error."/>
            <filter val="[NA]陈文亭机器：遇到一次按开机键开不了机，插QC快充充电器，没反应，SOLLED 也没反应。&#10;clue:1. 前一天充满电，然后放在抽屉里面&#10;   2.SW 版本 denver_retail_userdebug_11_RRE31.1_e3622e_intcfg-test-keys_retail_US&#10;   3. 电池  断掉一次后故障现象暂时不复现。开机显示电量96%。&#10;合并到 后续总issue里面"/>
            <filter val="[S1]issue：EVT WH163344 1 pcs  背压第9点界面异常，第11点时不开机&#10;Analysis: &#10;1.样机未复现故障现象&#10;2.之前出现故障前出现安卓小人界面，怀疑死机导致，SW 抓下log 进一步分析&#10;Root Cause: &#10;solution："/>
            <filter val="[S1]Issue: Main Camera preview flicking after ATT trumble 400 cycles&#10;clue: 1. camera ois get gyro data fail&#10;2. a+g function fail in CQAtest&#10;rootcause: PCB conner broken&#10;solution:   ME FA"/>
            <filter val="[na]Risk:33W Charging full power rate  Verification&#10;Exp:SW build a Open limitation of 33W and verify. Result: 6/2&#10;BB test done. No issue related power found."/>
            <filter val="[S3]Issue:SDA Pin of a MOD connector short to GND&#10;Clue:&#10;Root Cause: The mod connector short circuit&#10;Solution:DVT2 will change the old connector&#10;Plan:"/>
            <filter val="Risk：IBIS Swiwming Water Proof Fail&#10;2017-8-28：IP68 Canceled on NPI，turn NA&#10;Solution：Reserved ADC on CC1 for anti-water research ,Research it on EVT"/>
            <filter val="Issue：前置bringup camera不出图&#10;rootcause：MIPI timming THS-settle(ns) 不满足协议要求&#10;Solution：修改MIPI timming"/>
            <filter val="[s3]Issue:Test Thermal @元神 keep 60FPS，46°C observed.  &#10;info: Mdu30 Pass.&#10;Root Cause:1.High Performance Game Mode.&#10;Solution:1.Optimize Thermal Config to meet thermal target.  on - going."/>
            <filter val="[S3]PCB from redboard silkscreen layer was broken after cleaning underfill gel &#10;clue: 1. problem was not with Compeq PCB&#10;2. Redboard slice the offending PCB and Compeq PCB&#10;Solution: Redboard will thicken film of silkscreen layer as thick as compeq's"/>
            <filter val="Risk:Type C ，switch control logic is correct？&#10;Conclusion: It is ok"/>
            <filter val="[s3]Issue: DVT1  some Board  IF fail&#10;Clue：SW log 手机会在开机阶段，GPIO01会拉低，检测到上键被按到，如果设置了factory mode,会进入fastboot mode的问题&#10;Root Cause:  &#10;Solution: 1. temp：SW config GPIO01 of PMR735A （V+） 在判断key之前，先把gpio01设置为pull up"/>
            <filter val="[S2]Issue:Alt test after ESD,GamePad Mods keypad no input&#10;Clue:&#10;RootCause:1.ANX7805 Usb Port Damaged 2.ESD Proect May not enough&#10;Solution:1.Optimize ESD Protection，DVT2A imported&#10;Plan:Monitor DVT2A Test Status"/>
            <filter val="Issue：12GB DDR can not run up to 4.2Ghz，only3.2G&#10;Clue：8GB OK.&#10;Rootcause: 高通在代码中限制12G频率跑到3.2G&#10;Solution: 高通提供patch，8-14号软件包含patch，确认已经跑到4.2G。SI启动测试。"/>
            <filter val="[s2]Issue:London NA unexpected reboot&#10;clue:    Power off reason[PMIC][0xD] reg=0x40 which mean power cycle due to Long press powerkey &#10; 1.Suspect Power key stuck&#10;solution: change Key to panasonic 。monitor"/>
            <filter val="[S3]Issue:The video was stucked(Picture jammed) during ESD testing&#10;Root cause: 1. SW bug(IKSWP-73588)&#10;Solution: SW version update"/>
            <filter val="[S3]Risk:CE ESD Usb Link Fail&#10;Verification:on-going &#10;EVT pretess ok"/>
            <filter val="Issue：TCC报一台机器VBAT端EOS-150V Fail，另一台，机器复测后Pass；&#10;Clue：EOS走线Review，未发现问题；&#10;RootCase: 机器正在寄回，收到后分析 —— D4样机收到后，测试正反OTG都OK，故障无法复现，继续Monitor&#10;Solution: 1.DVT2主板，VBAT端浪涌管增加下地打孔；2.继续Monitor 3. 寻找更好的浪涌管，型号: ESD56301D04-2_TR（晓云推荐）—— Prado上有验证过"/>
            <filter val="Issue：MIC2气密性问题&#10;Rootcause: MIC 焊盘镀金，需要更换为OSP&#10;Solution: 更改主板和小板MIC焊盘为OSP，DVT2更新器件库&#10;LL:MIC器件库修改为OSP，库里已经把项目中不用的MIC器件库删了，目前器件库里存在的MIC器件库全部为新的OSP器件库。"/>
            <filter val="Description :Turbo charger always not charging after charging a little time"/>
            <filter val="[s3]Issue:No SPI Port for Mods  &#10;Root Cause:  SM6150 not enough AP  SPI &#10;Solution: add 1 Switch to solve it &#10;Action：Done. Already designed in Stingray and completed development. Update the design diagram here."/>
            <filter val="ALT/AT&amp;T -Boot up Failed"/>
            <filter val="Issue:MXC06 WH177228 Unable to power on:D1/D2(270）&#10;Clue:PMK_VREG_BB is only 0.5V at msm side and 1.2V at PMK7450&#10;Root Cause:PMK_VREG_BB 在Layer11平行屏蔽盖轨迹的地方断开 &#10;Solution: 加宽PMK_VREG_BB 在Layer11平行屏蔽盖轨迹这一段的走线"/>
            <filter val="[na]Issue: TMO drop WH160497   D6   NKCT130126 no audio function/no vibration(25)/unable to detect SIM card(29)/2nd L-sensor no function:D6(56)&#10;Root Cause:1.Stack connector damaged lead to failure ,ME tracking"/>
            <filter val="[s1]Issue ： &#10;M21 Shock Method 516.8 Procedure IV        WH196390&#10;D1        NEQR480147        Unable to read SIM Card:D1(26,Bottom right Back Corner)-&#10;TA-LotX Tumbler Test        WH196385&#10;D2        NEQR480203        Unable to read SIM Card：D2(300)"/>
            <filter val="[NA]   Yukon  DF  DP issue   IKSWR-137479&#10;cable issue &#10;change a cable and ok"/>
            <filter val="[S3]Issue:  Jtag pin wrong&#10; Root cause:  copy racer sch but replace connector with sofia parts&#10;Solution: 1. EVB-B  wire out for bringup---done  ，bringup ok&#10;         2.EVT change SCH refer to sofia sch---done &#10;20200313 V04 PCB checked ok by Wangxf14"/>
            <filter val="Issue:WH160519 B3        NKCT1D0011        Unable to enter system:B3(1)-TH/TC&#10;Clue：&#10;Rootcause:    4 units all recovered after recharging the battery. Low battery leads the phone can't enter system.  monitor"/>
            <filter val="[S3]Issue：EVT ALT WH124343，No Turn On ,A1&#10;Clue:Main FPC connector deformed.&#10;Rootcause： assembly issue&#10;Solution: ME Own 1.correct Allsmbly  in DVT1.   2. checking if need to change Main FPC for better Allsmbly"/>
            <filter val="Issue:FFRP ID 167519&#10;No Mic Audio &#10;RootCause: &#10;MIC brocken&#10;Solution:&#10;1. Audio team owe"/>
            <filter val="Issue：DVT MDu94.A - Extreme Drop Test        WH202994        D5        N4AE060004        Post check:No front camera viewfinder:D2/D5&#10;Post check:Unable to find NFC device&#10;Rootcause：前置摄像头脱落，结构泡棉问题。"/>
            <filter val="[S3]Issue:[London NA][Factory][BT][DVT2]BATT_CURRENT_CAPSWITCH_CHARGER_ Fail&#10; NTF&#10; solution: 1.加retry ，每次retry 增加0.1V，并在每次retry 都是Ibus 测试完直接测试Ibat  。&#10; 2.低门限放宽一些，从2.5A改为2A"/>
            <filter val="Issue：ISSUE: Back pressure automatic shutdown/Unexpected auto power off:D3(NEQE220145)(250N/300N)21:00pm 8/5/2025 D4(NEQE220240)(300)，https://idart.mot.com/browse/IKSWW-30027&#10;Clue：1. 机器带回无法复现问题， 等待软件log分析&#10;           2. 单板实验结果待测？&#10;&#10;屏蔽盖内绝缘纸被顶破"/>
            <filter val="[S3]Issue: BSP Target 32.1 Hrs，Current 29.8 Hrs. EBL on DVT1A 20Hrs&#10;Current BSP on NA version,32.8Hrs"/>
            <filter val="[S2] Geneva5G Polit首批ALT测试后Audio问题&#10;现象：Left Loudspeaker no function.&#10;root cause: recv装配歪斜&#10;Analysis: &#10;       1. log: i2c probe成功，不是之前见到的i2c断线。&#10;       2. spk, headset mic正常&#10;       3. ME分析 -- recv装配歪斜"/>
            <filter val="[S3]Issue：EVT ALT WH124343，loop2，unable to power on after top right corner drop:A1(2)&#10;Rootcause：DISPLAY FPC在近主板B2B的弯折区有严重变形，并且display module的B2B 边框区域有明显塌陷，图片已上传GD&#10;主板没有问题，更换display module后可以正常开机。ME&amp;KP own the issue tracking"/>
            <filter val="[s3]CQA测试过程中主机dump-IKSWT-54990&#10;Info: DVT2, Samsung 4+128 memory&#10;exp1: 交换memory --- issue follow memory ---&gt; 寄memory给三星分析"/>
            <filter val="[S3]Issue :WH160450 ALS、PS No function  A5(5)                        &#10;Root Cause: P-sensor damaged  &#10;Solution： change PCB outline near P-sensor 。（Y+0.15mm to protect sensor componnet）,DVT2 import ,monitor"/>
            <filter val="issue:Initial check:Headset no function/OTG no function/USB charging is normal, but fail to connect computer:D4-D4知勇带回厦门分析&#10;Clue: 快充测试ok, 连接电脑不识别口。判断D+,D-有异常。&#10;Rootcause：D4 这台是共模滤波器 FL500 掉件&#10; 查看FAEDVT1不良板分析，至少发现7PCS FL500掉件&#10;ME 主导和产线装配沟通，修改装配手法和增加治具。 DVT2 导入"/>
            <filter val="[s3]Issue: there are some phone freeze and dark screen problem inDF&#10;clue: 1. &#10;Root Cause:  SW&#10;Solution:"/>
            <filter val="[s3]Risk: ALT ESD C1  +15KV  Zone3/4/6/7/8 auto power off，adn enters the system crash interface. recovered after pressing power key&#10;clue: 1.   &#10;Root Cause:  &#10;Solution:not reproduce"/>
            <filter val="[S2]Issue: shelby 售后不开机主板，分析CC1和CC2 pin 损坏比例较多，评估是否能改善&#10;6150 CC1,CC2 耐压22V，Better than 660 which is only 6V.&#10;Iteration:Review"/>
            <filter val="Issue：首版验证，AI key无测试界面，测量AI key的电平1.3V&#10;Clue :bringup 时ok得。&#10;rootcause：SW 其他模块配置改到这个GPIO得配置了，导致配置出问题&#10;solution ：SW 清理并修改配置部分，临时版本确认ok，CQA有AI key得测试界面 也确认测试ok 。   SW IKSWW-8434 导入改进措施"/>
            <filter val="Issue： WH192420 C1        NEQE080018        Rear flash light no function-间歇性无作用&#10;Clue：实测无作用&#10;RootCase：FPC接触pinw位置接触不良，原因是背胶太小，拆装后无粘性&#10;Solution: 结构增加背胶"/>
            <filter val="[s3]Issue:Hand-Free Mode Mic -65dB,Spec -71dB&#10;Root Cause:1.Mainboard Mic Routing&#10;Solution:1.Modifiy Mic Routing,DVT1 Verify.&#10;20201218:updata DVT1: -76dB ok"/>
            <filter val="[s3]Issue ：   Equator 关机不充电 问题IKSWW-51939&#10;线索：1.一次QC3+33W充电器故障后，不充电的时候，看到Vbus5V Ibus80mA左右。D+D- 电压3.05V&#10;   从这些信息推测：1.CP的OVP是打开了的。这样才有80mA这么多的电流。  2. &#10;  补充模拟实验：1 ：正常关机的时候，DP DM 外部强拉3V，再插入QC3+充电器，看一下波形和机器的表现。"/>
            <filter val="[S3]DVT1-1 ALT(WH12455) A6(5) Magnetometer no function&#10;Root Cause:1.M-sensor crack  2.M-sensor too close to board edge&#10;Solution:1.V07 PCB  change M-sensor far away from board edge ,done。 monitor"/>
            <filter val="[S3]Issue:  Cap sensor  impact  Active pen &#10;Root Cause: Both Cap snesor &amp; Active pen Woring Freq 25Khz &#10;Solution:  Evalute change Cap snesor Woring Freq to 41Khz , there some bug ,need to be fixed &#10;     Can not use 41KHz ,No time for the SW update."/>
            <filter val="[S3]Issue：USB  3.0 SS ，flip test fail ( 1 side can work )&#10;RootCause: SW Config&#10;Solution:SW re-Config"/>
            <filter val="[s2]Cap/SAR sensor no function:C2(CH2)(15KV), DVT2B ALT WH159234 2nd&#10;RootCause: cap short demaged by ESD&#10;Exp1: add tvs on path,  to be verify by Hank&#10;Exp2: monitor in PVT ALT test&#10;Solution: Add TVS on cap sensor ch2"/>
            <filter val="[S2]Issue:Display Bringup not complete. AVDD over voltage. &#10;Root Cause:1.PM6150A not correctly config ,  &#10;Solution:re configuration PM6150A,Verification Pass"/>
            <filter val="[s3] Issue: WH125660 A5，B1 auto poweroff 1 time&#10;Clue：Ramdump show it not  poweroff but ramdump too&#10; Root cause ：same as IKSWQ-89850，a QC bug .  found in ESD test too IKSWQ-85825&#10;Solution:fixed in SW 30.22 . monitor"/>
            <filter val="[NA] Issue:   1 EVB2  board  RT9246 fuelgauge  Device ID read error"/>
            <filter val="[S3]Issue：Nairobi 目前的SW 关机状态下，短按开机键 屏幕会闪一下,CR(IKSWQ-79283)&#10;Clue： 时序测试：现短按开机键时，mipi输出后，背光亮起的时间有差异。短按是mipi数据输出60ms后，背光开始输出，长按开机键，mipi数据输出500ms后，背光开始输出. 希望SW 分析&#10;Rootcause：SW reply 结合代码走查，发现了个code的BUG,预计解决 by  4/2&#10;check ok with SW 4/8"/>
            <filter val="[Monitor] Issue: Build found some M-sensor surface scratches &#10;monitor  SMT process from5/11  by  NPI"/>
            <filter val="Issue： 60W充电情况下，地磁输出的方位角度会被干扰，最大可能偏转60度。PRC版本表现很明显，EMEA相对正常&#10;Clue： 1.地磁附近的螺丝孔，锁紧后地磁角度偏转明显，拧松后角度偏转很小。&#10;            2.DVT1(V05)版本相比EVT(V04)，ANT增加了BOT面地磁附近螺丝孔的露铜。&#10;RootCase:充电场景下，地磁附近的地通过中框回流到GND。回流电流产生的磁场影响到地磁感应到的磁场，造成精度偏差。&#10;solution：和ANT确认，螺丝孔露铜去掉，回到EVT状态"/>
            <filter val="[S2] DVT2 WH143213 ALT A1这台有出现跌落后P/L sensor no function，重启后P-sensor 恢复，但是L-sensor问题还是存在，Loop5（NYKC2F0130）&#10;Clue：Issue：ALS can not go DARK status （maybe light leakage）&#10;Root Cause:1.   CG  tilted(CG翘起) increased ALS reading&#10;Solution:ME follow"/>
            <filter val="[S3]Issue：EVT ALT WH124343，loop1，Cannot enter front camera mode:A2(1)&#10;Rootcause：ME FA   B2B Issue  ，should be assembly cause connector damaged  4/2"/>
            <filter val="Issue：金手指厚度做成0.3mm，Spec is 0.2+/-0.02mm&#10;RootCause：some DFM mistake confirmation between CAD &amp; Hongflex&#10;Solution：&#10;1.grinding thinner 10pcs by hand- fanlf/liujjg  10/13 done &#10;2.Hongflex re make the sample (10/12)  chenwt"/>
            <filter val="[S3]&#10;1.4 pin 版与2 pin 版的利用率 （方正使用2pin可以提高）&#10;2.打孔的数量&#10;3.贴片效率&#10;4.打板的数量，华为4次，oppo 2次 ， 影响他的交付，&#10;5.混搭大板和小板&#10;5.阻抗线低于40um的，LDK，355D，射频要求45um以上，285."/>
            <filter val="Risk:NEW MODs connector SMT RISK( Can  pass Build and can pass ALT)&#10;Conclusion: here"/>
            <filter val="[S3] DVT1  Mdu30 Failed on Charging Scenario(7.1°C@back,4.0°C@Front).&#10;Root Cause:1.SW Bug and Thermal config fine tune.&#10;Solution:1.SW Bug Fix and import New Charging Thermal Config.  RD Validated pass."/>
            <filter val="[S3]Issue: WH168459,Cap sensor ch1 no function:D1(25)&#10;clue: &#10;rootcause: Main board was broken by stress&#10;solution: ME Own"/>
            <filter val="[S3]Issue: DVT1A Soifa NA (WH118735) :Unable to power on A5(1),B2(1),B3(1)&#10;  A5,B2,B3:drop back side.&#10;Root cause: 1.PMIC Crack，all of 3.&#10;Solution:Feedback to ME"/>
            <filter val="[S3]issue：EVT WH163350 D3  After -15KV air discharge at zone8,Unable to detect SIM Card，unable  to recovered&#10;Analysis: 检查SIM接地良好&#10;Root Cause: &#10;solution：SIM1 IO 串联33R电阻"/>
            <filter val="Risk:Use typeC For earphone interface，How to design FM（ANT） ？&#10;Action:1.Inform Risk to RF,RF Own  -Done 6/16"/>
            <filter val="Issue：TCC  NEQE080036  SIM 无作用，无线充无作用，cap sensor ch3无读&#10;clue：可以复现&#10;RootCase：无QCN，不是SIM卡，Capsensor CH3参数问题， 无线无作用跟踪到无线充的问题1&#10;Solution: 机器给TCC需要校准，不能调测。cap 参数软件去调试。无线充问题1，刷了修复版本后ok"/>
            <filter val="[S2-&gt;S3] Issue:1.Qualcomm feedback SM6150 Reference Design on 8/13, &#10;Update 8/17：Qualcomm Upload on Create Point on 8/17&#10;Root Cause：1.Qualcomm Design Spec Release not follow Schedule, &#10;Solution：1.Follow up Qualcomm"/>
            <filter val="[s3]issue:EDU03 WH164325 2nd NFC unnormal&#10;clue:&#10;root cause:&#10;solution:"/>
            <filter val="[S2]Issue:  ALT, ESD, headset MIC no function&#10;clue: dvt1 二供有开始验证中芯的codec，可能与芯片厂变更有关&#10;待确认故障位置&#10;Exp1：&#10;Exp2：&#10;rootcause:  &#10;solution:   C2718 33pf电容为改TVS，降低概率"/>
            <filter val="DP compatible issues"/>
            <filter val="[s3]Issue: CH1 fasle trigger in DVT1 on AW96308, Semtech EVT ok&#10;Root Cause:1. CH1 diff value affected by hand holding bottom of the phone&#10;Solution:&#10;1.Vendor optimising with parameter"/>
            <filter val="[S3]Issue：EVT  ATT drop WH124356， Proximity sensor and light sensor no function:D1(27,T,1.25m),D3(12,B,1m),D4(45,T,1.5m)&#10;Rootcause：ME middle housing deformed  causing P-sensor component damaged,same as ME evalution test. ME own the issue tracking"/>
            <filter val="[NA] Issue：  Safity certification in Shenzhen Sporton , FOD test fail ,&#10;Root Cause:    FOD limit debug for certification&#10;Solution: SW  FW  update for FOD (change to 800)"/>
            <filter val="issue: DVT1 2供 ESD Air -8K capsensor no function,recovery after reboot&#10;Clue1：上支架ANT1 LDS pattern距后盖缝隙很近（天线功率不足需要足够LDS pattern需要足够靠近边框天线）&#10;厦门和武汉无法复现"/>
            <filter val="[S3]Issue:User Feedback Quattro Got Hot using 65W Type-C Charger（T480 Note Book）&#10;Clue:Test 65W , Issue Can't Reproduce in XM SW,XM HW,BJ Thermal&#10;Root Cause: Need confirm Issue first."/>
            <filter val="Risk:M-sensor placed on side of battery ,some Assembly risk&#10;Evaluation: 1. check with AKM porformance .  2. can we put it on main PCB?（base on new stacking）&#10;Conclusion:Place in the middle of Side Key FPC"/>
            <filter val="[S3] Issue：[Tesla][Factory][IF][PVT]WAIT_FOR_NETWORK_INTERFACE_ARRIVAL_POST_FLASH&#10;Clue：实验室复现类似问题，发现这时候，Ibus 一直是0A ，也就是没有抽任何电流， 需要SW 分析下log ，为什么&#10;rootcause：产线设置Vbus 6.5V触发chargepump 默认的OVP最低值6.3V. &#10;solution：产线设定Vbus电压到6.2V."/>
            <filter val="Issue ：Manaus NA DVT2 所有机器无线充电都不能正常工作。&#10;Rootcause：E2001 位置焊盘没有开窗，虽然有钢网，但是E2001 器件贴不住。 导致Vout 不导通。&#10;短期方案：rework 板子，恢复EVT的通路方案（刚好还预留，没有删除）"/>
            <filter val="[s3]issue:EDU03 WH164325 2nd SIM card insert detected fail&#10;Root Cause：SIM1_INT pin short to GND&#10;solution：ADD TVS on DVT2 ,TCC Validated Pass"/>
            <filter val="ALT issue: After loop2 post drop inspection, phone heat up: B2&#10;1.off current more than 500mA&#10;2.EOS problem.Not happened then in the next ALT test."/>
            <filter val="[NA]Issue:TMO Thermal Pre-Test Fail ,Gap 5°C&#10;Root Cause:Can't Meet TMO Standard&#10;Solution: Waiver With TMO&#10;Plan:&#10;1.TAM Dialog with TMO on this case by TBD"/>
            <filter val="Issue：EVT  EMEA P+ESIM， Unable to read PSIM Card ， failure 4pcs （2 Alt, 2 xiamen ant ）&#10;Rootcause ：校准数据丢失"/>
            <filter val="[S3]Task: USB 2.0 eye test  ， devices mode test done and pass"/>
            <filter val="[S3]Issue:DVT1 Cap Sensor not work after ESD.  &#10;clue:Sending Unit to Xiamen. 3/8&#10;Root Cause:1.No tvs Protect for this channel&#10;Solution:1.Add TVS on failed channel."/>
            <filter val="[S2] Issue:Obvious line noise on 108M image preview in darkness.&#10;Root Cause:1.AVDD power  noise&#10;Solution: &#10;1.Optimize AVDD Power feedback routing,DVT1 Improved&#10;2.Optimize AVDD Grounding on DVT2"/>
            <filter val="Issue:Barometer 放快充背面，温漂风险&#10;Action：快充同时用气压计场景少，漂移范围可以接受，无更合适位置"/>
            <filter val="[S3]Issue: A+G 上电时有个51mA VDD脉冲电流&#10;Clue：MISO 和 电流脉冲有周期性出现，可能有关系&#10;Root cause: PIN2/3(connected to GND) sink current&#10;Solution: PIN2/3 connected to VDD/VDD set to NPM mode at power up"/>
            <filter val="[S3]Issue  ：EDU03  WH159065 D3 After -8KV air discharge at zone9(Aging10),Mic1 and Mic2 no function,recovered after reboot.(only once not count 2022/12/6 15:09)&#10;rootcause:  N/A&#10;Solution ： Monitor"/>
            <filter val="Issue：Edu 03 ESD test，D6 After - 15KV air discharge at zone12 (Aging 10),Cap/SAR sensor ch0 no function, unable to recover&#10;route cause：R4509 open &#10;solution：add tvs"/>
            <filter val="[s3]Issue: RS  pretest fail. noise value over 15DB&#10;Root Cause:New .Analog Switch FSA4480UCX need new parameter&#10;Solution:1. SUB1,SUB2 add 100PF /REF,R,L change to 0R / REF,AUDIO_GND add 1NF, Validated Pass.&#10;DVT2 Import."/>
            <filter val="Issue: DVT2 2 PCS Cap Sensor No function&#10;Clue：1.Main FPC BTB connector Pin burned in sub board side&#10;             2. Cap_ANT1 short to GND after burned&#10;Root Cause: ？&#10;Solution: ?"/>
            <filter val="Issue: PUD  EVT1---DVT2 CT值偏大&#10;Clue: 泡棉位置和大小对值影响非常大&#10;Rootcause:&#10;1.1硅胶套作用的认知&#10;1.2隔离效果差，材料不合适&#10;1.3 参数&#10;2.材料隔离度的认知：实验设计&#10;Solution:&#10;DVT2B 研发验证，PVT 工厂验证&#10;Action:&#10;1. 1.8V增加RC电容，增强电源稳定性&#10;2. PUD板和中框之间改导电胶，解决原来泡棉值大的问题&#10;3. 中框和屏幕之间泡棉减窄，手工验证OK"/>
            <filter val="[S3]Issue:  CQA P-sensor No Value，ALS Stuck，Restart ok&#10;Root Cause: Share Same Root Cause with Intrupt hung.&#10;Solution: SW Fix"/>
            <filter val="Issue：CPU和redriver 之间没有串接电容 in EVB1&#10;Impact：EVB1板子USB3.0 没法工作&#10;RootCause：设计错误&#10; Solution：EVB1 rework for DFC 方案（去掉redriver）--ongoing  chenwt&#10;                   EVB2 主板上串联电容 --已更改进板子，待EVB2板子到达后bringup。预计4/8 SW收到板子"/>
            <filter val="[S3]Issue  TDD : receiver  mode .&#10; Root Cause: Up SPK PA  Capacitor noise &#10;Solution ： change to Low noise   Capacitor ,import in DVT1 .  &#10;DVT1  retest and similar to tundra ，acceptable"/>
            <filter val="[NA]   Yukon  DF  Device Rebooted - Stuck in Boot Screen   IKSWR-139460&#10;Clue ：1.L5E  LDO error in Ramdump log.&#10;QC CR：https://qualcomm-cdmatech-support.my.salesforce.com/5004V0000181Vef&#10;2. L5E is RF  Power for SDR&#10;RF Tracking this case"/>
            <filter val="[Monitor]  Issue: DVT1 EDu03【WH124662】&#10;light and proximity sensor no function:D4(15KV, Zone3）&#10;Root Cause:P-sensor  INT abnormal （35R to GND） ，Component damaged &#10;Solution 1：ME follow the glue quantity ( 0.38mm-&gt;0.5mm)，DVT2 import ，DVT2 EDU03 WH125964 pass"/>
            <filter val="P - sensor anti-fog test, at the same time arranged SKU1 and SKU3 SKU1 fail, but SKU3 pass"/>
            <filter val="#REF!"/>
            <filter val="Issue:Andriod CTS Camera test item PIP(picture in picture) Failed&#10;Root Cause:1.Rear Camera &amp; Front Camera Using the same CSI0 Data Channel 2.Share Same Reset Signal&#10;Solution:SW Disable parallel cameras for CTS test，  NO need to change HW CSI design"/>
            <filter val="[S1]Risk:Buttonless Design are not mature enough to introduce to Product"/>
            <filter val="[S2]Issue:  EDU03 WH169432 Rear flash light always on , and could not recover:D2/D6(15KV,zone14）, &#10;clue: PM6150C BOB short&#10;Exp1：Flash 导电泡棉没有接地（盖在石墨上），ME将下接地该区域避让开。&#10;Exp2：&#10;rootcause:  Flash 导电泡棉没有接地，导致PMIC被打坏&#10;solution:    石墨接地位置区域避让开"/>
            <filter val="[S3]Issue:  Sofia   auto power  power off  1 time , WH118417 D4,D10 （TMO Drop） ，top side drop&#10;Clue:1. Can not reproduce&#10;Root cause: &#10;Solution:1. &#10;Action:"/>
            <filter val="Issue： wide camera 背面有WIFI芯片，S3b 2P2 会干扰camera&#10;Clue：1. 在houston 上验证2.2V 会干扰wide camera            &#10;Rootcause : 13M sensor受到干扰&#10;solution： 预留隔磁片空间&#10;6/20：去掉隔磁片在WIFI最大发射功率，以及正常下载和上传时，测试RCN pass, 去掉隔磁片。 DVT1 monitor"/>
            <filter val="Issue: 6k contact discharge ,flash light unexpected off,recoverd after  triggering on/off button again&#10;Root Cause:1.FA&#10;Solution:1.Accept"/>
            <filter val="[S3]Issue: Alternate Operation Fail &#10;Root cause:1.Variant BOM can’t invoke Alternate Part &#10;       2.Alternate Part need same Symbol and Cells name. &#10;Solution:1.Develop tool to solve it ."/>
            <filter val="[s3]Issue ：FOD bringup fail&#10;Rootcause：the  FOD connector was 180 degree turned&#10;exp：&#10;Solution：modify PCB"/>
            <filter val="[S2] Geneva5G 量产首批ESD测试后不开机&#10;现象：测完ESD，放置一个小时，换成normal模式开机，2台有1台出现卡死在moto log界面。&#10;Analysis: &#10;       1. log分析：安卓没起来，data/misc_de/0/apexdata/com.android.permission/runtime-permissions.xml文件被破坏&#10;                 SW action: 40次清除log，重启没有复现。   （目前判断不是硬件问题）"/>
            <filter val="Issue:  VZW  ,EN55035 ,CS  fail&#10;Clue:   &#10;Root Cause: &#10;Solution 1： change Volume. changed  by adb and retest pass"/>
            <filter val="ISSUE：IF 有些板子不良后，需要强制下载才能恢复。&#10;Clue：SW 先主导看，这边只做一条记录。"/>
            <filter val="[S3]Issue:[London NA][Factory][UCT][DVT2]USB_HOST GET_USB_HOST_MODE_STARTS Fail  NTF&#10; solution：update test recipe for polling mode and issue not found"/>
            <filter val="[S2]Issue:Receiver TDD Noise   failed.&#10;Clue: 1.Codec affected,&#10;RootCause:1.Mic Side Tone Coupling&#10;Solution:1.Proposal:Resolve Mic up link Tdd Issue&#10;2.Side Tone Coefficient Adjust"/>
            <filter val="Andy CE Certification RE Test Failed"/>
            <filter val="[S2]WH111662 A3 ALT Loop2 Drop on left side , P-Sensor No Function. 12/12&#10;Root Cause:1.FPC wire open on strain corner lead&#10;2.FPC foldered in abnormal state&#10;Solution: Change FPC GND and Open  Area，on-going"/>
            <filter val="[S2]Issue:  front camera preview fixed on +6KV ESD CD on Receiver Deco &#10;Root Cause:&#10;     1.     Receiver Deco Grounding problem ,Need further check with ME &#10;Solution &#10;     1.Receiver Deco Short to Metal Housing, RD Evaluate ok,DVT1 Validate Pass."/>
            <filter val="ALT Battery current drain out of spec."/>
            <filter val="Issue S？:  KP camera power noise 测试，主camera测试数据超标4.5（标准4）&#10;Rootcause：IMX896 sensor 问题，参考wrangler也是超过4， KP判断pass"/>
            <filter val="[S3] NTF BT ：DVT1B   AMPS_MSMGPIO14_INITIAL_LOW_STATE fail&#10;Clue：&#10;Root Cause：1.Power Sequence Issue&#10;Solution：1.Initial C-Wire first，and start to test &#10;Plan：Verify on DVT2A"/>
            <filter val="RISK：ANT 上面 ATVS 的方案 &#10;BOM 评审结论：提出验证通过后加二供&#10;咱们只有一次DVT，要如何验证？&#10;8/4 结论：&#10;EVT 先用华新科 主要验证一供（样机 EVT BB申请了6台一供for TCC ESD）。 松下放到二供中的试产，并和邓玲沟通做两台ESD作为备用。（样机要和邓玲沟通好）&#10;DVT1 根据EVT的情况来定。 &#10;结果是都pass。"/>
            <filter val="[s3]Issue: Mdu30 , 1.LTE data call fail &#10;clue: 1. Pass last test, Retest Pass.&#10;Root Cause:  &#10;Solution:PVT Retest Pass."/>
            <filter val="[S2] Geneva5G Polit, ALT loop5, Light sensor功能异常，2台&#10;现象：light sensor参数异常&#10;root casue:  遮光膜开裂&#10;Analysis: &#10;      1. 测试暗环境正常。---&gt;电通路正常。&#10;      2. 结构拆机分析。----&gt; 遮光膜开裂"/>
            <filter val="[s2] Cap sensor  CH3 no function  in CQA test ，100%&#10;Rootcause： parameter not ready .  &#10;Solution: change parameter,New parameter tested  and CH3 can work.  by 6/22"/>
            <filter val="[NA] requirement:   气压计 sensor，  tdk的20100，目前反馈是spi 可以解掉OTP的问题，希望能把气压计挂到SPI上 ，系统资源是否可以？&#10;Solution:1.   厂家无SPI驱动，不往这个方向评估，close"/>
            <filter val="Issue： CT偏高，和Prado相同的参数，当前CT的max接近12000&#10;Clue： 1.交换前壳组件，不良跟随前壳组件。&#10;            2. ME对前壳组件灌胶切片，发现泡棉高度稍微高出SPEC。&#10;RootCase: 前壳组件隔离不良&#10;solution：ME增加泡面厚度，新泡棉机器预计07/16组装，跟踪试产数据&#10;next: 跟踪DF数据"/>
            <filter val="[s3] Issue: Bringup ，charging type  detection can not work &#10;Root Cause:  USB connection to charging IC incorrect &#10;Solution: 1. change PCB for EVT. done  2.EVB rework PCBA for charging related case bringup"/>
            <filter val="Issue: 4/3 已知DVDD LDO U3161有点问题，EVB2 ，已经rework板子 bringup。EVT 更改进入主线&#10;RootCause：VIN和VBIAS 连接反了，没有识别出来。&#10; Solution：EVB rework 让LDO能正常输出-- camera bringup的板子done&#10;                     EVT 更改SCH，VIN和VBIAS  纠正过来，已提交修改，待导入 --wuxm5"/>
            <filter val="issue :DF  charging slow"/>
            <filter val="Risk:P-sensor  ，How to design it in Notch phone？&#10;Conclusion:Camera+SPK+P-sensor+camera,P-sensor on Flex ,now is ok.  needed further tracking if there is any change"/>
            <filter val="EVT ESD Fail,P-Sensor No Function"/>
            <filter val="[S1]issue：结构摸底测试中出现电感脱落（没有屏蔽盖）&#10;Analysis: &#10;1. 厂家同批次验证，未发现焊盘脱落现象。&#10;2.EVT 麦捷验证，未出现脱落现象。&#10;3.EVT 太诱TMO 跌落中未发现脱落现象。&#10;Root Cause:EVB没有贴屏蔽盖，可能是导致整机应力异常&#10;solution：后续跌落实验室继续跟踪，有问题再重新提出"/>
            <filter val="Issue:EvT2 can not recognize network in xiamen enginner lab&#10;Clue:1.Wuhan Fixture OK but Xiamen Fail 2 ADB can't Connect 3.EVT1 OK&#10;Root Cause:Limited Margin due to TVS used in USB D+,D- are 10pF&#10;Solution：Using New TVS with 1pF Capacitance"/>
            <filter val="Issue:Unable to power on&#10;   Clue:A3(1),A5(1),B1(1),B5(2)&#10;Root Cause:battery plug incorrectly&#10;Action： Factory correct it in coming build   monitor  2nd ALT test result&#10;ME own"/>
            <filter val="[s2]Issue: Back camera cannot take pictures&#10;clue:&#10;rootcause:  Not correctly connected after mic seal verification by ME&#10;exp:&#10;solution:"/>
            <filter val="ssue 1:  Taptap has a low recognition rate&#10;Root Cause: A+G sensor is on the low half of the mainboard, making it not responsive enough&#10;Action:        Move to top part of the mainboard&#10;Impact：Camera effect needs to be re-tuned."/>
            <filter val="IKSWR-143124&#10;SM8350// Yukon // R //Phone is OFF. Connect the usb cable, the phone keeps turning off&#10;关机界面的瞬间，插入USB，关机后不会自动进入关机充电界面&#10;1.not  a real issue"/>
            <filter val="Issue S3: CID no function&#10;Clue： 插入设备后，CID GPIO 电平只有1V VS 0.63V以下，所以获取不到中断&#10;Rootcause：  GPIO的上拉内阻 和串联的10K电阻 分压比例不好&#10;solution：   EVT 串联电阻临时改为1K电阻。（改为1.5K的临时更改验证ok） 负面作用：串联电阻太小，担心MP防护不够高，担心有问题。&#10;                     DVT1 GPIO 更改到上拉内阻比较大的，预计改到GPIO30 。rework 待验证"/>
            <filter val="Issue:FFRP ID 167513     01 - Does Not Power On at all        Device will not turn on&#10;Clue：Blank Display&#10;RootCause:&#10;1.Speculation: &#10;Solution:&#10;1. PM6150A  EOS ，monitor"/>
            <filter val="Risk: Thermal design check . there should be high thermal Risk ,need further check&#10;Evaluation:&#10;Conclusion：It is fine according to the latest Thermal Simulation"/>
            <filter val="[s3]Issue:TDD Noise Found in EVT&#10;Root Cause:1.Receiver Affected by Magnetic Field of GSM-PA which is closed to Receiver&#10;2.1 Multimode RF PA cannot meet the  TDD design rules-RF&#10;Solution:&#10;1.Add audio switch design for optimization validation"/>
            <filter val="After +15KV discharged at zone9(camera&amp;flash&amp;MIC2),Mic 2 no function:C2"/>
            <filter val="Issue S2:  EVT ATT tumble WH180784 Headset no function:D4(300)-&#10;clue：样机已带回厦门  8/26&#10;Rootcause： 耳机FPC断裂&#10;solution：优化耳机FPC外形和走线 ，import from DVT1&#10;DVT 1 一供没反馈问题"/>
            <filter val="Issue: 4/3 front camera 22 pin connect error&#10;RootCause：  NEW SPEC is NC，Old SPEC is power 。 没有用新SPEC进行设计&#10; Solution：EVB rework 割断连接器上22pin-- camera bringup的板子done&#10;                     EVT 更改SCH，VIN和VBIAS  纠正过来，  -- changmf1 done"/>
            <filter val="[S3] Sofia NA 54 Pin VS Sofia Row 40 Pin&#10;&#10;Root Cause:1.FM+Audio Jack&#10;2.1ME : Ensure Audio Second SPKer on top&#10;2.2 Proposal:PCB Compact Design&#10;3. Sofia Row Reference Sofa NA ,Have some Improvement later.&#10;&#10;Solution: 0.006$"/>
            <filter val="[S3]Issue: Macro camera bringup fail&#10; Root cause: Mipi design, CSI3 Lane0 P/N swapped.&#10;Solution: 1. rework to swap Lane0 P/N by flywire for bringup ok&#10;2. Correct connection in EVT sch&#10;20200312 V04 checkedok"/>
            <filter val="[S3]Risk:ESD May Damage Mods Pin&#10;Clarification:1.EVT Validate 2.ESD failure mode analysis&#10;Plan:1.Bettery Layout Protection&#10;         2.Better TVS with big capacitor and lower clamp voltage"/>
            <filter val="[S3]Issue:No Main display after Shaker right (WH114449 B3 loop1)&#10;Clue: &#10;Root Cause: &#10;1. can't turn on caused by side-key FPC Dome invalid.&#10;&#10;ME will be in charge of this issue."/>
            <filter val="[s1]Issue ：和Milos同组参数的情况下，Milos CT=6000，Prado P Sensor CT=39000。配houston硅胶套后，CT=9000&#10;clue:  1.  HW设计影响排除，ME差异待拉齐&#10;           2. ME设计确认，TP-PSA和Psensor泡棉 Follow Milos&#10;Rootcause：  中框和屏之间的泡棉无法防止CT，改用houston DVT2的物料后OK"/>
            <filter val="Geneva NA T4P 1台机器开不了机，充电发热   (机器准备做ALT，检查时发现故障）&#10;Analysis: PM6150C IC crach, BOB pin short to GND"/>
            <filter val="Issue：（定义为无线充电问题3）有些机器无线充电有图标也有1.5A左右电流进电池，但是CQA测试，无法返回电压和电流值。&#10;Clue:   SW主导分析&#10;Rootcase： &#10;Solution："/>
            <filter val="Issue：LPI GPIO can't use，Need xx more GPIO&#10;conclusion: Add IO Expander"/>
            <filter val="[S3]Issue:Remove the Charge,charge icon not disappear&#10;Clue:1.Only happen on AICL Closed&#10;Root Cause:1. PM660 Issue 2.Same as 98&#10;Solution:1.Qualcomm feedback no solution except enable AICL mode."/>
            <filter val="issue:Charging  slow in  DF"/>
            <filter val="ALT &amp; DVT滚筒实验出现 LTE no camp"/>
            <filter val="[S2]Issue:      DVT2A P-sensor TCMD unstable&#10;Clue:1. JOT Fixture may impact the test result ----ENG chen Huaiyu /WWTE Tang Muzong&#10;         2. SW  DVT2A_04   get the data different per test , should be some problem  ---SW  Huangjq9&#10;solution： SW&amp;WWTE Own"/>
            <filter val="[s3]Issue:WH144494 Rear flash light lens fusion:A1~A6,B1~B6(2)-TH/TC&#10;Root Cause:1.Flash on time set to S level,too long.&#10;Exp:1.Re-Config to the right parameter. Result:&#10;Solution：1.Fix config bug."/>
            <filter val="[na]Simulation:High Strain on BGA4 0.43%,BGA3 0.58%（pixworks&amp;Audio codec ）&#10;Root Cause:&#10;1.PCB Strain&#10;2.Drop Crash&#10;Solution:1.Monitor DVT1 ALT ， Red-Dye Data &amp; tumbler test result&#10;               2.Reserved DVT1B underfill ，need to check how to build DVT1B"/>
            <filter val="[s3] RISK:Charging  IC EN GPIO control ，can it work when  Battery is very low (System not turn on)&#10; &#10;Solution:test and check can charge dead battery . so no risk"/>
            <filter val="Issue:前置 Camera马达铁壳不接地，去除铜箔评估"/>
            <filter val="RISK: Display power 和SPK power 的输入端VSYS 过孔只有一个，有风险&#10;Impact：EVB板子不适合 Display 和SPK 最大功率使用，可能会烧毁板子。&#10;RootCause： review没有识别出来。&#10; Solution：EVB rework 让LDO能正常输出-- camera bringup的板子done&#10;                     EVT 更改SCH，VIN和VBIAS  纠正过来，已提交修改，待导入 --wuxm5"/>
            <filter val="[s3]DTV app shows signal low when inserts usb with wall adaptor.&#10;Clue:1.&#10;Root Cause:1.Charger Detection Invoke USB while it is used for Video Steam&#10;Solution:1.Disable USB Invokation in these scenario&#10;Plan: Support SW, SW solve it"/>
            <filter val="GSM buzz in DVT2B units found"/>
            <filter val="[NA]  found 1 WH143148  D1（NYKR270825） After-8KV air discharge at zone3,Display Flickering and Display color change ,30 minute recovery.(11:06 2021/8/26)&#10;clue: 1. &#10;Root Cause:1. suspect display module damage&#10;Solution:1.PVT ok"/>
            <filter val="[S3]Issue:SIM2 不识别&#10;Clue:1.SIM2通道有正常信号访问&#10;Root Cause:&#10;1.软件采用的初始NV 数据直接参考Racer，导致无法识别.&#10;Solution：1.SW调整NV ， 可以识别."/>
            <filter val="[s3] Mdu30,TMO safety 55℃"/>
            <filter val="[s2]Issue: Rear main camera fail to open&#10;clue:&#10;rootcause:  repaired, DVDD LDO bias short to GND leads to trace open&#10;exp:&#10;solution:"/>
            <filter val="[S3] WH144198 D3 ESD capsensor ，After -8kv air discharge,capsensor ch4 no function and recovered after reboot, 15kV ok.  &#10;Root Cause:1.  monitor&#10;Solution:  Pilot ok"/>
            <filter val="&quot;[s3]Issue: Mdu30 ,SPK 最大功率fail 。&#10;Root Cause:      1. SPK 石墨偏上贴了。2.石墨片偏小些&#10;Solution:&#10;      1. SPK 石墨往下贴一些，并且石墨片加大。   手工验证 往下贴 改善1.5度，再加大后总的改善2.7度。   PVT导入&#10;PVT test pass"/>
            <filter val="[S2]Issue:  Main camera video record got obvious line noise&#10;clue: DVT1A, FR 3/406&#10;exp:  &#10;rootcause:  &#10;solution:    Increase MIPI VOD parameter"/>
            <filter val="[S3]Issue:WH102567 ESD Fail，Unit Can't Power On&#10;Clue：1.Restart Fail 2.disassembly and find no grounding for display module.&#10;Rootcause:1.Display damaged &#10;Plan:1.KP  zhuanghuajun Analysis. 2. grounding  display module in DVT1A   ."/>
            <filter val="[s2]Issue:Display missing pixel&#10;Clue:&#10;exp:&#10;solution:中框加麦拉盖住底部中框跑道型通孔"/>
            <filter val="[S3]1 unit found Missing Pixel with  Mods Projector&#10;Clue:1.BT Pass,2.With Projector Mods Fail&#10;Root Cause:1.Solder Joint on AP DSI4&amp;5"/>
            <filter val="Issue：SMT反馈stack 板有锡珠，几乎每台都有，位号Q2603,Q2604,Q2801&#10;solution:  DVT2 钢网从1：1更改为焊盘中间加0.2mm间距，不良率 12/172&#10;                   PVT继续减薄锡膏"/>
            <filter val="Issue S3: WH180794 ESD D1 mic1 and mic2 noisy After -8KV air discharge at zone16（rear camera）&#10;clue：can not reproduce ，安排压测  50枪，不复现&#10;Rootcause： TBD&#10;solution：   EVT2 ok"/>
            <filter val="[S3]Issue：EVT ALT WH124343，loop5，Display DIM:B6(1)&#10;Rootcause：4/2ME can not reproduce，waiting for KP check"/>
            <filter val="Task ：USB 2.0 眼图测试。长线1m测试结果按照短线标准过不去&#10;solution：调整预加重 从10改为11 ，有些优化，基本上擦边pass"/>
            <filter val="[S3]Issue:  Cap sensor  Bug when tempreture change too quickly&#10;Root Cause: &#10;Solution: FW  update？, there some bug ,need to be fixed.   No time for the SW update."/>
            <filter val="Issue：DVT2有一条机器出现CapSensor ESD后 无功能-所有通道 ，AD:8kV"/>
            <filter val="Weak 5W charger can not charge"/>
            <filter val="[S3]Issue：EVT ALT WH124343，B1(1) No display&#10;Clue:1.手机可以开机，无显示&#10;2.拆解后，没有发现明显Display B2B翘起，在重新扣合B2B后，显示恢复正常&#10;目前看到的2台机器，FPC弯折区都有明显往一个角度弯折&#10;Rootcause：  suspect Display module issue , KP own the further analysis"/>
            <filter val="DVT EDu14- Surge test (L)，charge 按印度规fail，90V无法开机。需要过120V"/>
            <filter val="[s3]Risk: The SOIS signal is out of step&#10;clue: The SOIS signal is out of step when two sensors on the SE0 simultaneously collect signals.&#10;clue: &#10;rootcause:SW Own&#10;solution:Camera Feedback Acceptable"/>
            <filter val="Issue: 电话中，离开头部，屏幕无法恢复&#10;Clue:  P-sensor CT值没触发门限&#10;Rootcause:此PUD共性问题（MILOS也有）， CT值随时间漂移比较大，&#10;Action: 优化算法"/>
            <filter val="2 in 23 pcs CPU damaged.  &#10;178512 ：Charging too slow。 CPU USB_HS_DM impedance abnomal.CPU damaged by ESD/EOS. &#10;178318：No Turn On.  QC analysis result CPU damaged，suspect is EOS/ESD from USB_HS_DM/DP cause it.  USB_HS_DM&amp;DP  TVS are both  short to GND too."/>
            <filter val="issue：   产线反馈DVT1 出现2次SIM卡不识别，重新插拔恢复了&#10;action：  产线压测，出现问题不要插拔，直接做飞行模式及开关机看是否恢复，用来判断是否连接器接触不上导致不识别，还是其他原因。&#10;rootcause：插拔过程中 SD 卡座弹片刮到 SIM卡的金属片，导致SIM卡严重磨损。进而导致SIM卡接触不好。&#10;solution：SIM 向下移动0.4mm 来尽量避开 SD卡的刮线。"/>
            <filter val="Bad 5W（1A)） charger issue. change SW  and pass"/>
            <filter val="No Highlight Issue"/>
            <filter val="[S3]Issue: P sensor no function after ESD test. Recovered after reboot.&#10;Root cause:&#10;1. Air gap around P sensor IC.&#10;Solution:&#10;1. need SW recovery ,Tracking &#10;2. ESD recovery works well in WH115318"/>
            <filter val="[S2]Issue: Insertion mistrigger  when stylus closes to the tp area above hall.&#10;clue: &#10;exp: &#10;rootcause:  &#10;solution:"/>
            <filter val="[s3]Issue:charging curve not correct ,need check why it jump to 500+mA from 1.8A .  &#10;        Analysis: Log share to SW ,  SW analysis ongoing&#10;Root cause:SW related . Need solve the bug"/>
            <filter val="[S2]Issue:  EDU03的报告，从OTA的数据看D4 ANT0通路有损伤&#10;clue:  Band 71 TRP degradation exceeds 3dB, and TRP value also out of spec.&#10;exp: &#10;rootcause:  &#10;solution:    improve sub PCB layout，调整TVS位置"/>
            <filter val="Andy EVT Edu14 surge Failed"/>
            <filter val="[s3]Issue:WH150848 EVT EDU03 Test, D4 Cap-sensor CH3 no function(15KV)&#10;Root Cause: ANT C303 short circuit by ESD&#10;Solution:&#10;1.ANT 3 add TVS"/>
            <filter val="[s3]Issue:先放到无线充电盘上，等待5秒左右，插入PD充电器，出现充电图标但是实际没有充电电流的问题&#10;Clue:   1. 时间短或者长都没法复现。 &#10;           2.插入其他充电器ok （10W充电器，或者QC 充电器）。&#10;exp:&#10;solution:"/>
            <filter val="[s3] Issue:thermal ，目前布局热管对不上POP 的CPU。 需要确认下如何处理。&#10;Root Cause: -受结构限制问题 （特别是中框件不能动） &#10;Solution:1. 布局或结构中框调整，让热管尽量靠近CPU热源&#10;风险低"/>
            <filter val="[S3]Issue:1.DVT1B  Second Vendor 4+64&amp;4+32 Hynix memory build . 17pcs can not flash in IF  .&#10;clue:1.Blankflash Success , 2.Fastboot mode failed , &#10;Root Cause:1.Qualcomm SW Driver Issue &#10;Solution:1.4G Weak DQS Pull Up Patch-SW"/>
            <filter val="7. sensor -M-sensor  受到干扰影响&#10;clue：隔磁片规格更改for hac 优化。可能影响到M-sensor 了。&#10; solution：  DVT1 1供机器通过优化参数解决了，测试5台都pass了。"/>
            <filter val="[S3]Issue:ALT WH111516 ESD C1 样机Standby模式，+8KV空气放电 ，打TP Lens底部缝隙区域（Zone 3），CQA模式下检查指纹发现Fail，手动关机后不能再开机&#10;Root Cause: 9008 state ，No  HW dameged. Not a real issue"/>
            <filter val="DVT Mdu30 ：thermal test ,Video recording reach 44.2 degree"/>
            <filter val="Issue:    DVT2 ATT WH125966   D2 cap sensor no function &#10;Clue：  1.CQA  All channel unknow ,reboot can not recovery&#10;Root Cause:  SW issue &#10;Solution ： Fixed ,from 5/15"/>
            <filter val="[S3] 1.Some Unit Cap Sensor function not stable 2. CQA Test Cap Sensor Fail&#10;Clue:1.Happend when Wifi Scaning each 70S.&#10;Root Cause:1.Wifi Scaning Mode 2.Cypress FW filter&#10;Solution:1.Cypress improve filter,Far away need 6S Response time，DVT3 validation Pass"/>
            <filter val="Cap sensor noise&#10;Place Cap Sensor IC as Closed as Possible to Sensor PAD,Shielding Sensor Line&#10;Ant had confirmed performance is ok .&#10;DVT1B PCB change：Place Cap Sensor IC as Closed as Possible to Sensor PAD,Shielding Sensor Line"/>
            <filter val="Issue：front camera RCN value exceed standard&#10;analysis: &#10;rootcause: crosstalk from display&#10;solution: remove to KP yaocf1"/>
            <filter val="[S3]CR IKSWO-71285  One Unit Haptic feedback has stopped working / Audio Lost B2GID:301980855&#10;Clue:1.Log show I2C issue,new type  2.Re-Boot OK 2.DVT2a HW Version&#10;Root Cause:&#10;Solution:&#10;Plan:1.NTF,Monitor"/>
            <filter val="[S2]Issue:Display Bringup not complete. ELVSS Keep -4.0V&#10;Root Cause:1.Proposal: PM6150A not correctly config &#10;Solution:1.SW Resolved."/>
            <filter val="[S2]Solution Risk:&#10;     Pesnsor/REC Deco ESD &#10;RootCause:&#10;1.Rec Deco Floating&#10;2.P-sensor Closed to Deco&#10;&#10;Solution:&#10;1.Proposal:Extend Rec Deco GND more close to Display Shielding Can. EVT Verify.&#10;EVT test fail ，new issue list，DVT1A go with reserved solution"/>
            <filter val="[S3]Issue:ALT   WH103118        B1 can not power on with turbo charge mods. &#10;RootCause:1.Analog Mux Damaged lead to can't power on&#10;2.Proposal:maybe caused by ESD/EOS&#10;Solution:1.Optimize Mods Pin ESD Routing in DVT2.&#10;Plan:1.Monitor"/>
            <filter val="Issue S3:  NFC  FW 下载校验失败。NTF ~10%&#10;Rootcause：  TBD&#10;solution：  SW 改QC 默认驱动，DVT1导入"/>
            <filter val="[S3]Issue: Factory feedback SOL LED too dark &amp; sometimes no function&#10;Clue: Factory  mode &amp; CQA mode with different Lightness ."/>
            <filter val="[S2]Issue:  +15kV ESD, Flash always on, PM6150C BOB short&#10;clue1: flash板接地导电泡棉厚度压实后有1.0mm左右，接触正常&#10;clue2:13M CAM背面贴了隔磁材料，&#10;exp：整改未贴隔磁材料机器进行摸底验证&#10;exp：加贴一个tvs，初步验证ok&#10;rootcause:  &#10;solution:  &#10;PVT test pass"/>
            <filter val="[S3]Issue WH160450 Rear camera viewfinder has noisy points:A1/A2/A6(1)-TH/TC&#10;Root Cause: not reproduce in XM。 try to reproduce but can not reproduce"/>
            <filter val="[S3]Issue： Camera control pin on PM7250 Voltage =3.8V ,not 1.8V (total 5 pins)&#10;Rootcause：PMIC MV GPIOs can config to hight voltage ot low voltage (1.8V)              &#10;Solution:   SW change PMIC MV GPIOs setting to Low voltage -done"/>
            <filter val="[NA]Isuse:sensor Vision test limit need update&#10;Solution:Delta limit need to change from 580 to 300( refer to Andy),and folS3 up DVT2A test &#10; DVT2A check ok ，close"/>
            <filter val="[S2]Issue:CE FM mode CS/RS (EN55035) test Fail&#10;Clue:&#10;Root Cause:FM IC demodulate the AM radio&#10;Solution:1.&#10;Conclusion:Sportan cancel the test item.Closed"/>
            <filter val="[S3] Issue: Display Missing Pixel after ALT Drop&#10;Estimate to drop this issue ,Due to wrong Test Method-Tear Down Crack Display cause Abnormal PCB Strain."/>
            <filter val="CR： USB  can not work&#10;Clue：Main board ok，sub board issue。&#10;Rootcause：OVP GND not connect&#10;solution：1. rework  the Vbus（short output and input of OVP） &#10;                   2.change EVT PCB --SCH change done"/>
            <filter val="[s3] Issue:DVT1  2nd barometer TDK 20100  pressure deviates from 10K Pa relative to 1st BMP580/Bosch&#10;Root Cause:1.Configuration Issue&#10;Exp:1.mode config check. Result:Issue Solved.&#10;Solution:1.SW bug fix"/>
            <filter val="&quot;[S2]Issue:  WH119836 ALT light sensor and P-sensor no function  B3( 5）&#10;Clue:&#10;Root Cause: P-Sensor fall off&#10;Solution: ME own further analysis"/>
            <filter val="OVP design check,Moto has added OVP IC, Keep monitor"/>
            <filter val="[s3]ALPS两套屏共用一套参数"/>
            <filter val="[S2]Issue:  ALT, ESD, Flash always on, PM6150C BOB short&#10;clue: flash板接地导电泡棉厚度才0.2mm，而实际flash板到主板屏蔽盖间距有0.58mm&#10;Exp1：flash板接地导电泡棉厚度改为0.6mm（result：TBD）&#10;Exp2：c1524电容改为0.1uF（result：TBD）&#10;rootcause:  屏蔽盖泡棉未接地&#10;solution:    加厚泡棉"/>
            <filter val="[S3]Als no function &#10;Clue:Connetion Bad&#10;RootCause:Spring Contact Issue,ME Analysis&#10;OK2Ramp Pass，Closed"/>
            <filter val="[NA] MSM_therm  not correct (EDU08)&#10;Issue:   MSM_therm too S1t . more than CPU&#10;Root Cause:    R1208 not mount&#10;Solution:  R1208 change to 0R from DNP&#10;Plan:  change From DVT2B ,done.   Retest with rework units by chenwei ,ongoing.WH99980 ,pass"/>
            <filter val="Risk：Usb Eye diagram may fail because of Type-C connector on FPC"/>
            <filter val="[s3]LTE B12 Low RX1(DRX) Leve;D20, Initial check:Display Flickering, WH159301&#10;analysis: 观察了是60Hz在严重闪屏，切换到90和120Hz闪屏消失。 怀疑为液晶电荷残留导致。80度加热半小时后，闪屏消失。（和博文沟通，还是ＤＶＴ２之前暴露闪屏问题，已有方案和对策）"/>
            <filter val="[s3] Issue:thermal ，在正常CQA 闪光灯打开时温度过高     ,手在靠近闪光灯的时候烫手，请怀玉帮忙看一下是否可以调整&#10;Root Cause: 默认电流300mA.超过标准的200mA左右。 &#10;Solution:1. SW  tuning  torch  current setting"/>
            <filter val="[S2]4/12 DVT D1 After +15KV air discharge  at zone 13(Aging4),No Main display&#10;1.Grounding OK.&#10;Root Cause:1.Display Affected. Sending to XiaMen for further FA 4/14&#10;Solution:1.Dispaly damage, and KP further FA"/>
            <filter val="[s3]Issue:Rear &amp; Front camera halt sometimes when preview&#10;Root Cause:　　　　　　　　　　　　&#10;Proposal:SW Issue.1.  dvt1a sw OK"/>
            <filter val="[S2] DVT1B Sofia ALS-PS wheel test fail   sometimes IKSWQ-39589  IKSWQ-39294       &#10;Clue: 1.   90 degree report 103 (device 3 ) &amp; 241 (device 2)while it should be  5000+&#10;Root cause:&#10;1.  &#10;Solution:&#10;1."/>
            <filter val="[S1] ESD Fail,SPK Degrade&#10;Issue:ESD Fail on Zone1 -15KV on Alt ,1/2."/>
            <filter val="[S3]Issue:DVT1  Vibration not work after ALT  3 in 10&#10;Root Cause:1 VIB_RST wire crack at BB shielding case Bottom left   corner （layrer 2）&#10;Solution:&#10;1. Change VIB_RST to Layer 3 ，PVT import."/>
            <filter val="[S1]Issue: UW Camera power noise, RCN value &gt; 20&#10;clue: Short AGND to GND close to UW connector, RCN got pass.&#10;rootcause:AGND of LDO is separated,  leads to power noise&#10;solution: GND optimize &amp;  AVDD add 0R"/>
            <filter val="Issue:SM8250 can not support QC3+（33W charger running change）with  3rd part chaging IC&#10;Root Cause:1.Qualcomm announced no support plan on SM8250 duo to software development complexity and high couple with SMB.&#10;Solution:&#10;1.SW Develop 33W QC3+"/>
            <filter val="[Monitor]  Issue: PVT EDu03【WH127058】&#10;light and proximity sensor no function:D1(NNIE430147) (15KV, Zone1）&#10;Root Cause:P-sensor  INT abnormal  ，Component damaged &#10;Solution 1：ME follow the glue quantity ( 0.33mm-&gt;0.5mm)"/>
            <filter val="[S3]Overheating risk are on speaker&#10;Root Cause:1.SPK Heating&#10;Solution:1.Add Graphite on SPK Box.Test Pass. ~0.15￥，No Volume loss"/>
            <filter val="[S3]MyDP I2S Bring up&#10;SW Own"/>
            <filter val="Issue：EVB Mods Bringup suffer much&#10;RootCause：1.Clock&amp;CS of SPI Swapped 2. M-PHY I2S Rx Missing 3.SPI Switch Signal LPI can't work&#10;Solution：1.Swap clock&amp;cs 2.jumper wire 3.replace LPI-GPIO with GPIO"/>
            <filter val="[s3]Issue:DVT2 Mxc04 ,Can't Charging and Can't Recognize PC.&#10;Clue:Tester Enable USB Function though USB Port Damaged Informed.&#10;Root Cause:1.Observed ForeignMatter over most of USB Socket Pin Pad.- ME Analysis&#10;Solution:1."/>
            <filter val="[S3]Risk:Cap Sensor I2C Risk&#10;Root Cause:&#10;Solution:1.Reset SCL When Error Found&#10;Plan:1.SW arrange Pressure Test"/>
            <filter val="[S3]VMC_PMU  ，power for 16MHz  clk can not config to 1.8V yet (default 3V)&#10;SW  bringup ok"/>
            <filter val="Risk：FPS option 2-3 may have ESD risk&#10;Evaluation：&#10;Conclusion：Solution Canceled"/>
            <filter val="issue :   London NA  WLC can not work after rework stack board"/>
            <filter val="Issue： SIM卡座有一供HRD和二供Lecton，一二供的物料不可以混搭。供应链需求一二供都需要在FPC厂PBH和kongwing试产，这将会产生4款SIM FPC&#10;Clue：1. 厂家物料管控方案     2. ESD的风险管控&#10;Plan： 1. EVT和DVT1 SIM FPC BOM按照一供配一供卡座，二供FPC配二供卡座。哲林确认TVS的贴片方案&#10;              2.DVT2试产一供FPC+2供卡座， 二供FPC+1供卡座，若出现ESD或者其他实验fail, 舍弃会fail的搭配"/>
            <filter val="DVT2 ESD WH184180 2nd 11/20 unable to power on;D5(15KV,zone8手写笔孔位置) &#10;Rootcause : 绝缘膜没有贴好，ESD从空隙穿过打到FPC上，打坏了hall IC 和 主板&#10; solution：加强厂家对贴膜的管控质量 -ME   &#10;monitor PVT"/>
            <filter val="Issue:  IKSWV-23174 3台报主摄拍照dump。&#10;Clue：&#10;1.均是主摄OIS拍照或者AF对焦拍照时出现问题,且log均提示的MIPI error&#10;2.这3台可以录像preview 100% dump&#10;3.跟WIFI无关（工厂测试用WIFI指令控制）&#10;Root cause：&#10;MIPI cphy参数和目前硬件搭配不是最优&#10;Solution：&#10;优化MIPI cphy参数(  修改后EQ=0x07，  CDR PGM=0x47，CDR Coarse=0x09 )，待软件提供版本给产线。"/>
            <filter val="[s3] Issue:Thermal  WH124559 Game with charging plastic 42:59&#10;Clue：Stale data，NA &amp; Close&#10;Root Cause:"/>
            <filter val="[S1]Issue: Main Camera preview flicking after ATT trumble 400 cycles&#10;clue: 1. camera ois get gyro data fail&#10;2. a+g function fail in CQAtest&#10;rootcause: Pads of A+G sensor chipset were cracked&#10;solution:   ME analyze"/>
            <filter val="[S3]Issue: After +8KV air discharge at zone16 (Aging 10 ), fingerprint reader no function,recovered after reboot.&#10;Clue:&#10;Root cause: Egis sensor dead-loop after ESD.&#10;Solution:1. Enhance GND;  &#10;PVT TCC test Pass"/>
            <filter val="issue: PAT wireless charging fail  &#10;Rootcause：：1.一部分机器Stack 板子没装。这部分制程问题工厂处理--统计这几天有15pcs Stack 板子没装。 &#10;                         2.有两台机器是stack 有装，但是FW升级一直失败。 Q2803 虚焊  ，具体还有多少台 由产线统计及SMT参数修改解决。"/>
            <filter val="[s2]Issue: chopchop fail when phone deeply sleep&#10; Clue1：Latch time locked and not change&#10;Root Cause: &#10;1. MTK SCP work abnormal in deep sleep&#10;Solution(Work around):&#10;1.Change A+G INT mode to level trigger"/>
            <filter val="IKSWW-16494  [Equator][Factory][CQA1][DVT1] OTG intermittent failure&#10;solution：调整OTG 断连门限到最大值，初步压测ok。IKSWW-18561 导入主线后monitor DVT2"/>
            <filter val="Issue:    DVT2 ALT WH125967   D4,D5  P/L sensor no function &#10;Clue：  1.CQA  Psensor can not enter, Lsensor no data&#10;Root Cause:  1.Speculation: P/L sensor crack issue.(same AS issue found in DVT1).ME  follow"/>
            <filter val="[S3]Issue: CQA  PS 正常，ALS 一直dark，不变化， 重启后依然fail&#10;Root Cause:ALS 校准bug有关(重新刷机可以解决)--by  Huaiyu&#10;Solution:SW own"/>
            <filter val="Issue：&#10;前摄视频通话温度过高：F: ↑0.11°C/B：↑1.97°C&#10;clue：&#10;软件功耗过高：&#10;Houston：48.11℃/49.97℃ @ 3.35W&#10;Wrangler  48.07℃/  49.86℃@ 3.35W&#10;Boston：无whatsapp 数据，wechat 2.7W&#10;硬件散热不足：&#10;前摄石墨面积↓30%（从215mm²减小到150mm²）&#10;Solution：&#10;1、摸底DN 方案收益，收益1C就达到预期&#10;2、DVT1 二供增加DN方案"/>
            <filter val="[S3]  George NA DVT2A XM99620 1pcs(Loop5) no turn on&#10;Issue:    no turn on&#10;Root Cause:  PM8940 U1205 Joint Crack by Strain,&#10;Solution:  Under Fill U1205&#10;Verification: Pass"/>
            <filter val="[S3]Solution Risk:&#10;       USB OVP  2 ball input and output , 3A  charging current ok?&#10;Solution:check with Vendor ， the test data show it is ok ."/>
            <filter val="[NA] Issue:  ADR test can not read IT3 SIM (一种模拟SIM卡for test )&#10;Root Cause:1.     Data line without pull up   &#10;Solution: 1.ADDpull up  15K，retest pass . Import form DVT2&#10;             2. rework 2 more unit for ADR test"/>
            <filter val="[S2]Issue: 产线装配发现硅胶套装偏导致 sensor 被遮挡的&#10;Action：请整理相关信息关注ME action落实情况，ME Informed to HouXiRong&amp; XianQing"/>
            <filter val="[na]Issue:some user feedback  power drop when Video when battery on 4%.&#10;Root Cause:1.Battery Voltage drop to 3.0V.&#10;Solution:Proposal:1.3.2V Shut down voltage -&gt;3.4V , 50mA 1% power loss."/>
            <filter val="RISK：Qi MPP 15W CE : SME  反馈 ICL步进 在1A左右突然功率跳变太大，不符合需求。&#10;Rootcause：QC 答复是 QC IC PMIH0104 SPEC范围内的行为，无法确认不跳变。无法从根上面解决（其他竞品厂家也要面临这个问题）&#10;solution：寻找其他解决方案 by SME"/>
            <filter val="[S3]Issue:[LondonNA][Factory][CQA1][DVT2] When inserted the headset to phone, the phone hasn't recognize the earphone micphone&#10;NTF"/>
            <filter val="[s3] Issue: EDu03【WH124662】&#10;1）the phone lock-up,restart to recover：D1(6KV contact，zone7）&#10;Root Cause: should be ramdump issue. monitor in New SW from 30.23"/>
            <filter val="EVT Tumble WH202942 PRC&#10;Flicker sensor no function,recovered after 100 tumbles:D1(80)&#10;EVT Tumble WH202981 APEM&#10;2:Flicker sensor no function,recovered after reboot:D1(200)D3(60)D4(100)-CR129483&#10;分析 ：问题分析需要抓有效log，TCC  加滚2pcs各100次，不复现，所以未抓到有用的log。先monitor。"/>
            <filter val="[S2]Power off when Import TianMa LCM&#10;Root Cause:1.Power sequence mismatch between First Vendor Samsung and Second vendor TianMa&#10;Solution:1.Fine tune Power Sequence to meet both of them&#10;Plan:Verifing"/>
            <filter val="[S3]Issue:1:PVT NFC test fail&#10;rootcause:1.Extra NFC Ant Discreat Component SMT on Stacking Board duo to not in DNS List.&#10;2.Those DNS Part was removed and not adding back.&#10;Solution:1.removing DNS Part"/>
            <filter val="[S2]Issue:Fuel Gauge,No Charging Current Detected&#10;Root Cause:1.Proposal:Current Register Mismatch - SW On-Going&#10;SW update display config file ,Solved."/>
            <filter val="&quot;[s3]Risk:  Tahoe Add 1 Dock which may impact M-sensor&#10;Evaluation:      M-sensor simulation checked pass.  can accaptable. &#10; Tahoe+ need more check for this case, Risk(maybe tahoe+ need this Dock too?)"/>
            <filter val="[S3]issue：DVT WH164184 D4After -15KV air discharge at zone9,SIM card is broken.&#10;Analysis: 检查SIM接地良好&#10;Root Cause: &#10;solution：&#10;1、SIM_IO pin 增加tvs（DVT2导入）&#10;  2、SIM卡座接中框泡棉改用导电布"/>
            <filter val="CR：IKSWR-35501  photo mode-The flash is on to take pictures, and the phone is automatically turned off&#10;Clue：Low voltage battery+DP+Camera+Flash  ，auto power off  &#10;Rootcause&#10;solution：change Flash current from 2.4A to 1.5A ，recheck ok"/>
            <filter val="[S2]Issue:  主摄Slowmotion出现横条纹&#10;clue: &#10;Exp1：新版本U2UAN34.11  OK&#10;Exp2：&#10;rootcause:  SW Issue&#10;solution:"/>
            <filter val="[S2]Solution Issue:&#10;Use I3C  A+G that cost up 0.2$&#10;&#10;Root Cause:&#10;1.No SPI Interface support in SM6125 lead to use I3C&#10;2.HIFI AR Core Require High Speed Data Bus.&#10;3.Moto G Support HIFI AR Core Requirement to support Google App.&#10;&#10;Solution:&#10;1.Keep I3C Design"/>
            <filter val="[S3]Issue:Proximity Design,No Feasible Place for P-Sensor&#10;Clue:Stowed Mode&#10;RootCause:Full Display Lead to No Space for P/ALS Sensor&#10;Solution:1.ME Manage to place it on Front Camera&#10;Conclusion:1.Turn to NUD Mangement，Closed"/>
            <filter val="[S3]Issue:无法Provision&#10;Root Cause:&#10;1.SW直接采用Racer上的UFS3.0，Memory Type 设置不对，我们使用的是UFS3.1&#10;Solution:&#10;1.SW正确配置Memory Type"/>
            <filter val="[S3]Issue:  WH159074  TMO  Drop  1:Proximity sensor no function,recovered after reboot:D1/D3/D4(14),D2/D5(28 &#10;rootcause:  suspect no P-sensor parameter optimize , optimize it in DVT1 SW . monitor DVT1 and no issue so far 1/11"/>
            <filter val="Issue：后置camera SOIS I2C 读写不成功&#10;rootcause：SW i2C 端口设置不成功&#10;Solution：软件setting"/>
            <filter val="RISK：Vendor 调试时候发现 无线充Vout 飞线出来测试，发现有一个NFC 工作频率的电源纹波。NFC关闭后就没有。&#10;impact：如果真实存在，可能会影响到无线充 通讯解码稳定性。具体待确认&#10;Rootcause：    1. 飞线压到NFC天线上导致，误测问题"/>
            <filter val="Issue: Thermal ,RF power limited in certification. &#10;Clue:  1.High temp test fail （should be Thermal config limited  RF power) &#10;Root Cause: &#10;Solution 1："/>
            <filter val="Issue: EVT USB 默认参数眼图 电平过高&#10;solution：调整SW 眼图参数，参考geneva 的参数修改，临时调试复测pass .  相关更改DVT1之前集成"/>
            <filter val="Issue：EVT  USB eye test fail &#10;Solution：import  0xfd57-0x5-0xfd51-0xa  ,test ok .  import CR :IKSWW-12700  。"/>
            <filter val="[s3] Issue: DVT EPr04 WH131416 After making a call, the screen turn off,cannot recovered by itself &#10;root cause: parameter related ,need tuning  by 9/30 ,not blocking PCB &#10;solution:SW change . done . self receck ok by 10/13"/>
            <filter val="Issue: EVT 可靠性有两台机器SIM无作用，重启概率性恢复。&#10;Analyze: &#10;RootCause： VCC 电容和中框短路 （绝缘实验临时验证ok，不复现）&#10;Solution： 中框DVT1 做避让"/>
            <filter val="RISK：Some line layout under shielding case Corner  ， may be broken in Drop  test&#10;Monitor EVT ME Drop test  。  EVT drop test no related issue found ，close"/>
            <filter val="issue：WH192390 D1 故障机， NEQE080016   AI key 无作用（ Self defined sidekey no function:D5(final)）&#10;Clue：拆机测量发现 AI key 弹片只有1.3V。这个和之前发现的问题类似。 机器版本可能比较旧了 。&#10;RootCase：早期版本 AIkey 的配置有些问题（两个模块一起配置，导致配置错误） &#10;Solution:SW修改配置。 刷解决AIKEY的临时版本后，这个机器AI Key 功能ok了，电平也正常了=1.8V"/>
            <filter val="EVT  眼图调试完成 device mode"/>
            <filter val="[s2]bt crash B2GID:322334682 //Unexpected restart&#10;clue: no BT issue leads to unexpected restart. OCP on PMIC LDO19 (UMCP VCCQ2)&#10;rootcause: &#10;solution:"/>
            <filter val="[S2] Solution Issue:&#10;PM prefer Sofia NA BSP Target=72Hours@50th but currently Sofia BSP=56.1 @50th&#10;Root Cause:&#10;1.BSP Output&#10;Solution:&#10;1.PM Sync the Actual BSP."/>
            <filter val="[S3]Issue: Factory SW FB :NAIRO_IFLASH_DVT1_005_894.xml.zip  PS  can not enter .&#10;Clue:SW poblem,NAIRO_IFLASH_DVT1_004.xml.zip is ok. &#10;Root Cause: SW Power config issue  &#10;Solution:SW change  https://gerrit.mot.com/#/c/1536341/"/>
            <filter val="[S3]Issue: DVT1A Soifa NA TMO drop(WH118494) FVCT11&#10;Sofia NA:Unable to power on.D10(28)&#10;Root cause: 1. PMIC Crack&#10;Solution:ME Follow&#10;Action:"/>
            <filter val="[s2]Risk: EVT TDD Noise Risk&#10;Root Cause:Calling sw not ready.&#10;Solution:SW fixed and test performed"/>
            <filter val="issue:MIL drop 1.5        WH192393D5        NEQE080025        Self defined sidekey no function:D5(final) &#10;RootCase：早期版本 AIkey 的配置有些问题（两个模块一起配置，导致配置错误） &#10;Solution:刷最新版本后OK"/>
            <filter val="Issue: user feedback,录像状态下有主摄有异响&#10;Clue:OISVDD电压3.3V高于模组要求的2.8V&#10;Root Cause:  OISVDD电压3.3V高于模组要求的2.8V，为何回响camera KP分析中&#10;Solution:  change LDO to 2.8V output LDO（PN：SC98D62703）"/>
            <filter val="[S2]Issue:  产线装配后拍录像/播放竖线 ( ~ 2/300)&#10;clue: 拆机重扣之后，故障概率下降很多，十几次出现一次， 交叉模组实验，故障跟随主板&#10;Exp1：Video record, 开WiFi，MIPI log 报错&#10;rootcause:  CPHY was interfered by wifi and n78&#10;solution:  Tuning CTLE EQ and CDR register"/>
            <filter val="[S2]  Shelby P-sensor :can not power on when LED current set to 150mA&#10;Clue: &#10;RootCause: 1.LDO OCP 2.Wrong Configuration&#10;Solution:1.Right Configuration"/>
            <filter val="[s3] Issue: Bringup ，Wireless charge can not work on power off mode&#10;Root Cause:   AP GPIO49 pull down FlangN when power off ，cause RXN high to stop wireless charge&#10;Solution: 1.  add a Nmos on GPIO49"/>
            <filter val="Issue:Noise when insert type-c earphones&#10;Root Cause: 1.Mic Bias 25Hz Switch&#10;Solution:1.Mic Bias constant open,Evalation OK&#10;Plan：DVT1A verify, &#10;Verify: OK"/>
            <filter val="下载工位出现概率性不下载（faboot 识别不到USB）"/>
            <filter val="[S2]Issue：EVT ALT WH124343，loop2， P/L sensor no function after top side drop:A1(2),B5(2) &#10;Rootcause：-sensor component damaged,same as ME evalution test. ME own the issue tracking"/>
            <filter val="[S3]Issue: EVB SIM can not work:     &#10;RootCause:1. No VSIM 2.NFC power supply design issue cause no Vsim output to SIM card&#10; Solution:  1.NFC change  2. Reserve  0R  for Vsim because there maybe not NFC in some sku.  (will be done by RF)"/>
            <filter val="3rd P-sensor CT too low and can not pass APK test"/>
            <filter val="RISK：仿真fail（64%UI， target=65%UI）"/>
            <filter val="RISK：特殊版本，关闭SC8541 ，只留PMIV0102 工作。用假电池测试，概率性发现Ibus 不工作  （大概30% ，不稳定）&#10;Clue:1.假电池内阻大可能有影响 。&#10;   实验1：用电池再试一下是否有概率复现。结果依旧能复现。&#10;Rootcause：启动电压太高导致的概率性fail&#10;solution：修改启动电压低一些后，验证ok  6/16 的临时版本。  SW 跟踪导入主线"/>
            <filter val="[S3]Issue: L2站点有发现，ALS/PS rawdata偏小， 重启后依然fail&#10;Root Cause:麦拉遮挡PS 孔--by  Huaiyu&#10;Solution:Factory own"/>
            <filter val="[S3]Issue: Camera Power Noise Abserved in Darkness in DVT1 units.&#10;Clue:EVT not found duo to SW not ready.&#10;Root Cause:1.AVDD Power Noise&#10;2.Camera AVDD Capacitor need to fine tune&#10;Solution:1.update Camera AVDD Capacitor C4159 to 4.7uF+2.2uF. DVT2 import"/>
            <filter val="[S2]Issue: WH169799 MD ALT 2019 DVT1 (Loop1)//ALT kernel panic&#10;clue: &#10;exp: &#10;rootcause:  &#10;solution:"/>
            <filter val="[s3] Issue: power off current =8mA .vs 0.2xA target&#10;rootcause：Audio switch current  leakage&#10;solution：change Audio switch power from VPH_PWR to LDO （not on when power off ）"/>
            <filter val="[s3]Issue:  Cap sensor no function on D2 post&#10;Root Cause: Poor SMT soldering&#10;Solution:Re-weld to restore normal,SMT optimization"/>
            <filter val="Issue:RF Buzz Noise&#10;Condition:NS Cancel ，Mic_GND Connect to Pmic_GND&#10;Result: -46dBV/-48dBV"/>
            <filter val="Design：Key Design to compatible with Option C1，Option C2，Option D，Option E before 9/5&#10;Conclusion: Design Changed"/>
            <filter val="[S3]Issue：EVT  ATT drop WH124356， Cannot enter rear 4 camera mode：D1(3,F,1m),D3(21,F,1.25m)&#10;Rootcause：Macro camera fail.  B to B connector dissasembly.ME own the issue tracking"/>
            <filter val="[S2]Issue:1:DVT2 TRP error  &#10;rootcause： ANT0 tuner damaged&#10;Solution:1.add mylar under LDS  ，PVT import &#10;                 2、add TVS on SIM board，PVT import &#10;PVT issue reproduce ，reissue it"/>
            <filter val="[S3]Yukon intermittently notice Pluging/out after charger connected.&#10;Root Cause:&#10;1.Charger Reset Frequently&#10;2.CC GND Voltage &gt;0.43V &#10;3.Cable GND Mesh Broken ,165mΩ(Spec 83mΩ）&#10;4.2018 Cable&#10;Solution:1.Cable Team Own"/>
            <filter val="【S3】Issue:DVTMXc03, drops front 100 times, Cannot enter rear 2 camera mode:D1(front), NGVADB0139&#10;rootcause: connector pins solder crack on MB, SMT for further analysis"/>
            <filter val="[S2] DVT2b ESD Fail,Headset Pop Noise&#10;Issue:ESD Fail on Zone15, PVTA&amp;PVTBEval Pass&#10;Root Cause:1.Codec Damaged by ESD through SPK &#10;Solution:1.Move TVS closed to Signal Pin&#10;Plan: Update ESD Design Rule with high priority -yangwla"/>
            <filter val="Issue S3: ATT drop 1.5M MIC2 no function 5 in 10 unit&#10;Rootcause：corner PCB crack （near MAIN camera ）&#10;Solution： 1.PCB外形加大0.2往camera，2.top增加一个小钢片用来加强板子。  import from DVT1&#10;       DVT1 第一轮ATT drop 没有发现相关问题。"/>
            <filter val="[NA]issue:USB 2.0 eye-diagram test,marginal pass&#10;Clue:tune1=default  ,marginal pass&#10;debug:temp change  tune=0x47 ,pass.  0x67 is better.&#10;  SW change done ，from 12/7"/>
            <filter val="[S3]Issue:  Some times can not power on , Track ID NNBA2K0001   ,NNBA2K0008(DVT2B)&#10;Root Cause:suspect 9008 mode issue &#10;Solution:Rework these 2 units and sent back to user（CXD Matias ） monitor  from  3/26 to 4/4&#10;           No problem by 4/22 ，close"/>
            <filter val="Issue S3: Flicker FOV not very good in EVT ，~65 degree ，target 70 &#10;Rootcause： 材料和仿真的不是一个材质，PMMA-CM211-5‰ 均光粉   VS  仿真 NW432D ， &#10;solution：1. 打样NW432D  ，角度到~80度，性能OK&#10;                     负面影响：材料的外观颜色会更加浑浊，会影响外观"/>
            <filter val="RISK : MTK 要求这个项目增加SPMI在不同地方进行尝试（CPU，PMIC ，以及PMK 都测试）， 并且增加 glitch 指标。 当前刚完成该测试，发现SPMI 靠近CPU端的Glitch 指标严重超标。"/>
            <filter val="Issue:ALT DVT2B发现正面朝下自动关机&#10;Root Cause:&#10;Analysis:&#10;Solution:&#10;Verification:&#10;Plan:"/>
            <filter val="discharge on low voltage battery&#10;the sample don't charging on low voltage battery，but normal voltage battery is ok&#10;sw problem,charge is ok after sw update&#10;charge is ok after sw update"/>
            <filter val="[s3] Issue:thermal ，在正常CQA检验过程中手机温度会比其他项目温度高&#10;Root Cause:  1. can  not sleep .more power .  SW  not very stable , will refer to TCC thermal test data"/>
            <filter val="Issue:The phone drop call,recovered after call again:D1(Air 8KV)&#10;Clue:&#10;1.HandFree Confirmed &#10;2.Proposal:Log Analysis&#10;3.RF Tranceiverin bottom&#10;4.Proposal:Frequency? +2 unit1&#10;Root Cause:1.if Hand Free, TP Ghost Point Issue&#10;Solution:TP FW update,Validate OK"/>
            <filter val="[S1]issue：EVT WH163330 C2  After +8KV air discharge at zone3/9/15,Drop call-GSM（连接仪器下）&#10;Analysis: 实网下测试正常&#10;Root Cause: 可能匹配未调试导致&#10;solution：跟踪DVT1后续实验，有问题再重新提出"/>
            <filter val="[S3]Issue:Quattro  DVDD Ripple when work，（哪个camera？什么情况下面出现）&#10;Root cause:Camera Current Drain&#10;Solution: DVT2A  Reserve 1 LDO."/>
            <filter val="CR： SIM 2 can not work&#10;Rootcause：connector design issue : UIM2 power and GND  not connect &#10;solution：1. rework UIM2 power and check SIM2 function ok&#10;                   2.change EVT Main board and main FPC"/>
            <filter val="[S2]Risk:Mods Factory test plan: DVT1A dont start mods test&#10;Root Cause:SW not ready&#10;Solution:Inform SW*NPI"/>
            <filter val="电量计：充电到68% ，关机后，一段时间开机变成56%.  IKSWR-139932&#10;高通 case：Case Number        05446277 [View Hierarchy]&#10;Action：外加检测电阻用电源侦测一下，看实际电量和UI 偏差到底多少。 10/13 前&#10;Root cause：SW config issue。&#10;Solution： change SW"/>
            <filter val="ISSUE： MCHG NTC 温度读值不对？（AUXADC_MT6375_NTC）&#10;rootcause:  双贴了NTC&#10;solution：EVT change SCH &amp; CPB&amp; BOM ，remove 1 pcs NTC"/>
            <filter val="[S3]Issue1:&#10;Denver DVT1B WH135380 ALT ,P/L sensor no function：B5(4) 1 of 11.&#10;Clue:reworked units 6pcs 2nd display+5pcs 1st display &#10;Clue2:Can  not reproduce&#10;Root-Cause:Monitor"/>
            <filter val="[S2]Issue: Harsu Mods can't work&#10;Root Cause:1.CSI2 P/N Swap ，DVT2A Revised  2.SW do not ready&#10;Plan:1.Support  Jon Bring up 2.Pressure test."/>
            <filter val="issue: Unable to enter system:D5(270) 3/26/2023,&#10;Clue: 1.按power键上电不保持&#10;           2. 按压memory 可以正常开机&#10;rootcause: memory 虚焊，点胶不均匀，memory表面有胶水和屏蔽盖粘连，侧面无明显点胶量，转ME优化点胶"/>
            <filter val="[S3]Issue: TMO tumble WH168459, Unexpected auto power off:D3(125/150/200) &#10;clue: same as WH168463, Unexpected auto power off:D1(350/450) &#10;rootcause: battery connector deform&#10;solution: change BAT connector to molex BTB from DVT1"/>
            <filter val="Issue ：India P+P SKU SIM2 can't not recognized&#10;Rootcause： The VSIM2 power supply design is different in the S21 and S54K&#10;Solution：VSIM2 resistor  is disconnected inS21 desgin"/>
            <filter val="Issue ：PRC 售后故障机 356070750758578，不开机不充电"/>
            <filter val="Issue ： Dubai+ NA (TMO): NTO After MR0 OTA(IKSWS-176032)   ，total 3pcs  by 20230105"/>
            <filter val="[NA] Can not power on after ALT(for EDU06) ( loop4 TH/TC done )  D7&#10;Issue:    VPH_PWR short to GND.  C2110 component issue.  remove it and the phone ok.&#10;Root Cause:  PE lead the fail analysis&#10;Solution:   PE lead&#10;Plan:  TBD"/>
            <filter val="[s3] Issue: DVT EPr02 Eval - eCompass WH131414 测试结果为 10°，目标是5°，暂停，等待确认结果&#10;Root Cause:1.parameter related &#10;Solution: tune done,RD self test pass .TCC  DVT test  pass  WH132626"/>
            <filter val="[NA]Thermal DVT1a failed&#10;Issue:1.WCDMA Voice Call 1.2 °C while no charging&#10;           2.Wifi Stream (Front 0.9°C ，Back 1.2°C) while charging ,here&#10;Solution：1.Decrease PA Power&#10;           2.Charging Rhythm Modification&#10;Verification：Dvt1b Pass"/>
            <filter val="Issue: Black Card Performance Can't Meet requirement &#10;Root Cause:1. Double Holes window on CTP&#10;Solution：1.Change Double Hole  to Singe Oval Type Hole ,Verify on DVT2B  ：&#10;           Samsung Display PVT  100+pcss&#10;            TianMa Display   DVT2B    TBD"/>
            <filter val="[S3]Issue:P-sensor no function &#10;Clue: &#10;Root Cause: Rubber skewed&#10;ME will be in charge of this issue."/>
            <filter val="[S3]Issue:1:ESD WH160481        D3        NKCT130197        NFC        NFC no function&#10;1. ESD from MIC3 hole （add from DVT1） -》NFC ANT spring-》NFC IC damaged&#10;Solution:&#10;1.ADD TVS on NFC ANT spring&#10;DVT2   test ok"/>
            <filter val="[S2]Chiron BSP 24.2Hours/Latam UMTS, 21.6Hours in China UMTS on 7.0 User Mode on 3300mah.&#10;Solution:1.3600 maH now"/>
            <filter val="Issue:FFRP 167552  45 - Uninitiated actions        Powers off&#10;CR ：https://idart.mot.com/browse/IKSWP-101607&#10;RootCause:&#10;1.Speculation: &#10;Solution:&#10;1."/>
            <filter val="Issue; 滚筒180后，上SMART PA无声&#10;分析：从寄存器看，CLK信号未送到SMART PA,重新加热SMART PA 恢复正常&#10;RootCase: SMART PA右下角虚焊&#10;Solution： 结构反馈非大应力区，继续监控"/>
            <filter val="[NA] Risk： USB disconnect in GSM900 MAX power with long USB cable for Audio tuniing ，report by Xiaozh1&#10;Root Cause:    long USB cable easier to be coupled by RF energy.&#10; solution :     monitor ,EVT build no issue found . and this is not a user case"/>
            <filter val="Issue：India market &#10;When put the “Fail headset”  JBL PUREBASS T150A into Moto G5 plus ，there will be some action similar to Ghost Touch.   Jira link:https://idart.mot.com/browse/IKSWN-27437"/>
            <filter val="[S1]Issue：SPK Degrade&#10;Clue:1.&#10;Root Cause:1.Cause by ESD?&#10;Solution&amp;Verification:&#10;Plan:&#10;FuPan:"/>
            <filter val="issue:  L2vision wireless charge CHIP ID fail. 1pcs&#10;Clue： PAT  pass&#10;Rootcause：：    Q2801 虚焊"/>
            <filter val="Issue:Blank Display when ESD strike on Display,1 of 6,Recovered after power cycle.&#10;clue:can't reproduce on failed one.&#10;Root Cause:1.Display Issue,Inform risk to Display Team."/>
            <filter val="Issue2:Phone enter 9008(EDL) after download images. QC case number: 03648171&#10;Root Cause:Download issue, miss some download file.&#10;Solution:Use moto baseline download tool."/>
            <filter val="Issue:SW 反馈有人报Foles通话不容易灭屏的问题（caizhiyi的机器）&#10;clue： 1.SW caoyi 告知，手机左手拿着，P-sensor 位置比较容易跑到耳朵意外的区域，导致读值很低，不能判接近。&#10;           2. 右耳朵也会出现，那应该是0距离状态下的&#10;Root Cause:1.左耳朵飘出耳朵范围 &#10; Solution Action：1.DVT2B 旋转P-sensor 180度，将发射灯更靠近手机中心。（硅胶套同步更改）"/>
            <filter val="[S3]&#10;Issue:WH137571, unit A1 Cap sensor no function after loop 5&#10;Clue:1. CH1 no function          &#10;Root Cause:1. M101 Spring collapse&#10;Solution:1.ME Improve"/>
            <filter val="CR： Camera No power&#10;Rootcause：I2C error (SDA &amp;SCL swap)&#10;solution：1. rework LDOs IC  I2C  -Done&#10;                   2.change EVT PCB --SCH  -Done"/>
            <filter val="[s3] Issue: OTG  output 1.6A loading ，有0.7V的纹波，频率160KHz左右。 1A 时是400mV左右，和其他机器类似。还可以接受。&#10;Root Cause: &#10;Solution:1."/>
          </filters>
        </filterColumn>
      </autoFilter>
    </customSheetView>
  </customSheetViews>
  <hyperlinks>
    <hyperlink r:id="rId1" ref="K233"/>
    <hyperlink r:id="rId2" ref="K273"/>
    <hyperlink r:id="rId3" ref="K355"/>
    <hyperlink r:id="rId4" ref="H490"/>
    <hyperlink r:id="rId5" ref="K721"/>
  </hyperlinks>
  <drawing r:id="rId6"/>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5.13" defaultRowHeight="15.0"/>
  <cols>
    <col customWidth="1" min="2" max="2" width="12.25"/>
    <col customWidth="1" min="3" max="3" width="10.0"/>
    <col customWidth="1" min="4" max="4" width="9.13"/>
    <col customWidth="1" min="5" max="5" width="11.88"/>
  </cols>
  <sheetData>
    <row r="1"/>
    <row r="2"/>
    <row r="3"/>
    <row r="4"/>
    <row r="5"/>
    <row r="6"/>
    <row r="7"/>
    <row r="8"/>
    <row r="9"/>
    <row r="10"/>
    <row r="11"/>
    <row r="12"/>
    <row r="13"/>
    <row r="14"/>
    <row r="15"/>
    <row r="16"/>
    <row r="17"/>
    <row r="18"/>
    <row r="19"/>
    <row r="20"/>
    <row r="21"/>
    <row r="22"/>
    <row r="23"/>
    <row r="24"/>
    <row r="25"/>
  </sheetData>
  <drawing r:id="rId2"/>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5.13" defaultRowHeight="15.0"/>
  <cols>
    <col customWidth="1" min="1" max="1" width="16.38"/>
    <col customWidth="1" min="2" max="11" width="12.13"/>
  </cols>
  <sheetData>
    <row r="1">
      <c r="A1" s="334" t="s">
        <v>1456</v>
      </c>
      <c r="B1" s="335"/>
      <c r="C1" s="335"/>
      <c r="D1" s="335"/>
      <c r="E1" s="335"/>
      <c r="F1" s="335"/>
      <c r="G1" s="335"/>
      <c r="H1" s="335"/>
      <c r="I1" s="335"/>
      <c r="J1" s="336"/>
    </row>
    <row r="2" hidden="1">
      <c r="A2" s="337" t="s">
        <v>1457</v>
      </c>
      <c r="B2" s="337" t="s">
        <v>1</v>
      </c>
      <c r="C2" s="337"/>
      <c r="D2" s="337"/>
      <c r="E2" s="337"/>
      <c r="F2" s="337"/>
      <c r="G2" s="337"/>
      <c r="H2" s="337"/>
      <c r="I2" s="337"/>
      <c r="J2" s="337"/>
    </row>
    <row r="3">
      <c r="A3" s="338" t="s">
        <v>1218</v>
      </c>
      <c r="B3" s="338" t="s">
        <v>385</v>
      </c>
      <c r="C3" s="338" t="s">
        <v>327</v>
      </c>
      <c r="D3" s="338" t="s">
        <v>75</v>
      </c>
      <c r="E3" s="338" t="s">
        <v>56</v>
      </c>
      <c r="F3" s="338" t="s">
        <v>43</v>
      </c>
      <c r="G3" s="338" t="s">
        <v>19</v>
      </c>
      <c r="H3" s="338" t="s">
        <v>25</v>
      </c>
      <c r="I3" s="338" t="s">
        <v>12</v>
      </c>
      <c r="J3" s="338" t="s">
        <v>172</v>
      </c>
    </row>
    <row r="4">
      <c r="A4" s="339" t="s">
        <v>1281</v>
      </c>
      <c r="B4" s="337"/>
      <c r="C4" s="337"/>
      <c r="D4" s="337"/>
      <c r="E4" s="337"/>
      <c r="F4" s="337">
        <v>1.0</v>
      </c>
      <c r="G4" s="337">
        <v>7.0</v>
      </c>
      <c r="H4" s="337">
        <v>2.0</v>
      </c>
      <c r="I4" s="337">
        <v>1.0</v>
      </c>
      <c r="J4" s="337"/>
    </row>
    <row r="5">
      <c r="A5" s="339" t="s">
        <v>1411</v>
      </c>
      <c r="B5" s="337"/>
      <c r="C5" s="337"/>
      <c r="D5" s="337"/>
      <c r="E5" s="337">
        <v>4.0</v>
      </c>
      <c r="F5" s="337">
        <v>21.0</v>
      </c>
      <c r="G5" s="337">
        <v>17.0</v>
      </c>
      <c r="H5" s="337">
        <v>1.0</v>
      </c>
      <c r="I5" s="337">
        <v>2.0</v>
      </c>
      <c r="J5" s="337">
        <v>3.0</v>
      </c>
    </row>
    <row r="6">
      <c r="A6" s="339" t="s">
        <v>1361</v>
      </c>
      <c r="B6" s="337">
        <v>9.0</v>
      </c>
      <c r="C6" s="337">
        <v>3.0</v>
      </c>
      <c r="D6" s="337">
        <v>4.0</v>
      </c>
      <c r="E6" s="337">
        <v>31.0</v>
      </c>
      <c r="F6" s="337">
        <v>29.0</v>
      </c>
      <c r="G6" s="337">
        <v>13.0</v>
      </c>
      <c r="H6" s="337">
        <v>4.0</v>
      </c>
      <c r="I6" s="337">
        <v>3.0</v>
      </c>
      <c r="J6" s="337">
        <v>13.0</v>
      </c>
    </row>
    <row r="7">
      <c r="A7" s="339" t="s">
        <v>1387</v>
      </c>
      <c r="B7" s="337"/>
      <c r="C7" s="337">
        <v>6.0</v>
      </c>
      <c r="D7" s="337">
        <v>7.0</v>
      </c>
      <c r="E7" s="337">
        <v>20.0</v>
      </c>
      <c r="F7" s="337">
        <v>27.0</v>
      </c>
      <c r="G7" s="337">
        <v>4.0</v>
      </c>
      <c r="H7" s="337">
        <v>2.0</v>
      </c>
      <c r="I7" s="337"/>
      <c r="J7" s="337">
        <v>1.0</v>
      </c>
    </row>
    <row r="8">
      <c r="A8" s="339" t="s">
        <v>1398</v>
      </c>
      <c r="B8" s="337"/>
      <c r="C8" s="337"/>
      <c r="D8" s="337">
        <v>6.0</v>
      </c>
      <c r="E8" s="337">
        <v>29.0</v>
      </c>
      <c r="F8" s="337">
        <v>30.0</v>
      </c>
      <c r="G8" s="337">
        <v>9.0</v>
      </c>
      <c r="H8" s="337">
        <v>4.0</v>
      </c>
      <c r="I8" s="337">
        <v>1.0</v>
      </c>
      <c r="J8" s="337">
        <v>1.0</v>
      </c>
    </row>
    <row r="9">
      <c r="A9" s="339" t="s">
        <v>1406</v>
      </c>
      <c r="B9" s="337">
        <v>1.0</v>
      </c>
      <c r="C9" s="337"/>
      <c r="D9" s="337">
        <v>1.0</v>
      </c>
      <c r="E9" s="337">
        <v>20.0</v>
      </c>
      <c r="F9" s="337">
        <v>10.0</v>
      </c>
      <c r="G9" s="337"/>
      <c r="H9" s="337">
        <v>2.0</v>
      </c>
      <c r="I9" s="337"/>
      <c r="J9" s="337">
        <v>5.0</v>
      </c>
    </row>
    <row r="10">
      <c r="A10" s="339" t="s">
        <v>1359</v>
      </c>
      <c r="B10" s="337"/>
      <c r="C10" s="337">
        <v>1.0</v>
      </c>
      <c r="D10" s="337"/>
      <c r="E10" s="337">
        <v>6.0</v>
      </c>
      <c r="F10" s="337">
        <v>3.0</v>
      </c>
      <c r="G10" s="337">
        <v>2.0</v>
      </c>
      <c r="H10" s="337">
        <v>2.0</v>
      </c>
      <c r="I10" s="337"/>
      <c r="J10" s="337"/>
    </row>
    <row r="11">
      <c r="A11" s="339" t="s">
        <v>1358</v>
      </c>
      <c r="B11" s="337"/>
      <c r="C11" s="337"/>
      <c r="D11" s="337">
        <v>4.0</v>
      </c>
      <c r="E11" s="337">
        <v>3.0</v>
      </c>
      <c r="F11" s="337">
        <v>14.0</v>
      </c>
      <c r="G11" s="337">
        <v>5.0</v>
      </c>
      <c r="H11" s="337">
        <v>3.0</v>
      </c>
      <c r="I11" s="337">
        <v>1.0</v>
      </c>
      <c r="J11" s="337">
        <v>1.0</v>
      </c>
    </row>
    <row r="12">
      <c r="A12" s="339" t="s">
        <v>1351</v>
      </c>
      <c r="B12" s="337"/>
      <c r="C12" s="337"/>
      <c r="D12" s="337"/>
      <c r="E12" s="337">
        <v>11.0</v>
      </c>
      <c r="F12" s="337">
        <v>5.0</v>
      </c>
      <c r="G12" s="337">
        <v>8.0</v>
      </c>
      <c r="H12" s="337">
        <v>8.0</v>
      </c>
      <c r="I12" s="337"/>
      <c r="J12" s="337"/>
    </row>
    <row r="13">
      <c r="A13" s="339" t="s">
        <v>1350</v>
      </c>
      <c r="B13" s="337"/>
      <c r="C13" s="337"/>
      <c r="D13" s="337">
        <v>4.0</v>
      </c>
      <c r="E13" s="337">
        <v>9.0</v>
      </c>
      <c r="F13" s="337">
        <v>11.0</v>
      </c>
      <c r="G13" s="337">
        <v>3.0</v>
      </c>
      <c r="H13" s="337">
        <v>1.0</v>
      </c>
      <c r="I13" s="337"/>
      <c r="J13" s="337">
        <v>1.0</v>
      </c>
    </row>
    <row r="14">
      <c r="A14" s="339" t="s">
        <v>1345</v>
      </c>
      <c r="B14" s="337"/>
      <c r="C14" s="337"/>
      <c r="D14" s="337">
        <v>4.0</v>
      </c>
      <c r="E14" s="337">
        <v>5.0</v>
      </c>
      <c r="F14" s="337">
        <v>8.0</v>
      </c>
      <c r="G14" s="337">
        <v>10.0</v>
      </c>
      <c r="H14" s="337">
        <v>3.0</v>
      </c>
      <c r="I14" s="337">
        <v>4.0</v>
      </c>
      <c r="J14" s="337">
        <v>1.0</v>
      </c>
    </row>
    <row r="15">
      <c r="A15" s="339" t="s">
        <v>1340</v>
      </c>
      <c r="B15" s="337"/>
      <c r="C15" s="337"/>
      <c r="D15" s="337">
        <v>2.0</v>
      </c>
      <c r="E15" s="337">
        <v>9.0</v>
      </c>
      <c r="F15" s="337">
        <v>3.0</v>
      </c>
      <c r="G15" s="337">
        <v>10.0</v>
      </c>
      <c r="H15" s="337">
        <v>7.0</v>
      </c>
      <c r="I15" s="337">
        <v>4.0</v>
      </c>
      <c r="J15" s="337">
        <v>1.0</v>
      </c>
    </row>
    <row r="16">
      <c r="A16" s="339" t="s">
        <v>1335</v>
      </c>
      <c r="B16" s="337"/>
      <c r="C16" s="337"/>
      <c r="D16" s="337"/>
      <c r="E16" s="337">
        <v>9.0</v>
      </c>
      <c r="F16" s="337">
        <v>17.0</v>
      </c>
      <c r="G16" s="337">
        <v>7.0</v>
      </c>
      <c r="H16" s="337">
        <v>7.0</v>
      </c>
      <c r="I16" s="337">
        <v>1.0</v>
      </c>
      <c r="J16" s="337">
        <v>1.0</v>
      </c>
    </row>
    <row r="17">
      <c r="A17" s="339" t="s">
        <v>1333</v>
      </c>
      <c r="B17" s="337"/>
      <c r="C17" s="337"/>
      <c r="D17" s="337"/>
      <c r="E17" s="337">
        <v>4.0</v>
      </c>
      <c r="F17" s="337">
        <v>6.0</v>
      </c>
      <c r="G17" s="337">
        <v>3.0</v>
      </c>
      <c r="H17" s="337">
        <v>3.0</v>
      </c>
      <c r="I17" s="337"/>
      <c r="J17" s="337">
        <v>1.0</v>
      </c>
    </row>
    <row r="18">
      <c r="A18" s="339" t="s">
        <v>1331</v>
      </c>
      <c r="B18" s="337"/>
      <c r="C18" s="337"/>
      <c r="D18" s="337"/>
      <c r="E18" s="337">
        <v>2.0</v>
      </c>
      <c r="F18" s="337">
        <v>4.0</v>
      </c>
      <c r="G18" s="337">
        <v>1.0</v>
      </c>
      <c r="H18" s="337"/>
      <c r="I18" s="337">
        <v>4.0</v>
      </c>
      <c r="J18" s="337"/>
    </row>
    <row r="19">
      <c r="A19" s="339" t="s">
        <v>1339</v>
      </c>
      <c r="B19" s="337"/>
      <c r="C19" s="337"/>
      <c r="D19" s="337"/>
      <c r="E19" s="337">
        <v>14.0</v>
      </c>
      <c r="F19" s="337">
        <v>7.0</v>
      </c>
      <c r="G19" s="337">
        <v>5.0</v>
      </c>
      <c r="H19" s="337">
        <v>2.0</v>
      </c>
      <c r="I19" s="337">
        <v>2.0</v>
      </c>
      <c r="J19" s="337">
        <v>1.0</v>
      </c>
    </row>
    <row r="20">
      <c r="A20" s="339" t="s">
        <v>1330</v>
      </c>
      <c r="B20" s="337"/>
      <c r="C20" s="337"/>
      <c r="D20" s="337">
        <v>1.0</v>
      </c>
      <c r="E20" s="337">
        <v>6.0</v>
      </c>
      <c r="F20" s="337">
        <v>9.0</v>
      </c>
      <c r="G20" s="337">
        <v>4.0</v>
      </c>
      <c r="H20" s="337">
        <v>2.0</v>
      </c>
      <c r="I20" s="337"/>
      <c r="J20" s="337">
        <v>1.0</v>
      </c>
    </row>
    <row r="21">
      <c r="A21" s="339" t="s">
        <v>1320</v>
      </c>
      <c r="B21" s="337"/>
      <c r="C21" s="337">
        <v>1.0</v>
      </c>
      <c r="D21" s="337"/>
      <c r="E21" s="337">
        <v>17.0</v>
      </c>
      <c r="F21" s="337">
        <v>12.0</v>
      </c>
      <c r="G21" s="337">
        <v>7.0</v>
      </c>
      <c r="H21" s="337"/>
      <c r="I21" s="337">
        <v>1.0</v>
      </c>
      <c r="J21" s="337"/>
    </row>
    <row r="22">
      <c r="A22" s="339" t="s">
        <v>1317</v>
      </c>
      <c r="B22" s="337"/>
      <c r="C22" s="337"/>
      <c r="D22" s="337">
        <v>2.0</v>
      </c>
      <c r="E22" s="337">
        <v>4.0</v>
      </c>
      <c r="F22" s="337">
        <v>9.0</v>
      </c>
      <c r="G22" s="337">
        <v>1.0</v>
      </c>
      <c r="H22" s="337">
        <v>1.0</v>
      </c>
      <c r="I22" s="337">
        <v>1.0</v>
      </c>
      <c r="J22" s="337"/>
    </row>
    <row r="23">
      <c r="A23" s="339"/>
      <c r="B23" s="337"/>
      <c r="C23" s="337"/>
      <c r="D23" s="337"/>
      <c r="E23" s="337"/>
      <c r="F23" s="337"/>
      <c r="G23" s="337"/>
      <c r="H23" s="337"/>
      <c r="I23" s="337"/>
      <c r="J23" s="337"/>
    </row>
    <row r="24">
      <c r="A24" s="339"/>
      <c r="B24" s="337"/>
      <c r="C24" s="337"/>
      <c r="D24" s="337"/>
      <c r="E24" s="337"/>
      <c r="F24" s="337"/>
      <c r="G24" s="337"/>
      <c r="H24" s="337"/>
      <c r="I24" s="337"/>
      <c r="J24" s="337"/>
    </row>
    <row r="25">
      <c r="A25" s="339"/>
      <c r="B25" s="337"/>
      <c r="C25" s="337"/>
      <c r="D25" s="337"/>
      <c r="E25" s="337"/>
      <c r="F25" s="337"/>
      <c r="G25" s="337"/>
      <c r="H25" s="337"/>
      <c r="I25" s="337"/>
      <c r="J25" s="337"/>
    </row>
    <row r="26">
      <c r="A26" s="339"/>
      <c r="B26" s="337"/>
      <c r="C26" s="337"/>
      <c r="D26" s="337"/>
      <c r="E26" s="337"/>
      <c r="F26" s="337"/>
      <c r="G26" s="337"/>
      <c r="H26" s="337"/>
      <c r="I26" s="337"/>
      <c r="J26" s="337"/>
    </row>
    <row r="27">
      <c r="A27" s="187"/>
      <c r="B27" s="187"/>
      <c r="C27" s="187"/>
      <c r="D27" s="187"/>
      <c r="E27" s="187"/>
      <c r="F27" s="187"/>
      <c r="G27" s="187"/>
      <c r="H27" s="187"/>
      <c r="I27" s="187"/>
      <c r="J27" s="187"/>
    </row>
    <row r="28">
      <c r="A28" s="187"/>
      <c r="B28" s="187"/>
      <c r="C28" s="187"/>
      <c r="D28" s="187"/>
      <c r="E28" s="187"/>
      <c r="F28" s="187"/>
      <c r="G28" s="187"/>
      <c r="H28" s="187"/>
      <c r="I28" s="187"/>
      <c r="J28" s="187"/>
    </row>
    <row r="29">
      <c r="A29" s="187"/>
      <c r="B29" s="187"/>
      <c r="C29" s="187"/>
      <c r="D29" s="187"/>
      <c r="E29" s="187"/>
      <c r="F29" s="187"/>
      <c r="G29" s="187"/>
      <c r="H29" s="187"/>
      <c r="I29" s="187"/>
      <c r="J29" s="187"/>
    </row>
    <row r="30">
      <c r="A30" s="340" t="s">
        <v>1436</v>
      </c>
    </row>
    <row r="31" hidden="1">
      <c r="A31" s="337" t="s">
        <v>1457</v>
      </c>
      <c r="B31" s="187" t="s">
        <v>1</v>
      </c>
      <c r="C31" s="187"/>
      <c r="D31" s="187"/>
      <c r="E31" s="187"/>
      <c r="F31" s="187"/>
      <c r="G31" s="187"/>
      <c r="H31" s="187"/>
      <c r="I31" s="187"/>
      <c r="J31" s="187"/>
    </row>
    <row r="32">
      <c r="A32" s="338" t="s">
        <v>1218</v>
      </c>
      <c r="B32" s="338" t="s">
        <v>385</v>
      </c>
      <c r="C32" s="338" t="s">
        <v>327</v>
      </c>
      <c r="D32" s="338" t="s">
        <v>75</v>
      </c>
      <c r="E32" s="338" t="s">
        <v>56</v>
      </c>
      <c r="F32" s="338" t="s">
        <v>43</v>
      </c>
      <c r="G32" s="338" t="s">
        <v>19</v>
      </c>
      <c r="H32" s="338" t="s">
        <v>25</v>
      </c>
      <c r="I32" s="338" t="s">
        <v>12</v>
      </c>
      <c r="J32" s="338"/>
    </row>
    <row r="33">
      <c r="A33" s="339" t="s">
        <v>1361</v>
      </c>
      <c r="B33" s="337">
        <v>2.0</v>
      </c>
      <c r="C33" s="337">
        <v>2.0</v>
      </c>
      <c r="D33" s="337"/>
      <c r="E33" s="337">
        <v>10.0</v>
      </c>
      <c r="F33" s="337">
        <v>12.0</v>
      </c>
      <c r="G33" s="341">
        <v>3.0</v>
      </c>
      <c r="H33" s="341">
        <v>1.0</v>
      </c>
      <c r="I33" s="341"/>
      <c r="J33" s="337"/>
    </row>
    <row r="34">
      <c r="A34" s="339" t="s">
        <v>1387</v>
      </c>
      <c r="B34" s="337"/>
      <c r="C34" s="337">
        <v>3.0</v>
      </c>
      <c r="D34" s="337">
        <v>4.0</v>
      </c>
      <c r="E34" s="337">
        <v>3.0</v>
      </c>
      <c r="F34" s="337">
        <v>9.0</v>
      </c>
      <c r="G34" s="341">
        <v>1.0</v>
      </c>
      <c r="H34" s="341"/>
      <c r="I34" s="337"/>
      <c r="J34" s="341"/>
    </row>
    <row r="35">
      <c r="A35" s="339" t="s">
        <v>1398</v>
      </c>
      <c r="B35" s="337"/>
      <c r="C35" s="337"/>
      <c r="D35" s="337"/>
      <c r="E35" s="337">
        <v>3.0</v>
      </c>
      <c r="F35" s="337">
        <v>10.0</v>
      </c>
      <c r="G35" s="341">
        <v>4.0</v>
      </c>
      <c r="H35" s="341"/>
      <c r="I35" s="337"/>
      <c r="J35" s="337"/>
    </row>
    <row r="36">
      <c r="A36" s="339" t="s">
        <v>1359</v>
      </c>
      <c r="B36" s="337"/>
      <c r="C36" s="337"/>
      <c r="D36" s="337"/>
      <c r="E36" s="337">
        <v>2.0</v>
      </c>
      <c r="F36" s="337">
        <v>1.0</v>
      </c>
      <c r="G36" s="341"/>
      <c r="H36" s="341"/>
      <c r="I36" s="337"/>
      <c r="J36" s="337"/>
    </row>
    <row r="37">
      <c r="A37" s="339" t="s">
        <v>1358</v>
      </c>
      <c r="B37" s="337"/>
      <c r="C37" s="337"/>
      <c r="D37" s="337">
        <v>4.0</v>
      </c>
      <c r="E37" s="337"/>
      <c r="F37" s="337">
        <v>3.0</v>
      </c>
      <c r="G37" s="341">
        <v>1.0</v>
      </c>
      <c r="H37" s="341"/>
      <c r="I37" s="337"/>
      <c r="J37" s="337"/>
    </row>
    <row r="38">
      <c r="A38" s="339" t="s">
        <v>1351</v>
      </c>
      <c r="B38" s="337"/>
      <c r="C38" s="337"/>
      <c r="D38" s="337"/>
      <c r="E38" s="337">
        <v>7.0</v>
      </c>
      <c r="F38" s="337">
        <v>2.0</v>
      </c>
      <c r="G38" s="341"/>
      <c r="H38" s="341">
        <v>1.0</v>
      </c>
      <c r="I38" s="337"/>
      <c r="J38" s="337"/>
    </row>
    <row r="39">
      <c r="A39" s="339" t="s">
        <v>1350</v>
      </c>
      <c r="B39" s="337"/>
      <c r="C39" s="337"/>
      <c r="D39" s="337">
        <v>2.0</v>
      </c>
      <c r="E39" s="337">
        <v>2.0</v>
      </c>
      <c r="F39" s="337"/>
      <c r="G39" s="341"/>
      <c r="H39" s="341"/>
      <c r="I39" s="337"/>
      <c r="J39" s="337"/>
    </row>
    <row r="40">
      <c r="A40" s="339" t="s">
        <v>1345</v>
      </c>
      <c r="B40" s="337"/>
      <c r="C40" s="337"/>
      <c r="D40" s="337">
        <v>1.0</v>
      </c>
      <c r="E40" s="337">
        <v>4.0</v>
      </c>
      <c r="F40" s="337">
        <v>3.0</v>
      </c>
      <c r="G40" s="341">
        <v>2.0</v>
      </c>
      <c r="H40" s="341"/>
      <c r="I40" s="337">
        <v>1.0</v>
      </c>
      <c r="J40" s="337"/>
    </row>
    <row r="41">
      <c r="A41" s="339" t="s">
        <v>1340</v>
      </c>
      <c r="B41" s="337"/>
      <c r="C41" s="337"/>
      <c r="D41" s="337">
        <v>2.0</v>
      </c>
      <c r="E41" s="337">
        <v>4.0</v>
      </c>
      <c r="F41" s="337">
        <v>1.0</v>
      </c>
      <c r="G41" s="341">
        <v>5.0</v>
      </c>
      <c r="H41" s="341">
        <v>1.0</v>
      </c>
      <c r="I41" s="337"/>
      <c r="J41" s="337"/>
    </row>
    <row r="42">
      <c r="A42" s="339" t="s">
        <v>1335</v>
      </c>
      <c r="B42" s="337"/>
      <c r="C42" s="337"/>
      <c r="D42" s="337"/>
      <c r="E42" s="337">
        <v>4.0</v>
      </c>
      <c r="F42" s="337">
        <v>5.0</v>
      </c>
      <c r="G42" s="341">
        <v>2.0</v>
      </c>
      <c r="H42" s="341">
        <v>3.0</v>
      </c>
      <c r="I42" s="337"/>
      <c r="J42" s="337"/>
    </row>
    <row r="43">
      <c r="A43" s="339" t="s">
        <v>1333</v>
      </c>
      <c r="B43" s="337"/>
      <c r="C43" s="337"/>
      <c r="D43" s="337"/>
      <c r="E43" s="337">
        <v>2.0</v>
      </c>
      <c r="F43" s="337">
        <v>2.0</v>
      </c>
      <c r="G43" s="341">
        <v>2.0</v>
      </c>
      <c r="H43" s="341">
        <v>1.0</v>
      </c>
      <c r="I43" s="337"/>
      <c r="J43" s="337"/>
    </row>
    <row r="44">
      <c r="A44" s="339" t="s">
        <v>1331</v>
      </c>
      <c r="B44" s="337"/>
      <c r="C44" s="337"/>
      <c r="D44" s="337"/>
      <c r="E44" s="337"/>
      <c r="F44" s="337">
        <v>1.0</v>
      </c>
      <c r="G44" s="341"/>
      <c r="H44" s="341"/>
      <c r="I44" s="341"/>
      <c r="J44" s="337"/>
    </row>
    <row r="45">
      <c r="A45" s="339" t="s">
        <v>1339</v>
      </c>
      <c r="B45" s="337"/>
      <c r="C45" s="337"/>
      <c r="D45" s="337"/>
      <c r="E45" s="337">
        <v>5.0</v>
      </c>
      <c r="F45" s="337">
        <v>3.0</v>
      </c>
      <c r="G45" s="341">
        <v>2.0</v>
      </c>
      <c r="H45" s="341">
        <v>2.0</v>
      </c>
      <c r="I45" s="337"/>
      <c r="J45" s="337"/>
    </row>
    <row r="46">
      <c r="A46" s="339" t="s">
        <v>1330</v>
      </c>
      <c r="B46" s="337"/>
      <c r="C46" s="337"/>
      <c r="D46" s="337">
        <v>1.0</v>
      </c>
      <c r="E46" s="337">
        <v>4.0</v>
      </c>
      <c r="F46" s="337">
        <v>2.0</v>
      </c>
      <c r="G46" s="341"/>
      <c r="H46" s="341"/>
      <c r="I46" s="337"/>
      <c r="J46" s="337"/>
    </row>
    <row r="47">
      <c r="A47" s="339" t="s">
        <v>1320</v>
      </c>
      <c r="B47" s="337"/>
      <c r="C47" s="337"/>
      <c r="D47" s="337"/>
      <c r="E47" s="337">
        <v>3.0</v>
      </c>
      <c r="F47" s="337">
        <v>4.0</v>
      </c>
      <c r="G47" s="341"/>
      <c r="H47" s="341"/>
      <c r="I47" s="337"/>
      <c r="J47" s="337"/>
    </row>
    <row r="48">
      <c r="A48" s="339" t="s">
        <v>1317</v>
      </c>
      <c r="B48" s="337"/>
      <c r="C48" s="337"/>
      <c r="D48" s="337">
        <v>1.0</v>
      </c>
      <c r="E48" s="337">
        <v>3.0</v>
      </c>
      <c r="F48" s="337">
        <v>3.0</v>
      </c>
      <c r="G48" s="337"/>
      <c r="H48" s="337"/>
      <c r="I48" s="337"/>
      <c r="J48" s="337"/>
    </row>
    <row r="49">
      <c r="A49" s="339"/>
      <c r="B49" s="337"/>
      <c r="C49" s="337"/>
      <c r="D49" s="337"/>
      <c r="E49" s="337"/>
      <c r="F49" s="337"/>
      <c r="G49" s="337"/>
      <c r="H49" s="337"/>
      <c r="I49" s="337"/>
      <c r="J49" s="337"/>
    </row>
    <row r="50">
      <c r="A50" s="339"/>
      <c r="B50" s="337"/>
      <c r="C50" s="337"/>
      <c r="D50" s="337"/>
      <c r="E50" s="337"/>
      <c r="F50" s="337"/>
      <c r="G50" s="337"/>
      <c r="H50" s="337"/>
      <c r="I50" s="337"/>
      <c r="J50" s="337"/>
    </row>
    <row r="51">
      <c r="A51" s="339"/>
      <c r="B51" s="337"/>
      <c r="C51" s="337"/>
      <c r="D51" s="337"/>
      <c r="E51" s="337"/>
      <c r="F51" s="337"/>
      <c r="G51" s="337"/>
      <c r="H51" s="337"/>
      <c r="I51" s="337"/>
      <c r="J51" s="337"/>
    </row>
    <row r="52">
      <c r="A52" s="339"/>
      <c r="B52" s="337"/>
      <c r="C52" s="337"/>
      <c r="D52" s="337"/>
      <c r="E52" s="337"/>
      <c r="F52" s="337"/>
      <c r="G52" s="337"/>
      <c r="H52" s="337"/>
      <c r="I52" s="337"/>
      <c r="J52" s="337"/>
    </row>
  </sheetData>
  <mergeCells count="2">
    <mergeCell ref="A1:J1"/>
    <mergeCell ref="A30:J30"/>
  </mergeCells>
  <conditionalFormatting sqref="B4:J26 B33:J52">
    <cfRule type="colorScale" priority="1">
      <colorScale>
        <cfvo type="min"/>
        <cfvo type="max"/>
        <color rgb="FFB6D7A8"/>
        <color rgb="FFFF0000"/>
      </colorScale>
    </cfRule>
  </conditionalFormatting>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5.13" defaultRowHeight="15.0"/>
  <cols>
    <col customWidth="1" min="2" max="2" width="11.38"/>
    <col customWidth="1" min="5" max="5" width="12.38"/>
    <col customWidth="1" min="6" max="6" width="11.63"/>
    <col customWidth="1" min="7" max="7" width="110.63"/>
    <col customWidth="1" min="9" max="9" width="10.88"/>
    <col customWidth="1" min="10" max="10" width="10.38"/>
  </cols>
  <sheetData>
    <row r="1">
      <c r="A1" s="4" t="s">
        <v>54</v>
      </c>
      <c r="B1" s="4" t="s">
        <v>1</v>
      </c>
      <c r="C1" s="4" t="s">
        <v>2</v>
      </c>
      <c r="D1" s="4" t="s">
        <v>3</v>
      </c>
      <c r="E1" s="4" t="s">
        <v>4</v>
      </c>
      <c r="F1" s="4" t="s">
        <v>5</v>
      </c>
      <c r="G1" s="4" t="s">
        <v>6</v>
      </c>
      <c r="H1" s="4" t="s">
        <v>7</v>
      </c>
      <c r="I1" s="3" t="s">
        <v>8</v>
      </c>
      <c r="J1" s="3" t="s">
        <v>9</v>
      </c>
      <c r="K1" s="4" t="s">
        <v>10</v>
      </c>
      <c r="L1" s="4" t="s">
        <v>11</v>
      </c>
    </row>
    <row r="2" ht="651.0" customHeight="1">
      <c r="A2" s="20">
        <v>44788.0</v>
      </c>
      <c r="B2" s="130" t="s">
        <v>12</v>
      </c>
      <c r="C2" s="8" t="s">
        <v>13</v>
      </c>
      <c r="D2" s="132" t="s">
        <v>14</v>
      </c>
      <c r="E2" s="132" t="s">
        <v>22</v>
      </c>
      <c r="F2" s="179" t="s">
        <v>16</v>
      </c>
      <c r="G2" s="155" t="s">
        <v>1437</v>
      </c>
      <c r="H2" s="26" t="s">
        <v>112</v>
      </c>
      <c r="I2" s="56" t="s">
        <v>79</v>
      </c>
      <c r="J2" s="56"/>
      <c r="K2" s="180"/>
      <c r="L2" s="27"/>
      <c r="M2" s="181"/>
    </row>
    <row r="3" ht="56.25" customHeight="1">
      <c r="A3" s="20">
        <v>44757.0</v>
      </c>
      <c r="B3" s="130" t="s">
        <v>25</v>
      </c>
      <c r="C3" s="8" t="s">
        <v>57</v>
      </c>
      <c r="D3" s="132" t="s">
        <v>95</v>
      </c>
      <c r="E3" s="132" t="s">
        <v>64</v>
      </c>
      <c r="F3" s="179" t="s">
        <v>64</v>
      </c>
      <c r="G3" s="155" t="s">
        <v>1439</v>
      </c>
      <c r="H3" s="180"/>
      <c r="I3" s="56" t="s">
        <v>334</v>
      </c>
      <c r="J3" s="56"/>
      <c r="K3" s="180"/>
      <c r="L3" s="27"/>
      <c r="M3" s="181"/>
    </row>
    <row r="4" ht="56.25" customHeight="1">
      <c r="A4" s="20">
        <v>44735.0</v>
      </c>
      <c r="B4" s="130" t="s">
        <v>19</v>
      </c>
      <c r="C4" s="8" t="s">
        <v>30</v>
      </c>
      <c r="D4" s="132" t="s">
        <v>95</v>
      </c>
      <c r="E4" s="132" t="s">
        <v>15</v>
      </c>
      <c r="F4" s="179" t="s">
        <v>16</v>
      </c>
      <c r="G4" s="155" t="s">
        <v>1440</v>
      </c>
      <c r="H4" s="180" t="s">
        <v>1441</v>
      </c>
      <c r="I4" s="56" t="s">
        <v>127</v>
      </c>
      <c r="J4" s="56"/>
      <c r="K4" s="180"/>
      <c r="L4" s="27" t="s">
        <v>71</v>
      </c>
      <c r="M4" s="181"/>
    </row>
    <row r="5">
      <c r="A5" s="20">
        <v>44790.0</v>
      </c>
      <c r="B5" s="130" t="s">
        <v>12</v>
      </c>
      <c r="C5" s="8" t="s">
        <v>36</v>
      </c>
      <c r="D5" s="132" t="s">
        <v>27</v>
      </c>
      <c r="E5" s="132" t="s">
        <v>64</v>
      </c>
      <c r="F5" s="179" t="s">
        <v>16</v>
      </c>
      <c r="G5" s="155" t="s">
        <v>1442</v>
      </c>
      <c r="H5" s="26" t="s">
        <v>61</v>
      </c>
      <c r="I5" s="56" t="s">
        <v>66</v>
      </c>
      <c r="J5" s="56"/>
      <c r="K5" s="26" t="s">
        <v>1443</v>
      </c>
      <c r="L5" s="27"/>
    </row>
    <row r="6">
      <c r="A6" s="20">
        <v>44734.0</v>
      </c>
      <c r="B6" s="130" t="s">
        <v>19</v>
      </c>
      <c r="C6" s="8" t="s">
        <v>26</v>
      </c>
      <c r="D6" s="132" t="s">
        <v>27</v>
      </c>
      <c r="E6" s="132" t="s">
        <v>22</v>
      </c>
      <c r="F6" s="179" t="s">
        <v>16</v>
      </c>
      <c r="G6" s="155" t="s">
        <v>1444</v>
      </c>
      <c r="H6" s="180" t="s">
        <v>61</v>
      </c>
      <c r="I6" s="56" t="s">
        <v>66</v>
      </c>
      <c r="J6" s="56"/>
      <c r="K6" s="180"/>
      <c r="L6" s="27"/>
    </row>
    <row r="7">
      <c r="A7" s="20">
        <v>44695.0</v>
      </c>
      <c r="B7" s="130" t="s">
        <v>43</v>
      </c>
      <c r="C7" s="8" t="s">
        <v>26</v>
      </c>
      <c r="D7" s="132" t="s">
        <v>27</v>
      </c>
      <c r="E7" s="132" t="s">
        <v>64</v>
      </c>
      <c r="F7" s="179" t="s">
        <v>16</v>
      </c>
      <c r="G7" s="155" t="s">
        <v>1445</v>
      </c>
      <c r="H7" s="180" t="s">
        <v>61</v>
      </c>
      <c r="I7" s="56" t="s">
        <v>66</v>
      </c>
      <c r="J7" s="56"/>
      <c r="K7" s="180"/>
      <c r="L7" s="27"/>
      <c r="M7" s="181"/>
    </row>
    <row r="8">
      <c r="A8" s="20">
        <v>44693.0</v>
      </c>
      <c r="B8" s="130" t="s">
        <v>56</v>
      </c>
      <c r="C8" s="8" t="s">
        <v>36</v>
      </c>
      <c r="D8" s="132" t="s">
        <v>21</v>
      </c>
      <c r="E8" s="132" t="s">
        <v>22</v>
      </c>
      <c r="F8" s="179" t="s">
        <v>16</v>
      </c>
      <c r="G8" s="155" t="s">
        <v>1446</v>
      </c>
      <c r="H8" s="180" t="s">
        <v>61</v>
      </c>
      <c r="I8" s="56" t="s">
        <v>66</v>
      </c>
      <c r="J8" s="56"/>
      <c r="K8" s="180"/>
      <c r="L8" s="27"/>
      <c r="M8" s="181"/>
    </row>
    <row r="9">
      <c r="A9" s="20">
        <v>44686.0</v>
      </c>
      <c r="B9" s="130" t="s">
        <v>56</v>
      </c>
      <c r="C9" s="8" t="s">
        <v>49</v>
      </c>
      <c r="D9" s="132" t="s">
        <v>44</v>
      </c>
      <c r="E9" s="132" t="s">
        <v>22</v>
      </c>
      <c r="F9" s="179" t="s">
        <v>16</v>
      </c>
      <c r="G9" s="155" t="s">
        <v>1447</v>
      </c>
      <c r="H9" s="180"/>
      <c r="I9" s="56" t="s">
        <v>115</v>
      </c>
      <c r="J9" s="56" t="s">
        <v>334</v>
      </c>
      <c r="K9" s="180"/>
      <c r="L9" s="27"/>
      <c r="M9" s="181"/>
    </row>
    <row r="10" ht="67.5" customHeight="1">
      <c r="A10" s="20">
        <v>44676.0</v>
      </c>
      <c r="B10" s="130" t="s">
        <v>56</v>
      </c>
      <c r="C10" s="8" t="s">
        <v>30</v>
      </c>
      <c r="D10" s="132" t="s">
        <v>44</v>
      </c>
      <c r="E10" s="132" t="s">
        <v>22</v>
      </c>
      <c r="F10" s="179" t="s">
        <v>16</v>
      </c>
      <c r="G10" s="155" t="s">
        <v>1448</v>
      </c>
      <c r="H10" s="180"/>
      <c r="I10" s="56" t="s">
        <v>127</v>
      </c>
      <c r="J10" s="56"/>
      <c r="K10" s="180"/>
      <c r="L10" s="27"/>
      <c r="M10" s="181"/>
    </row>
    <row r="11">
      <c r="A11" s="20">
        <v>44676.0</v>
      </c>
      <c r="B11" s="130" t="s">
        <v>56</v>
      </c>
      <c r="C11" s="8" t="s">
        <v>36</v>
      </c>
      <c r="D11" s="132" t="s">
        <v>27</v>
      </c>
      <c r="E11" s="132" t="s">
        <v>22</v>
      </c>
      <c r="F11" s="179" t="s">
        <v>16</v>
      </c>
      <c r="G11" s="155" t="s">
        <v>1449</v>
      </c>
      <c r="H11" s="180" t="s">
        <v>112</v>
      </c>
      <c r="I11" s="175" t="s">
        <v>66</v>
      </c>
      <c r="J11" s="56"/>
      <c r="K11" s="180"/>
      <c r="L11" s="27"/>
    </row>
    <row r="12" ht="41.25" customHeight="1">
      <c r="A12" s="20">
        <v>44650.0</v>
      </c>
      <c r="B12" s="130" t="s">
        <v>75</v>
      </c>
      <c r="C12" s="8" t="s">
        <v>30</v>
      </c>
      <c r="D12" s="132" t="s">
        <v>77</v>
      </c>
      <c r="E12" s="132" t="s">
        <v>22</v>
      </c>
      <c r="F12" s="179" t="s">
        <v>16</v>
      </c>
      <c r="G12" s="155" t="s">
        <v>1450</v>
      </c>
      <c r="H12" s="180" t="s">
        <v>112</v>
      </c>
      <c r="I12" s="56" t="s">
        <v>127</v>
      </c>
      <c r="J12" s="56"/>
      <c r="K12" s="180"/>
      <c r="L12" s="27"/>
    </row>
    <row r="13" ht="101.25" customHeight="1">
      <c r="A13" s="20">
        <v>44650.0</v>
      </c>
      <c r="B13" s="130" t="s">
        <v>75</v>
      </c>
      <c r="C13" s="8" t="s">
        <v>26</v>
      </c>
      <c r="D13" s="132" t="s">
        <v>77</v>
      </c>
      <c r="E13" s="140" t="s">
        <v>22</v>
      </c>
      <c r="F13" s="134" t="s">
        <v>16</v>
      </c>
      <c r="G13" s="130" t="s">
        <v>1451</v>
      </c>
      <c r="H13" s="183" t="s">
        <v>61</v>
      </c>
      <c r="I13" s="175" t="s">
        <v>70</v>
      </c>
      <c r="J13" s="143"/>
      <c r="K13" s="138"/>
      <c r="L13" s="27"/>
    </row>
    <row r="14" ht="101.25" customHeight="1">
      <c r="A14" s="20">
        <v>44650.0</v>
      </c>
      <c r="B14" s="130" t="s">
        <v>75</v>
      </c>
      <c r="C14" s="8" t="s">
        <v>36</v>
      </c>
      <c r="D14" s="132" t="s">
        <v>77</v>
      </c>
      <c r="E14" s="140" t="s">
        <v>22</v>
      </c>
      <c r="F14" s="134" t="s">
        <v>16</v>
      </c>
      <c r="G14" s="130" t="s">
        <v>1452</v>
      </c>
      <c r="H14" s="184" t="s">
        <v>61</v>
      </c>
      <c r="I14" s="175" t="s">
        <v>66</v>
      </c>
      <c r="J14" s="143"/>
      <c r="K14" s="138"/>
      <c r="L14" s="27"/>
    </row>
    <row r="15" ht="101.25" customHeight="1">
      <c r="A15" s="20">
        <v>44650.0</v>
      </c>
      <c r="B15" s="130" t="s">
        <v>75</v>
      </c>
      <c r="C15" s="8" t="s">
        <v>36</v>
      </c>
      <c r="D15" s="132" t="s">
        <v>77</v>
      </c>
      <c r="E15" s="140" t="s">
        <v>22</v>
      </c>
      <c r="F15" s="134" t="s">
        <v>16</v>
      </c>
      <c r="G15" s="130" t="s">
        <v>1453</v>
      </c>
      <c r="H15" s="185"/>
      <c r="I15" s="175" t="s">
        <v>66</v>
      </c>
      <c r="J15" s="98"/>
      <c r="K15" s="28"/>
      <c r="L15" s="98"/>
    </row>
    <row r="16">
      <c r="G16" s="342"/>
    </row>
    <row r="17">
      <c r="G17" s="190"/>
    </row>
    <row r="18">
      <c r="G18" s="190"/>
    </row>
    <row r="19">
      <c r="G19" s="190"/>
    </row>
    <row r="20">
      <c r="G20" s="190"/>
    </row>
    <row r="21">
      <c r="G21" s="190"/>
    </row>
    <row r="22">
      <c r="G22" s="190"/>
    </row>
    <row r="23">
      <c r="G23" s="190"/>
    </row>
    <row r="24">
      <c r="G24" s="190"/>
    </row>
    <row r="25">
      <c r="G25" s="190"/>
    </row>
    <row r="26">
      <c r="G26" s="343"/>
    </row>
    <row r="27">
      <c r="G27" s="190"/>
    </row>
    <row r="28">
      <c r="G28" s="190"/>
    </row>
    <row r="29">
      <c r="G29" s="190"/>
    </row>
    <row r="30">
      <c r="G30" s="190"/>
    </row>
    <row r="31">
      <c r="G31" s="190"/>
    </row>
    <row r="32">
      <c r="G32" s="190"/>
    </row>
    <row r="33">
      <c r="G33" s="190"/>
    </row>
    <row r="34">
      <c r="G34" s="190"/>
    </row>
    <row r="35">
      <c r="G35" s="190"/>
    </row>
    <row r="36">
      <c r="G36" s="190"/>
    </row>
    <row r="37">
      <c r="G37" s="190"/>
    </row>
    <row r="38">
      <c r="G38" s="190"/>
    </row>
    <row r="39">
      <c r="G39" s="190"/>
    </row>
    <row r="40">
      <c r="G40" s="190"/>
    </row>
    <row r="41">
      <c r="H41" s="55"/>
    </row>
    <row r="42" ht="27.0" customHeight="1">
      <c r="H42" s="55"/>
    </row>
    <row r="43">
      <c r="H43" s="55"/>
    </row>
    <row r="44">
      <c r="H44" s="55"/>
    </row>
    <row r="45"/>
    <row r="46"/>
    <row r="47"/>
    <row r="48">
      <c r="H48" s="345" t="str">
        <f t="shared" si="1"/>
        <v/>
      </c>
    </row>
    <row r="49" ht="370.5" customHeight="1">
      <c r="G49" s="345" t="str">
        <f>if(G42="","No Highlight Issue",G42)</f>
        <v>No Highlight Issue</v>
      </c>
      <c r="H49" s="345" t="str">
        <f>H42</f>
        <v/>
      </c>
    </row>
    <row r="50">
      <c r="G50" s="345" t="str">
        <f t="shared" ref="G50:H50" si="2">G43</f>
        <v/>
      </c>
      <c r="H50" s="345" t="str">
        <f t="shared" si="2"/>
        <v/>
      </c>
    </row>
    <row r="51">
      <c r="G51" s="345" t="str">
        <f t="shared" ref="G51:H51" si="3">G44</f>
        <v/>
      </c>
      <c r="H51" s="345" t="str">
        <f t="shared" si="3"/>
        <v/>
      </c>
    </row>
    <row r="52">
      <c r="G52" s="190"/>
    </row>
    <row r="53">
      <c r="G53" s="190"/>
    </row>
    <row r="54">
      <c r="G54" s="190"/>
    </row>
    <row r="55">
      <c r="G55" s="190"/>
    </row>
    <row r="56">
      <c r="G56" s="190"/>
    </row>
    <row r="57">
      <c r="G57" s="190"/>
    </row>
    <row r="58">
      <c r="G58" s="190"/>
    </row>
    <row r="59">
      <c r="G59" s="190"/>
    </row>
    <row r="60">
      <c r="G60" s="190"/>
    </row>
    <row r="61">
      <c r="G61" s="190"/>
    </row>
    <row r="62">
      <c r="G62" s="190"/>
    </row>
    <row r="63">
      <c r="G63" s="190"/>
    </row>
    <row r="64">
      <c r="G64" s="190"/>
    </row>
    <row r="65">
      <c r="G65" s="190"/>
    </row>
    <row r="66">
      <c r="G66" s="190"/>
    </row>
    <row r="67">
      <c r="G67" s="190"/>
    </row>
    <row r="68">
      <c r="G68" s="190"/>
    </row>
    <row r="69">
      <c r="G69" s="190"/>
    </row>
    <row r="70">
      <c r="G70" s="190"/>
    </row>
    <row r="71">
      <c r="G71" s="190"/>
    </row>
    <row r="72">
      <c r="G72" s="190"/>
    </row>
    <row r="73">
      <c r="G73" s="190"/>
    </row>
    <row r="74">
      <c r="G74" s="190"/>
    </row>
    <row r="75">
      <c r="G75" s="190"/>
    </row>
    <row r="76">
      <c r="G76" s="190"/>
    </row>
    <row r="77">
      <c r="G77" s="190"/>
    </row>
    <row r="78">
      <c r="G78" s="190"/>
    </row>
    <row r="79">
      <c r="G79" s="190"/>
    </row>
    <row r="80">
      <c r="G80" s="190"/>
    </row>
    <row r="81">
      <c r="G81" s="190"/>
    </row>
    <row r="82">
      <c r="G82" s="190"/>
    </row>
    <row r="83">
      <c r="G83" s="190"/>
    </row>
    <row r="84">
      <c r="G84" s="190"/>
    </row>
    <row r="85">
      <c r="G85" s="190"/>
    </row>
    <row r="86">
      <c r="G86" s="190"/>
    </row>
    <row r="87">
      <c r="G87" s="190"/>
    </row>
    <row r="88">
      <c r="G88" s="190"/>
    </row>
    <row r="89">
      <c r="G89" s="190"/>
    </row>
    <row r="90">
      <c r="G90" s="190"/>
    </row>
    <row r="91">
      <c r="G91" s="190"/>
    </row>
    <row r="92">
      <c r="G92" s="190"/>
    </row>
    <row r="93">
      <c r="G93" s="190"/>
    </row>
    <row r="94">
      <c r="G94" s="190"/>
    </row>
    <row r="95">
      <c r="G95" s="190"/>
    </row>
    <row r="96">
      <c r="G96" s="190"/>
    </row>
    <row r="97">
      <c r="G97" s="190"/>
    </row>
    <row r="98">
      <c r="G98" s="190"/>
    </row>
    <row r="99">
      <c r="G99" s="190"/>
    </row>
    <row r="100">
      <c r="G100" s="190"/>
    </row>
    <row r="101">
      <c r="G101" s="190"/>
    </row>
    <row r="102">
      <c r="G102" s="190"/>
    </row>
    <row r="103">
      <c r="G103" s="190"/>
    </row>
    <row r="104">
      <c r="G104" s="190"/>
    </row>
    <row r="105">
      <c r="G105" s="190"/>
    </row>
    <row r="106">
      <c r="G106" s="190"/>
    </row>
    <row r="107">
      <c r="G107" s="190"/>
    </row>
    <row r="108">
      <c r="G108" s="190"/>
    </row>
    <row r="109">
      <c r="G109" s="190"/>
    </row>
    <row r="110">
      <c r="G110" s="190"/>
    </row>
    <row r="111">
      <c r="G111" s="190"/>
    </row>
    <row r="112">
      <c r="G112" s="190"/>
    </row>
    <row r="113">
      <c r="G113" s="190"/>
    </row>
    <row r="114">
      <c r="G114" s="190"/>
    </row>
    <row r="115">
      <c r="G115" s="190"/>
    </row>
    <row r="116">
      <c r="G116" s="190"/>
    </row>
    <row r="117">
      <c r="G117" s="190"/>
    </row>
    <row r="118">
      <c r="G118" s="190"/>
    </row>
    <row r="119">
      <c r="G119" s="190"/>
    </row>
    <row r="120">
      <c r="G120" s="190"/>
    </row>
    <row r="121">
      <c r="G121" s="190"/>
    </row>
    <row r="122">
      <c r="G122" s="190"/>
    </row>
    <row r="123">
      <c r="G123" s="190"/>
    </row>
    <row r="124">
      <c r="G124" s="190"/>
    </row>
    <row r="125">
      <c r="G125" s="190"/>
    </row>
    <row r="126">
      <c r="G126" s="190"/>
    </row>
    <row r="127">
      <c r="G127" s="190"/>
    </row>
    <row r="128">
      <c r="G128" s="190"/>
    </row>
    <row r="129">
      <c r="G129" s="190"/>
    </row>
    <row r="130">
      <c r="G130" s="190"/>
    </row>
    <row r="131">
      <c r="G131" s="190"/>
    </row>
    <row r="132">
      <c r="G132" s="190"/>
    </row>
    <row r="133">
      <c r="G133" s="190"/>
    </row>
    <row r="134">
      <c r="G134" s="190"/>
    </row>
    <row r="135">
      <c r="G135" s="190"/>
    </row>
    <row r="136">
      <c r="G136" s="190"/>
    </row>
    <row r="137">
      <c r="G137" s="190"/>
    </row>
    <row r="138">
      <c r="G138" s="190"/>
    </row>
    <row r="139">
      <c r="G139" s="190"/>
    </row>
    <row r="140">
      <c r="G140" s="190"/>
    </row>
    <row r="141">
      <c r="G141" s="190"/>
    </row>
    <row r="142">
      <c r="G142" s="190"/>
    </row>
    <row r="143">
      <c r="G143" s="190"/>
    </row>
    <row r="144">
      <c r="G144" s="190"/>
    </row>
    <row r="145">
      <c r="G145" s="190"/>
    </row>
    <row r="146">
      <c r="G146" s="190"/>
    </row>
    <row r="147">
      <c r="G147" s="190"/>
    </row>
    <row r="148">
      <c r="G148" s="190"/>
    </row>
    <row r="149">
      <c r="G149" s="190"/>
    </row>
    <row r="150">
      <c r="G150" s="190"/>
    </row>
    <row r="151">
      <c r="G151" s="190"/>
    </row>
    <row r="152">
      <c r="G152" s="190"/>
    </row>
    <row r="153">
      <c r="G153" s="190"/>
    </row>
    <row r="154">
      <c r="G154" s="190"/>
    </row>
    <row r="155">
      <c r="G155" s="190"/>
    </row>
    <row r="156">
      <c r="G156" s="190"/>
    </row>
    <row r="157">
      <c r="G157" s="190"/>
    </row>
    <row r="158">
      <c r="G158" s="190"/>
    </row>
    <row r="159">
      <c r="G159" s="190"/>
    </row>
    <row r="160">
      <c r="G160" s="190"/>
    </row>
    <row r="161">
      <c r="G161" s="190"/>
    </row>
    <row r="162">
      <c r="G162" s="190"/>
    </row>
    <row r="163">
      <c r="G163" s="190"/>
    </row>
    <row r="164">
      <c r="G164" s="190"/>
    </row>
    <row r="165">
      <c r="G165" s="190"/>
    </row>
    <row r="166">
      <c r="G166" s="190"/>
    </row>
    <row r="167">
      <c r="G167" s="190"/>
    </row>
    <row r="168">
      <c r="G168" s="190"/>
    </row>
    <row r="169">
      <c r="G169" s="190"/>
    </row>
    <row r="170">
      <c r="G170" s="190"/>
    </row>
    <row r="171">
      <c r="G171" s="190"/>
    </row>
    <row r="172">
      <c r="G172" s="190"/>
    </row>
    <row r="173">
      <c r="G173" s="190"/>
    </row>
    <row r="174">
      <c r="G174" s="190"/>
    </row>
    <row r="175">
      <c r="G175" s="190"/>
    </row>
    <row r="176">
      <c r="G176" s="190"/>
    </row>
    <row r="177">
      <c r="G177" s="190"/>
    </row>
    <row r="178">
      <c r="G178" s="190"/>
    </row>
    <row r="179">
      <c r="G179" s="190"/>
    </row>
    <row r="180">
      <c r="G180" s="190"/>
    </row>
    <row r="181">
      <c r="G181" s="190"/>
    </row>
    <row r="182">
      <c r="G182" s="190"/>
    </row>
    <row r="183">
      <c r="G183" s="190"/>
    </row>
    <row r="184">
      <c r="G184" s="190"/>
    </row>
    <row r="185">
      <c r="G185" s="190"/>
    </row>
    <row r="186">
      <c r="G186" s="190"/>
    </row>
    <row r="187">
      <c r="G187" s="190"/>
    </row>
    <row r="188">
      <c r="G188" s="190"/>
    </row>
    <row r="189">
      <c r="G189" s="190"/>
    </row>
    <row r="190">
      <c r="G190" s="190"/>
    </row>
    <row r="191">
      <c r="G191" s="190"/>
    </row>
    <row r="192">
      <c r="G192" s="190"/>
    </row>
    <row r="193">
      <c r="G193" s="190"/>
    </row>
    <row r="194">
      <c r="G194" s="190"/>
    </row>
    <row r="195">
      <c r="G195" s="190"/>
    </row>
    <row r="196">
      <c r="G196" s="190"/>
    </row>
    <row r="197">
      <c r="G197" s="190"/>
    </row>
    <row r="198">
      <c r="G198" s="190"/>
    </row>
    <row r="199">
      <c r="G199" s="190"/>
    </row>
    <row r="200">
      <c r="G200" s="190"/>
    </row>
    <row r="201">
      <c r="G201" s="190"/>
    </row>
    <row r="202">
      <c r="G202" s="190"/>
    </row>
    <row r="203">
      <c r="G203" s="190"/>
    </row>
    <row r="204">
      <c r="G204" s="190"/>
    </row>
    <row r="205">
      <c r="G205" s="190"/>
    </row>
    <row r="206">
      <c r="G206" s="190"/>
    </row>
    <row r="207">
      <c r="G207" s="190"/>
    </row>
    <row r="208">
      <c r="G208" s="190"/>
    </row>
    <row r="209">
      <c r="G209" s="190"/>
    </row>
    <row r="210">
      <c r="G210" s="190"/>
    </row>
    <row r="211">
      <c r="G211" s="190"/>
    </row>
    <row r="212">
      <c r="G212" s="190"/>
    </row>
    <row r="213">
      <c r="G213" s="190"/>
    </row>
    <row r="214">
      <c r="G214" s="190"/>
    </row>
    <row r="215">
      <c r="G215" s="190"/>
    </row>
    <row r="216">
      <c r="G216" s="190"/>
    </row>
    <row r="217">
      <c r="G217" s="190"/>
    </row>
    <row r="218">
      <c r="G218" s="190"/>
    </row>
    <row r="219">
      <c r="G219" s="190"/>
    </row>
    <row r="220">
      <c r="G220" s="190"/>
    </row>
    <row r="221">
      <c r="G221" s="190"/>
    </row>
    <row r="222">
      <c r="G222" s="190"/>
    </row>
    <row r="223">
      <c r="G223" s="190"/>
    </row>
    <row r="224">
      <c r="G224" s="190"/>
    </row>
    <row r="225">
      <c r="G225" s="190"/>
    </row>
    <row r="226">
      <c r="G226" s="190"/>
    </row>
    <row r="227">
      <c r="G227" s="190"/>
    </row>
    <row r="228">
      <c r="G228" s="190"/>
    </row>
    <row r="229">
      <c r="G229" s="190"/>
    </row>
    <row r="230">
      <c r="G230" s="190"/>
    </row>
    <row r="231">
      <c r="G231" s="190"/>
    </row>
    <row r="232">
      <c r="G232" s="190"/>
    </row>
    <row r="233">
      <c r="G233" s="190"/>
    </row>
    <row r="234">
      <c r="G234" s="190"/>
    </row>
    <row r="235">
      <c r="G235" s="190"/>
    </row>
    <row r="236">
      <c r="G236" s="190"/>
    </row>
    <row r="237">
      <c r="G237" s="190"/>
    </row>
    <row r="238">
      <c r="G238" s="190"/>
    </row>
    <row r="239">
      <c r="G239" s="190"/>
    </row>
    <row r="240">
      <c r="G240" s="190"/>
    </row>
    <row r="241">
      <c r="G241" s="190"/>
    </row>
    <row r="242">
      <c r="G242" s="190"/>
    </row>
    <row r="243">
      <c r="G243" s="190"/>
    </row>
    <row r="244">
      <c r="G244" s="190"/>
    </row>
    <row r="245">
      <c r="G245" s="190"/>
    </row>
    <row r="246">
      <c r="G246" s="190"/>
    </row>
    <row r="247">
      <c r="G247" s="190"/>
    </row>
    <row r="248">
      <c r="G248" s="190"/>
    </row>
    <row r="249">
      <c r="G249" s="190"/>
    </row>
    <row r="250">
      <c r="G250" s="190"/>
    </row>
    <row r="251">
      <c r="G251" s="190"/>
    </row>
    <row r="252">
      <c r="G252" s="190"/>
    </row>
    <row r="253">
      <c r="G253" s="190"/>
    </row>
    <row r="254">
      <c r="G254" s="190"/>
    </row>
    <row r="255">
      <c r="G255" s="190"/>
    </row>
    <row r="256">
      <c r="G256" s="190"/>
    </row>
    <row r="257">
      <c r="G257" s="190"/>
    </row>
    <row r="258">
      <c r="G258" s="190"/>
    </row>
    <row r="259">
      <c r="G259" s="190"/>
    </row>
    <row r="260">
      <c r="G260" s="190"/>
    </row>
    <row r="261">
      <c r="G261" s="190"/>
    </row>
    <row r="262">
      <c r="G262" s="190"/>
    </row>
    <row r="263">
      <c r="G263" s="190"/>
    </row>
    <row r="264">
      <c r="G264" s="190"/>
    </row>
    <row r="265">
      <c r="G265" s="190"/>
    </row>
    <row r="266">
      <c r="G266" s="190"/>
    </row>
    <row r="267">
      <c r="G267" s="190"/>
    </row>
    <row r="268">
      <c r="G268" s="190"/>
    </row>
    <row r="269">
      <c r="G269" s="190"/>
    </row>
    <row r="270">
      <c r="G270" s="190"/>
    </row>
    <row r="271">
      <c r="G271" s="190"/>
    </row>
    <row r="272">
      <c r="G272" s="190"/>
    </row>
    <row r="273">
      <c r="G273" s="190"/>
    </row>
    <row r="274">
      <c r="G274" s="190"/>
    </row>
    <row r="275">
      <c r="G275" s="190"/>
    </row>
    <row r="276">
      <c r="G276" s="190"/>
    </row>
    <row r="277">
      <c r="G277" s="190"/>
    </row>
    <row r="278">
      <c r="G278" s="190"/>
    </row>
    <row r="279">
      <c r="G279" s="190"/>
    </row>
    <row r="280">
      <c r="G280" s="190"/>
    </row>
    <row r="281">
      <c r="G281" s="190"/>
    </row>
    <row r="282">
      <c r="G282" s="190"/>
    </row>
    <row r="283">
      <c r="G283" s="190"/>
    </row>
    <row r="284">
      <c r="G284" s="190"/>
    </row>
    <row r="285">
      <c r="G285" s="190"/>
    </row>
    <row r="286">
      <c r="G286" s="190"/>
    </row>
    <row r="287">
      <c r="G287" s="190"/>
    </row>
    <row r="288">
      <c r="G288" s="190"/>
    </row>
    <row r="289">
      <c r="G289" s="190"/>
    </row>
    <row r="290">
      <c r="G290" s="190"/>
    </row>
    <row r="291">
      <c r="G291" s="190"/>
    </row>
    <row r="292">
      <c r="G292" s="190"/>
    </row>
    <row r="293">
      <c r="G293" s="190"/>
    </row>
    <row r="294">
      <c r="G294" s="190"/>
    </row>
    <row r="295">
      <c r="G295" s="190"/>
    </row>
    <row r="296">
      <c r="G296" s="190"/>
    </row>
    <row r="297">
      <c r="G297" s="190"/>
    </row>
    <row r="298">
      <c r="G298" s="190"/>
    </row>
    <row r="299">
      <c r="G299" s="190"/>
    </row>
    <row r="300">
      <c r="G300" s="190"/>
    </row>
    <row r="301">
      <c r="G301" s="190"/>
    </row>
    <row r="302">
      <c r="G302" s="190"/>
    </row>
    <row r="303">
      <c r="G303" s="190"/>
    </row>
    <row r="304">
      <c r="G304" s="190"/>
    </row>
    <row r="305">
      <c r="G305" s="190"/>
    </row>
    <row r="306">
      <c r="G306" s="190"/>
    </row>
    <row r="307">
      <c r="G307" s="190"/>
    </row>
    <row r="308">
      <c r="G308" s="190"/>
    </row>
    <row r="309">
      <c r="G309" s="190"/>
    </row>
    <row r="310">
      <c r="G310" s="190"/>
    </row>
    <row r="311">
      <c r="G311" s="190"/>
    </row>
    <row r="312">
      <c r="G312" s="190"/>
    </row>
    <row r="313">
      <c r="G313" s="190"/>
    </row>
    <row r="314">
      <c r="G314" s="190"/>
    </row>
    <row r="315">
      <c r="G315" s="190"/>
    </row>
    <row r="316">
      <c r="G316" s="190"/>
    </row>
    <row r="317">
      <c r="G317" s="190"/>
    </row>
    <row r="318">
      <c r="G318" s="190"/>
    </row>
    <row r="319">
      <c r="G319" s="190"/>
    </row>
    <row r="320">
      <c r="G320" s="190"/>
    </row>
    <row r="321">
      <c r="G321" s="190"/>
    </row>
    <row r="322">
      <c r="G322" s="190"/>
    </row>
    <row r="323">
      <c r="G323" s="190"/>
    </row>
    <row r="324">
      <c r="G324" s="190"/>
    </row>
    <row r="325">
      <c r="G325" s="190"/>
    </row>
    <row r="326">
      <c r="G326" s="190"/>
    </row>
    <row r="327">
      <c r="G327" s="190"/>
    </row>
    <row r="328">
      <c r="G328" s="190"/>
    </row>
    <row r="329">
      <c r="G329" s="190"/>
    </row>
    <row r="330">
      <c r="G330" s="190"/>
    </row>
    <row r="331">
      <c r="G331" s="190"/>
    </row>
    <row r="332">
      <c r="G332" s="190"/>
    </row>
    <row r="333">
      <c r="G333" s="190"/>
    </row>
    <row r="334">
      <c r="G334" s="190"/>
    </row>
    <row r="335">
      <c r="G335" s="190"/>
    </row>
    <row r="336">
      <c r="G336" s="190"/>
    </row>
    <row r="337">
      <c r="G337" s="190"/>
    </row>
    <row r="338">
      <c r="G338" s="190"/>
    </row>
    <row r="339">
      <c r="G339" s="190"/>
    </row>
    <row r="340">
      <c r="G340" s="190"/>
    </row>
    <row r="341">
      <c r="G341" s="190"/>
    </row>
    <row r="342">
      <c r="G342" s="190"/>
    </row>
    <row r="343">
      <c r="G343" s="190"/>
    </row>
    <row r="344">
      <c r="G344" s="190"/>
    </row>
    <row r="345">
      <c r="G345" s="190"/>
    </row>
    <row r="346">
      <c r="G346" s="190"/>
    </row>
    <row r="347">
      <c r="G347" s="190"/>
    </row>
    <row r="348">
      <c r="G348" s="190"/>
    </row>
    <row r="349">
      <c r="G349" s="190"/>
    </row>
    <row r="350">
      <c r="G350" s="190"/>
    </row>
    <row r="351">
      <c r="G351" s="190"/>
    </row>
    <row r="352">
      <c r="G352" s="190"/>
    </row>
    <row r="353">
      <c r="G353" s="190"/>
    </row>
    <row r="354">
      <c r="G354" s="190"/>
    </row>
    <row r="355">
      <c r="G355" s="190"/>
    </row>
    <row r="356">
      <c r="G356" s="190"/>
    </row>
    <row r="357">
      <c r="G357" s="190"/>
    </row>
    <row r="358">
      <c r="G358" s="190"/>
    </row>
    <row r="359">
      <c r="G359" s="190"/>
    </row>
    <row r="360">
      <c r="G360" s="190"/>
    </row>
    <row r="361">
      <c r="G361" s="190"/>
    </row>
    <row r="362">
      <c r="G362" s="190"/>
    </row>
    <row r="363">
      <c r="G363" s="190"/>
    </row>
    <row r="364">
      <c r="G364" s="190"/>
    </row>
    <row r="365">
      <c r="G365" s="190"/>
    </row>
    <row r="366">
      <c r="G366" s="190"/>
    </row>
    <row r="367">
      <c r="G367" s="190"/>
    </row>
    <row r="368">
      <c r="G368" s="190"/>
    </row>
    <row r="369">
      <c r="G369" s="190"/>
    </row>
    <row r="370">
      <c r="G370" s="190"/>
    </row>
    <row r="371">
      <c r="G371" s="190"/>
    </row>
    <row r="372">
      <c r="G372" s="190"/>
    </row>
    <row r="373">
      <c r="G373" s="190"/>
    </row>
    <row r="374">
      <c r="G374" s="190"/>
    </row>
    <row r="375">
      <c r="G375" s="190"/>
    </row>
    <row r="376">
      <c r="G376" s="190"/>
    </row>
    <row r="377">
      <c r="G377" s="190"/>
    </row>
    <row r="378">
      <c r="G378" s="190"/>
    </row>
    <row r="379">
      <c r="G379" s="190"/>
    </row>
    <row r="380">
      <c r="G380" s="190"/>
    </row>
    <row r="381">
      <c r="G381" s="190"/>
    </row>
    <row r="382">
      <c r="G382" s="190"/>
    </row>
    <row r="383">
      <c r="G383" s="190"/>
    </row>
    <row r="384">
      <c r="G384" s="190"/>
    </row>
    <row r="385">
      <c r="G385" s="190"/>
    </row>
    <row r="386">
      <c r="G386" s="190"/>
    </row>
    <row r="387">
      <c r="G387" s="190"/>
    </row>
    <row r="388">
      <c r="G388" s="190"/>
    </row>
    <row r="389">
      <c r="G389" s="190"/>
    </row>
    <row r="390">
      <c r="G390" s="190"/>
    </row>
    <row r="391">
      <c r="G391" s="190"/>
    </row>
    <row r="392">
      <c r="G392" s="190"/>
    </row>
    <row r="393">
      <c r="G393" s="190"/>
    </row>
    <row r="394">
      <c r="G394" s="190"/>
    </row>
    <row r="395">
      <c r="G395" s="190"/>
    </row>
    <row r="396">
      <c r="G396" s="190"/>
    </row>
    <row r="397">
      <c r="G397" s="190"/>
    </row>
    <row r="398">
      <c r="G398" s="190"/>
    </row>
    <row r="399">
      <c r="G399" s="190"/>
    </row>
    <row r="400">
      <c r="G400" s="190"/>
    </row>
    <row r="401">
      <c r="G401" s="190"/>
    </row>
    <row r="402">
      <c r="G402" s="190"/>
    </row>
    <row r="403">
      <c r="G403" s="190"/>
    </row>
    <row r="404">
      <c r="G404" s="190"/>
    </row>
    <row r="405">
      <c r="G405" s="190"/>
    </row>
    <row r="406">
      <c r="G406" s="190"/>
    </row>
    <row r="407">
      <c r="G407" s="190"/>
    </row>
    <row r="408">
      <c r="G408" s="190"/>
    </row>
    <row r="409">
      <c r="G409" s="190"/>
    </row>
    <row r="410">
      <c r="G410" s="190"/>
    </row>
    <row r="411">
      <c r="G411" s="190"/>
    </row>
    <row r="412">
      <c r="G412" s="190"/>
    </row>
    <row r="413">
      <c r="G413" s="190"/>
    </row>
    <row r="414">
      <c r="G414" s="190"/>
    </row>
    <row r="415">
      <c r="G415" s="190"/>
    </row>
    <row r="416">
      <c r="G416" s="190"/>
    </row>
    <row r="417">
      <c r="G417" s="190"/>
    </row>
    <row r="418">
      <c r="G418" s="190"/>
    </row>
    <row r="419">
      <c r="G419" s="190"/>
    </row>
    <row r="420">
      <c r="G420" s="190"/>
    </row>
    <row r="421">
      <c r="G421" s="190"/>
    </row>
    <row r="422">
      <c r="G422" s="190"/>
    </row>
    <row r="423">
      <c r="G423" s="190"/>
    </row>
    <row r="424">
      <c r="G424" s="190"/>
    </row>
    <row r="425">
      <c r="G425" s="190"/>
    </row>
    <row r="426">
      <c r="G426" s="190"/>
    </row>
    <row r="427">
      <c r="G427" s="190"/>
    </row>
    <row r="428">
      <c r="G428" s="190"/>
    </row>
    <row r="429">
      <c r="G429" s="190"/>
    </row>
    <row r="430">
      <c r="G430" s="190"/>
    </row>
    <row r="431">
      <c r="G431" s="190"/>
    </row>
    <row r="432">
      <c r="G432" s="190"/>
    </row>
    <row r="433">
      <c r="G433" s="190"/>
    </row>
    <row r="434">
      <c r="G434" s="190"/>
    </row>
    <row r="435">
      <c r="G435" s="190"/>
    </row>
    <row r="436">
      <c r="G436" s="190"/>
    </row>
    <row r="437">
      <c r="G437" s="190"/>
    </row>
    <row r="438">
      <c r="G438" s="190"/>
    </row>
    <row r="439">
      <c r="G439" s="190"/>
    </row>
    <row r="440">
      <c r="G440" s="190"/>
    </row>
    <row r="441">
      <c r="G441" s="190"/>
    </row>
    <row r="442">
      <c r="G442" s="190"/>
    </row>
    <row r="443">
      <c r="G443" s="190"/>
    </row>
    <row r="444">
      <c r="G444" s="190"/>
    </row>
    <row r="445">
      <c r="G445" s="190"/>
    </row>
    <row r="446">
      <c r="G446" s="190"/>
    </row>
    <row r="447">
      <c r="G447" s="190"/>
    </row>
    <row r="448">
      <c r="G448" s="190"/>
    </row>
    <row r="449">
      <c r="G449" s="190"/>
    </row>
    <row r="450">
      <c r="G450" s="190"/>
    </row>
    <row r="451">
      <c r="G451" s="190"/>
    </row>
    <row r="452">
      <c r="G452" s="190"/>
    </row>
    <row r="453">
      <c r="G453" s="190"/>
    </row>
    <row r="454">
      <c r="G454" s="190"/>
    </row>
    <row r="455">
      <c r="G455" s="190"/>
    </row>
    <row r="456">
      <c r="G456" s="190"/>
    </row>
    <row r="457">
      <c r="G457" s="190"/>
    </row>
    <row r="458">
      <c r="G458" s="190"/>
    </row>
    <row r="459">
      <c r="G459" s="190"/>
    </row>
    <row r="460">
      <c r="G460" s="190"/>
    </row>
    <row r="461">
      <c r="G461" s="190"/>
    </row>
    <row r="462">
      <c r="G462" s="190"/>
    </row>
    <row r="463">
      <c r="G463" s="190"/>
    </row>
    <row r="464">
      <c r="G464" s="190"/>
    </row>
    <row r="465">
      <c r="G465" s="190"/>
    </row>
    <row r="466">
      <c r="G466" s="190"/>
    </row>
    <row r="467">
      <c r="G467" s="190"/>
    </row>
    <row r="468">
      <c r="G468" s="190"/>
    </row>
    <row r="469">
      <c r="G469" s="190"/>
    </row>
    <row r="470">
      <c r="G470" s="190"/>
    </row>
    <row r="471">
      <c r="G471" s="190"/>
    </row>
    <row r="472">
      <c r="G472" s="190"/>
    </row>
    <row r="473">
      <c r="G473" s="190"/>
    </row>
    <row r="474">
      <c r="G474" s="190"/>
    </row>
    <row r="475">
      <c r="G475" s="190"/>
    </row>
    <row r="476">
      <c r="G476" s="190"/>
    </row>
    <row r="477">
      <c r="G477" s="190"/>
    </row>
    <row r="478">
      <c r="G478" s="190"/>
    </row>
    <row r="479">
      <c r="G479" s="190"/>
    </row>
    <row r="480">
      <c r="G480" s="190"/>
    </row>
    <row r="481">
      <c r="G481" s="190"/>
    </row>
    <row r="482">
      <c r="G482" s="190"/>
    </row>
    <row r="483">
      <c r="G483" s="190"/>
    </row>
    <row r="484">
      <c r="G484" s="190"/>
    </row>
    <row r="485">
      <c r="G485" s="190"/>
    </row>
    <row r="486">
      <c r="G486" s="190"/>
    </row>
    <row r="487">
      <c r="G487" s="190"/>
    </row>
    <row r="488">
      <c r="G488" s="190"/>
    </row>
    <row r="489">
      <c r="G489" s="190"/>
    </row>
    <row r="490">
      <c r="G490" s="190"/>
    </row>
    <row r="491">
      <c r="G491" s="190"/>
    </row>
    <row r="492">
      <c r="G492" s="190"/>
    </row>
    <row r="493">
      <c r="G493" s="190"/>
    </row>
    <row r="494">
      <c r="G494" s="190"/>
    </row>
    <row r="495">
      <c r="G495" s="190"/>
    </row>
    <row r="496">
      <c r="G496" s="190"/>
    </row>
    <row r="497">
      <c r="G497" s="190"/>
    </row>
    <row r="498">
      <c r="G498" s="190"/>
    </row>
    <row r="499">
      <c r="G499" s="190"/>
    </row>
    <row r="500">
      <c r="G500" s="190"/>
    </row>
    <row r="501">
      <c r="G501" s="190"/>
    </row>
    <row r="502">
      <c r="G502" s="190"/>
    </row>
    <row r="503">
      <c r="G503" s="190"/>
    </row>
    <row r="504">
      <c r="G504" s="190"/>
    </row>
    <row r="505">
      <c r="G505" s="190"/>
    </row>
    <row r="506">
      <c r="G506" s="190"/>
    </row>
    <row r="507">
      <c r="G507" s="190"/>
    </row>
    <row r="508">
      <c r="G508" s="190"/>
    </row>
    <row r="509">
      <c r="G509" s="190"/>
    </row>
    <row r="510">
      <c r="G510" s="190"/>
    </row>
    <row r="511">
      <c r="G511" s="190"/>
    </row>
    <row r="512">
      <c r="G512" s="190"/>
    </row>
    <row r="513">
      <c r="G513" s="190"/>
    </row>
    <row r="514">
      <c r="G514" s="190"/>
    </row>
    <row r="515">
      <c r="G515" s="190"/>
    </row>
    <row r="516">
      <c r="G516" s="190"/>
    </row>
    <row r="517">
      <c r="G517" s="190"/>
    </row>
    <row r="518">
      <c r="G518" s="190"/>
    </row>
    <row r="519">
      <c r="G519" s="190"/>
    </row>
    <row r="520">
      <c r="G520" s="190"/>
    </row>
    <row r="521">
      <c r="G521" s="190"/>
    </row>
    <row r="522">
      <c r="G522" s="190"/>
    </row>
    <row r="523">
      <c r="G523" s="190"/>
    </row>
    <row r="524">
      <c r="G524" s="190"/>
    </row>
    <row r="525">
      <c r="G525" s="190"/>
    </row>
    <row r="526">
      <c r="G526" s="190"/>
    </row>
    <row r="527">
      <c r="G527" s="190"/>
    </row>
    <row r="528">
      <c r="G528" s="190"/>
    </row>
    <row r="529">
      <c r="G529" s="190"/>
    </row>
    <row r="530">
      <c r="G530" s="190"/>
    </row>
    <row r="531">
      <c r="G531" s="190"/>
    </row>
    <row r="532">
      <c r="G532" s="190"/>
    </row>
    <row r="533">
      <c r="G533" s="190"/>
    </row>
    <row r="534">
      <c r="G534" s="190"/>
    </row>
    <row r="535">
      <c r="G535" s="190"/>
    </row>
    <row r="536">
      <c r="G536" s="190"/>
    </row>
    <row r="537">
      <c r="G537" s="190"/>
    </row>
    <row r="538">
      <c r="G538" s="190"/>
    </row>
    <row r="539">
      <c r="G539" s="190"/>
    </row>
    <row r="540">
      <c r="G540" s="190"/>
    </row>
    <row r="541">
      <c r="G541" s="190"/>
    </row>
    <row r="542">
      <c r="G542" s="190"/>
    </row>
    <row r="543">
      <c r="G543" s="190"/>
    </row>
    <row r="544">
      <c r="G544" s="190"/>
    </row>
    <row r="545">
      <c r="G545" s="190"/>
    </row>
    <row r="546">
      <c r="G546" s="190"/>
    </row>
    <row r="547">
      <c r="G547" s="190"/>
    </row>
    <row r="548">
      <c r="G548" s="190"/>
    </row>
    <row r="549">
      <c r="G549" s="190"/>
    </row>
    <row r="550">
      <c r="G550" s="190"/>
    </row>
    <row r="551">
      <c r="G551" s="190"/>
    </row>
    <row r="552">
      <c r="G552" s="190"/>
    </row>
    <row r="553">
      <c r="G553" s="190"/>
    </row>
    <row r="554">
      <c r="G554" s="190"/>
    </row>
    <row r="555">
      <c r="G555" s="190"/>
    </row>
    <row r="556">
      <c r="G556" s="190"/>
    </row>
    <row r="557">
      <c r="G557" s="190"/>
    </row>
    <row r="558">
      <c r="G558" s="190"/>
    </row>
    <row r="559">
      <c r="G559" s="190"/>
    </row>
    <row r="560">
      <c r="G560" s="190"/>
    </row>
    <row r="561">
      <c r="G561" s="190"/>
    </row>
    <row r="562">
      <c r="G562" s="190"/>
    </row>
    <row r="563">
      <c r="G563" s="190"/>
    </row>
    <row r="564">
      <c r="G564" s="190"/>
    </row>
    <row r="565">
      <c r="G565" s="190"/>
    </row>
    <row r="566">
      <c r="G566" s="190"/>
    </row>
    <row r="567">
      <c r="G567" s="190"/>
    </row>
    <row r="568">
      <c r="G568" s="190"/>
    </row>
    <row r="569">
      <c r="G569" s="190"/>
    </row>
    <row r="570">
      <c r="G570" s="190"/>
    </row>
    <row r="571">
      <c r="G571" s="190"/>
    </row>
    <row r="572">
      <c r="G572" s="190"/>
    </row>
    <row r="573">
      <c r="G573" s="190"/>
    </row>
    <row r="574">
      <c r="G574" s="190"/>
    </row>
    <row r="575">
      <c r="G575" s="190"/>
    </row>
    <row r="576">
      <c r="G576" s="190"/>
    </row>
    <row r="577">
      <c r="G577" s="190"/>
    </row>
    <row r="578">
      <c r="G578" s="190"/>
    </row>
    <row r="579">
      <c r="G579" s="190"/>
    </row>
    <row r="580">
      <c r="G580" s="190"/>
    </row>
    <row r="581">
      <c r="G581" s="190"/>
    </row>
    <row r="582">
      <c r="G582" s="190"/>
    </row>
    <row r="583">
      <c r="G583" s="190"/>
    </row>
    <row r="584">
      <c r="G584" s="190"/>
    </row>
    <row r="585">
      <c r="G585" s="190"/>
    </row>
    <row r="586">
      <c r="G586" s="190"/>
    </row>
    <row r="587">
      <c r="G587" s="190"/>
    </row>
    <row r="588">
      <c r="G588" s="190"/>
    </row>
    <row r="589">
      <c r="G589" s="190"/>
    </row>
    <row r="590">
      <c r="G590" s="190"/>
    </row>
    <row r="591">
      <c r="G591" s="190"/>
    </row>
    <row r="592">
      <c r="G592" s="190"/>
    </row>
    <row r="593">
      <c r="G593" s="190"/>
    </row>
    <row r="594">
      <c r="G594" s="190"/>
    </row>
    <row r="595">
      <c r="G595" s="190"/>
    </row>
    <row r="596">
      <c r="G596" s="190"/>
    </row>
    <row r="597">
      <c r="G597" s="190"/>
    </row>
    <row r="598">
      <c r="G598" s="190"/>
    </row>
    <row r="599">
      <c r="G599" s="190"/>
    </row>
    <row r="600">
      <c r="G600" s="190"/>
    </row>
    <row r="601">
      <c r="G601" s="190"/>
    </row>
    <row r="602">
      <c r="G602" s="190"/>
    </row>
    <row r="603">
      <c r="G603" s="190"/>
    </row>
    <row r="604">
      <c r="G604" s="190"/>
    </row>
    <row r="605">
      <c r="G605" s="190"/>
    </row>
    <row r="606">
      <c r="G606" s="190"/>
    </row>
    <row r="607">
      <c r="G607" s="190"/>
    </row>
    <row r="608">
      <c r="G608" s="190"/>
    </row>
    <row r="609">
      <c r="G609" s="190"/>
    </row>
    <row r="610">
      <c r="G610" s="190"/>
    </row>
    <row r="611">
      <c r="G611" s="190"/>
    </row>
    <row r="612">
      <c r="G612" s="190"/>
    </row>
    <row r="613">
      <c r="G613" s="190"/>
    </row>
    <row r="614">
      <c r="G614" s="190"/>
    </row>
    <row r="615">
      <c r="G615" s="190"/>
    </row>
    <row r="616">
      <c r="G616" s="190"/>
    </row>
    <row r="617">
      <c r="G617" s="190"/>
    </row>
    <row r="618">
      <c r="G618" s="190"/>
    </row>
    <row r="619">
      <c r="G619" s="190"/>
    </row>
    <row r="620">
      <c r="G620" s="190"/>
    </row>
    <row r="621">
      <c r="G621" s="190"/>
    </row>
    <row r="622">
      <c r="G622" s="190"/>
    </row>
    <row r="623">
      <c r="G623" s="190"/>
    </row>
    <row r="624">
      <c r="G624" s="190"/>
    </row>
    <row r="625">
      <c r="G625" s="190"/>
    </row>
    <row r="626">
      <c r="G626" s="190"/>
    </row>
    <row r="627">
      <c r="G627" s="190"/>
    </row>
    <row r="628">
      <c r="G628" s="190"/>
    </row>
    <row r="629">
      <c r="G629" s="190"/>
    </row>
    <row r="630">
      <c r="G630" s="190"/>
    </row>
    <row r="631">
      <c r="G631" s="190"/>
    </row>
    <row r="632">
      <c r="G632" s="190"/>
    </row>
    <row r="633">
      <c r="G633" s="190"/>
    </row>
    <row r="634">
      <c r="G634" s="190"/>
    </row>
    <row r="635">
      <c r="G635" s="190"/>
    </row>
    <row r="636">
      <c r="G636" s="190"/>
    </row>
    <row r="637">
      <c r="G637" s="190"/>
    </row>
    <row r="638">
      <c r="G638" s="190"/>
    </row>
    <row r="639">
      <c r="G639" s="190"/>
    </row>
    <row r="640">
      <c r="G640" s="190"/>
    </row>
    <row r="641">
      <c r="G641" s="190"/>
    </row>
    <row r="642">
      <c r="G642" s="190"/>
    </row>
    <row r="643">
      <c r="G643" s="190"/>
    </row>
    <row r="644">
      <c r="G644" s="190"/>
    </row>
    <row r="645">
      <c r="G645" s="190"/>
    </row>
    <row r="646">
      <c r="G646" s="190"/>
    </row>
    <row r="647">
      <c r="G647" s="190"/>
    </row>
    <row r="648">
      <c r="G648" s="190"/>
    </row>
    <row r="649">
      <c r="G649" s="190"/>
    </row>
    <row r="650">
      <c r="G650" s="190"/>
    </row>
    <row r="651">
      <c r="G651" s="190"/>
    </row>
    <row r="652">
      <c r="G652" s="190"/>
    </row>
    <row r="653">
      <c r="G653" s="190"/>
    </row>
    <row r="654">
      <c r="G654" s="190"/>
    </row>
    <row r="655">
      <c r="G655" s="190"/>
    </row>
    <row r="656">
      <c r="G656" s="190"/>
    </row>
    <row r="657">
      <c r="G657" s="190"/>
    </row>
    <row r="658">
      <c r="G658" s="190"/>
    </row>
    <row r="659">
      <c r="G659" s="190"/>
    </row>
    <row r="660">
      <c r="G660" s="190"/>
    </row>
    <row r="661">
      <c r="G661" s="190"/>
    </row>
    <row r="662">
      <c r="G662" s="190"/>
    </row>
    <row r="663">
      <c r="G663" s="190"/>
    </row>
    <row r="664">
      <c r="G664" s="190"/>
    </row>
    <row r="665">
      <c r="G665" s="190"/>
    </row>
    <row r="666">
      <c r="G666" s="190"/>
    </row>
    <row r="667">
      <c r="G667" s="190"/>
    </row>
    <row r="668">
      <c r="G668" s="190"/>
    </row>
    <row r="669">
      <c r="G669" s="190"/>
    </row>
    <row r="670">
      <c r="G670" s="190"/>
    </row>
    <row r="671">
      <c r="G671" s="190"/>
    </row>
    <row r="672">
      <c r="G672" s="190"/>
    </row>
    <row r="673">
      <c r="G673" s="190"/>
    </row>
    <row r="674">
      <c r="G674" s="190"/>
    </row>
    <row r="675">
      <c r="G675" s="190"/>
    </row>
    <row r="676">
      <c r="G676" s="190"/>
    </row>
    <row r="677">
      <c r="G677" s="190"/>
    </row>
    <row r="678">
      <c r="G678" s="190"/>
    </row>
    <row r="679">
      <c r="G679" s="190"/>
    </row>
    <row r="680">
      <c r="G680" s="190"/>
    </row>
    <row r="681">
      <c r="G681" s="190"/>
    </row>
    <row r="682">
      <c r="G682" s="190"/>
    </row>
    <row r="683">
      <c r="G683" s="190"/>
    </row>
    <row r="684">
      <c r="G684" s="190"/>
    </row>
    <row r="685">
      <c r="G685" s="190"/>
    </row>
    <row r="686">
      <c r="G686" s="190"/>
    </row>
    <row r="687">
      <c r="G687" s="190"/>
    </row>
    <row r="688">
      <c r="G688" s="190"/>
    </row>
    <row r="689">
      <c r="G689" s="190"/>
    </row>
    <row r="690">
      <c r="G690" s="190"/>
    </row>
    <row r="691">
      <c r="G691" s="190"/>
    </row>
    <row r="692">
      <c r="G692" s="190"/>
    </row>
    <row r="693">
      <c r="G693" s="190"/>
    </row>
    <row r="694">
      <c r="G694" s="190"/>
    </row>
    <row r="695">
      <c r="G695" s="190"/>
    </row>
    <row r="696">
      <c r="G696" s="190"/>
    </row>
    <row r="697">
      <c r="G697" s="190"/>
    </row>
    <row r="698">
      <c r="G698" s="190"/>
    </row>
    <row r="699">
      <c r="G699" s="190"/>
    </row>
    <row r="700">
      <c r="G700" s="190"/>
    </row>
    <row r="701">
      <c r="G701" s="190"/>
    </row>
    <row r="702">
      <c r="G702" s="190"/>
    </row>
    <row r="703">
      <c r="G703" s="190"/>
    </row>
    <row r="704">
      <c r="G704" s="190"/>
    </row>
    <row r="705">
      <c r="G705" s="190"/>
    </row>
    <row r="706">
      <c r="G706" s="190"/>
    </row>
    <row r="707">
      <c r="G707" s="190"/>
    </row>
    <row r="708">
      <c r="G708" s="190"/>
    </row>
    <row r="709">
      <c r="G709" s="190"/>
    </row>
    <row r="710">
      <c r="G710" s="190"/>
    </row>
    <row r="711">
      <c r="G711" s="190"/>
    </row>
    <row r="712">
      <c r="G712" s="190"/>
    </row>
    <row r="713">
      <c r="G713" s="190"/>
    </row>
    <row r="714">
      <c r="G714" s="190"/>
    </row>
    <row r="715">
      <c r="G715" s="190"/>
    </row>
    <row r="716">
      <c r="G716" s="190"/>
    </row>
    <row r="717">
      <c r="G717" s="190"/>
    </row>
    <row r="718">
      <c r="G718" s="190"/>
    </row>
    <row r="719">
      <c r="G719" s="190"/>
    </row>
    <row r="720">
      <c r="G720" s="190"/>
    </row>
    <row r="721">
      <c r="G721" s="190"/>
    </row>
    <row r="722">
      <c r="G722" s="190"/>
    </row>
    <row r="723">
      <c r="G723" s="190"/>
    </row>
    <row r="724">
      <c r="G724" s="190"/>
    </row>
    <row r="725">
      <c r="G725" s="190"/>
    </row>
    <row r="726">
      <c r="G726" s="190"/>
    </row>
    <row r="727">
      <c r="G727" s="190"/>
    </row>
    <row r="728">
      <c r="G728" s="190"/>
    </row>
    <row r="729">
      <c r="G729" s="190"/>
    </row>
    <row r="730">
      <c r="G730" s="190"/>
    </row>
    <row r="731">
      <c r="G731" s="190"/>
    </row>
    <row r="732">
      <c r="G732" s="190"/>
    </row>
    <row r="733">
      <c r="G733" s="190"/>
    </row>
    <row r="734">
      <c r="G734" s="190"/>
    </row>
    <row r="735">
      <c r="G735" s="190"/>
    </row>
    <row r="736">
      <c r="G736" s="190"/>
    </row>
    <row r="737">
      <c r="G737" s="190"/>
    </row>
    <row r="738">
      <c r="G738" s="190"/>
    </row>
    <row r="739">
      <c r="G739" s="190"/>
    </row>
    <row r="740">
      <c r="G740" s="190"/>
    </row>
    <row r="741">
      <c r="G741" s="190"/>
    </row>
    <row r="742">
      <c r="G742" s="190"/>
    </row>
    <row r="743">
      <c r="G743" s="190"/>
    </row>
    <row r="744">
      <c r="G744" s="190"/>
    </row>
    <row r="745">
      <c r="G745" s="190"/>
    </row>
    <row r="746">
      <c r="G746" s="190"/>
    </row>
    <row r="747">
      <c r="G747" s="190"/>
    </row>
    <row r="748">
      <c r="G748" s="190"/>
    </row>
    <row r="749">
      <c r="G749" s="190"/>
    </row>
    <row r="750">
      <c r="G750" s="190"/>
    </row>
    <row r="751">
      <c r="G751" s="190"/>
    </row>
    <row r="752">
      <c r="G752" s="190"/>
    </row>
    <row r="753">
      <c r="G753" s="190"/>
    </row>
    <row r="754">
      <c r="G754" s="190"/>
    </row>
    <row r="755">
      <c r="G755" s="190"/>
    </row>
    <row r="756">
      <c r="G756" s="190"/>
    </row>
    <row r="757">
      <c r="G757" s="190"/>
    </row>
    <row r="758">
      <c r="G758" s="190"/>
    </row>
    <row r="759">
      <c r="G759" s="190"/>
    </row>
    <row r="760">
      <c r="G760" s="190"/>
    </row>
    <row r="761">
      <c r="G761" s="190"/>
    </row>
    <row r="762">
      <c r="G762" s="190"/>
    </row>
    <row r="763">
      <c r="G763" s="190"/>
    </row>
    <row r="764">
      <c r="G764" s="190"/>
    </row>
    <row r="765">
      <c r="G765" s="190"/>
    </row>
    <row r="766">
      <c r="G766" s="190"/>
    </row>
    <row r="767">
      <c r="G767" s="190"/>
    </row>
    <row r="768">
      <c r="G768" s="190"/>
    </row>
    <row r="769">
      <c r="G769" s="190"/>
    </row>
    <row r="770">
      <c r="G770" s="190"/>
    </row>
    <row r="771">
      <c r="G771" s="190"/>
    </row>
    <row r="772">
      <c r="G772" s="190"/>
    </row>
    <row r="773">
      <c r="G773" s="190"/>
    </row>
    <row r="774">
      <c r="G774" s="190"/>
    </row>
    <row r="775">
      <c r="G775" s="190"/>
    </row>
    <row r="776">
      <c r="G776" s="190"/>
    </row>
    <row r="777">
      <c r="G777" s="190"/>
    </row>
    <row r="778">
      <c r="G778" s="190"/>
    </row>
    <row r="779">
      <c r="G779" s="190"/>
    </row>
    <row r="780">
      <c r="G780" s="190"/>
    </row>
    <row r="781">
      <c r="G781" s="190"/>
    </row>
    <row r="782">
      <c r="G782" s="190"/>
    </row>
    <row r="783">
      <c r="G783" s="190"/>
    </row>
    <row r="784">
      <c r="G784" s="190"/>
    </row>
    <row r="785">
      <c r="G785" s="190"/>
    </row>
    <row r="786">
      <c r="G786" s="190"/>
    </row>
    <row r="787">
      <c r="G787" s="190"/>
    </row>
    <row r="788">
      <c r="G788" s="190"/>
    </row>
    <row r="789">
      <c r="G789" s="190"/>
    </row>
    <row r="790">
      <c r="G790" s="190"/>
    </row>
    <row r="791">
      <c r="G791" s="190"/>
    </row>
    <row r="792">
      <c r="G792" s="190"/>
    </row>
    <row r="793">
      <c r="G793" s="190"/>
    </row>
    <row r="794">
      <c r="G794" s="190"/>
    </row>
    <row r="795">
      <c r="G795" s="190"/>
    </row>
    <row r="796">
      <c r="G796" s="190"/>
    </row>
    <row r="797">
      <c r="G797" s="190"/>
    </row>
    <row r="798">
      <c r="G798" s="190"/>
    </row>
    <row r="799">
      <c r="G799" s="190"/>
    </row>
    <row r="800">
      <c r="G800" s="190"/>
    </row>
    <row r="801">
      <c r="G801" s="190"/>
    </row>
    <row r="802">
      <c r="G802" s="190"/>
    </row>
    <row r="803">
      <c r="G803" s="190"/>
    </row>
    <row r="804">
      <c r="G804" s="190"/>
    </row>
    <row r="805">
      <c r="G805" s="190"/>
    </row>
    <row r="806">
      <c r="G806" s="190"/>
    </row>
    <row r="807">
      <c r="G807" s="190"/>
    </row>
    <row r="808">
      <c r="G808" s="190"/>
    </row>
    <row r="809">
      <c r="G809" s="190"/>
    </row>
    <row r="810">
      <c r="G810" s="190"/>
    </row>
    <row r="811">
      <c r="G811" s="190"/>
    </row>
    <row r="812">
      <c r="G812" s="190"/>
    </row>
    <row r="813">
      <c r="G813" s="190"/>
    </row>
    <row r="814">
      <c r="G814" s="190"/>
    </row>
    <row r="815">
      <c r="G815" s="190"/>
    </row>
    <row r="816">
      <c r="G816" s="190"/>
    </row>
    <row r="817">
      <c r="G817" s="190"/>
    </row>
    <row r="818">
      <c r="G818" s="190"/>
    </row>
    <row r="819">
      <c r="G819" s="190"/>
    </row>
    <row r="820">
      <c r="G820" s="190"/>
    </row>
    <row r="821">
      <c r="G821" s="190"/>
    </row>
    <row r="822">
      <c r="G822" s="190"/>
    </row>
    <row r="823">
      <c r="G823" s="190"/>
    </row>
    <row r="824">
      <c r="G824" s="190"/>
    </row>
    <row r="825">
      <c r="G825" s="190"/>
    </row>
    <row r="826">
      <c r="G826" s="190"/>
    </row>
    <row r="827">
      <c r="G827" s="190"/>
    </row>
    <row r="828">
      <c r="G828" s="190"/>
    </row>
    <row r="829">
      <c r="G829" s="190"/>
    </row>
    <row r="830">
      <c r="G830" s="190"/>
    </row>
    <row r="831">
      <c r="G831" s="190"/>
    </row>
    <row r="832">
      <c r="G832" s="190"/>
    </row>
    <row r="833">
      <c r="G833" s="190"/>
    </row>
    <row r="834">
      <c r="G834" s="190"/>
    </row>
    <row r="835">
      <c r="G835" s="190"/>
    </row>
    <row r="836">
      <c r="G836" s="190"/>
    </row>
    <row r="837">
      <c r="G837" s="190"/>
    </row>
    <row r="838">
      <c r="G838" s="190"/>
    </row>
    <row r="839">
      <c r="G839" s="190"/>
    </row>
    <row r="840">
      <c r="G840" s="190"/>
    </row>
    <row r="841">
      <c r="G841" s="190"/>
    </row>
    <row r="842">
      <c r="G842" s="190"/>
    </row>
    <row r="843">
      <c r="G843" s="190"/>
    </row>
    <row r="844">
      <c r="G844" s="190"/>
    </row>
    <row r="845">
      <c r="G845" s="190"/>
    </row>
    <row r="846">
      <c r="G846" s="190"/>
    </row>
    <row r="847">
      <c r="G847" s="190"/>
    </row>
    <row r="848">
      <c r="G848" s="190"/>
    </row>
    <row r="849">
      <c r="G849" s="190"/>
    </row>
    <row r="850">
      <c r="G850" s="190"/>
    </row>
    <row r="851">
      <c r="G851" s="190"/>
    </row>
    <row r="852">
      <c r="G852" s="190"/>
    </row>
    <row r="853">
      <c r="G853" s="190"/>
    </row>
    <row r="854">
      <c r="G854" s="190"/>
    </row>
    <row r="855">
      <c r="G855" s="190"/>
    </row>
    <row r="856">
      <c r="G856" s="190"/>
    </row>
    <row r="857">
      <c r="G857" s="190"/>
    </row>
    <row r="858">
      <c r="G858" s="190"/>
    </row>
    <row r="859">
      <c r="G859" s="190"/>
    </row>
    <row r="860">
      <c r="G860" s="190"/>
    </row>
    <row r="861">
      <c r="G861" s="190"/>
    </row>
    <row r="862">
      <c r="G862" s="190"/>
    </row>
    <row r="863">
      <c r="G863" s="190"/>
    </row>
    <row r="864">
      <c r="G864" s="190"/>
    </row>
    <row r="865">
      <c r="G865" s="190"/>
    </row>
    <row r="866">
      <c r="G866" s="190"/>
    </row>
    <row r="867">
      <c r="G867" s="190"/>
    </row>
    <row r="868">
      <c r="G868" s="190"/>
    </row>
    <row r="869">
      <c r="G869" s="190"/>
    </row>
    <row r="870">
      <c r="G870" s="190"/>
    </row>
    <row r="871">
      <c r="G871" s="190"/>
    </row>
    <row r="872">
      <c r="G872" s="190"/>
    </row>
    <row r="873">
      <c r="G873" s="190"/>
    </row>
    <row r="874">
      <c r="G874" s="190"/>
    </row>
    <row r="875">
      <c r="G875" s="190"/>
    </row>
    <row r="876">
      <c r="G876" s="190"/>
    </row>
    <row r="877">
      <c r="G877" s="190"/>
    </row>
    <row r="878">
      <c r="G878" s="190"/>
    </row>
    <row r="879">
      <c r="G879" s="190"/>
    </row>
    <row r="880">
      <c r="G880" s="190"/>
    </row>
    <row r="881">
      <c r="G881" s="190"/>
    </row>
    <row r="882">
      <c r="G882" s="190"/>
    </row>
    <row r="883">
      <c r="G883" s="190"/>
    </row>
    <row r="884">
      <c r="G884" s="190"/>
    </row>
    <row r="885">
      <c r="G885" s="190"/>
    </row>
    <row r="886">
      <c r="G886" s="190"/>
    </row>
    <row r="887">
      <c r="G887" s="190"/>
    </row>
    <row r="888">
      <c r="G888" s="190"/>
    </row>
    <row r="889">
      <c r="G889" s="190"/>
    </row>
    <row r="890">
      <c r="G890" s="190"/>
    </row>
    <row r="891">
      <c r="G891" s="190"/>
    </row>
    <row r="892">
      <c r="G892" s="190"/>
    </row>
    <row r="893">
      <c r="G893" s="190"/>
    </row>
    <row r="894">
      <c r="G894" s="190"/>
    </row>
    <row r="895">
      <c r="G895" s="190"/>
    </row>
    <row r="896">
      <c r="G896" s="190"/>
    </row>
    <row r="897">
      <c r="G897" s="190"/>
    </row>
    <row r="898">
      <c r="G898" s="190"/>
    </row>
    <row r="899">
      <c r="G899" s="190"/>
    </row>
    <row r="900">
      <c r="G900" s="190"/>
    </row>
    <row r="901">
      <c r="G901" s="190"/>
    </row>
    <row r="902">
      <c r="G902" s="190"/>
    </row>
    <row r="903">
      <c r="G903" s="190"/>
    </row>
    <row r="904">
      <c r="G904" s="190"/>
    </row>
    <row r="905">
      <c r="G905" s="190"/>
    </row>
    <row r="906">
      <c r="G906" s="190"/>
    </row>
    <row r="907">
      <c r="G907" s="190"/>
    </row>
    <row r="908">
      <c r="G908" s="190"/>
    </row>
    <row r="909">
      <c r="G909" s="190"/>
    </row>
    <row r="910">
      <c r="G910" s="190"/>
    </row>
    <row r="911">
      <c r="G911" s="190"/>
    </row>
    <row r="912">
      <c r="G912" s="190"/>
    </row>
    <row r="913">
      <c r="G913" s="190"/>
    </row>
    <row r="914">
      <c r="G914" s="190"/>
    </row>
    <row r="915">
      <c r="G915" s="190"/>
    </row>
    <row r="916">
      <c r="G916" s="190"/>
    </row>
    <row r="917">
      <c r="G917" s="190"/>
    </row>
    <row r="918">
      <c r="G918" s="190"/>
    </row>
    <row r="919">
      <c r="G919" s="190"/>
    </row>
    <row r="920">
      <c r="G920" s="190"/>
    </row>
    <row r="921">
      <c r="G921" s="190"/>
    </row>
    <row r="922">
      <c r="G922" s="190"/>
    </row>
    <row r="923">
      <c r="G923" s="190"/>
    </row>
    <row r="924">
      <c r="G924" s="190"/>
    </row>
    <row r="925">
      <c r="G925" s="190"/>
    </row>
    <row r="926">
      <c r="G926" s="190"/>
    </row>
    <row r="927">
      <c r="G927" s="190"/>
    </row>
    <row r="928">
      <c r="G928" s="190"/>
    </row>
    <row r="929">
      <c r="G929" s="190"/>
    </row>
    <row r="930">
      <c r="G930" s="190"/>
    </row>
    <row r="931">
      <c r="G931" s="190"/>
    </row>
    <row r="932">
      <c r="G932" s="190"/>
    </row>
    <row r="933">
      <c r="G933" s="190"/>
    </row>
    <row r="934">
      <c r="G934" s="190"/>
    </row>
    <row r="935">
      <c r="G935" s="190"/>
    </row>
    <row r="936">
      <c r="G936" s="190"/>
    </row>
    <row r="937">
      <c r="G937" s="190"/>
    </row>
    <row r="938">
      <c r="G938" s="190"/>
    </row>
    <row r="939">
      <c r="G939" s="190"/>
    </row>
    <row r="940">
      <c r="G940" s="190"/>
    </row>
    <row r="941">
      <c r="G941" s="190"/>
    </row>
    <row r="942">
      <c r="G942" s="190"/>
    </row>
    <row r="943">
      <c r="G943" s="190"/>
    </row>
    <row r="944">
      <c r="G944" s="190"/>
    </row>
    <row r="945">
      <c r="G945" s="190"/>
    </row>
    <row r="946">
      <c r="G946" s="190"/>
    </row>
    <row r="947">
      <c r="G947" s="190"/>
    </row>
    <row r="948">
      <c r="G948" s="190"/>
    </row>
    <row r="949">
      <c r="G949" s="190"/>
    </row>
    <row r="950">
      <c r="G950" s="190"/>
    </row>
    <row r="951">
      <c r="G951" s="190"/>
    </row>
    <row r="952">
      <c r="G952" s="190"/>
    </row>
    <row r="953">
      <c r="G953" s="190"/>
    </row>
    <row r="954">
      <c r="G954" s="190"/>
    </row>
    <row r="955">
      <c r="G955" s="190"/>
    </row>
    <row r="956">
      <c r="G956" s="190"/>
    </row>
    <row r="957">
      <c r="G957" s="190"/>
    </row>
    <row r="958">
      <c r="G958" s="190"/>
    </row>
    <row r="959">
      <c r="G959" s="190"/>
    </row>
    <row r="960">
      <c r="G960" s="190"/>
    </row>
    <row r="961">
      <c r="G961" s="190"/>
    </row>
    <row r="962">
      <c r="G962" s="190"/>
    </row>
    <row r="963">
      <c r="G963" s="190"/>
    </row>
    <row r="964">
      <c r="G964" s="190"/>
    </row>
    <row r="965">
      <c r="G965" s="190"/>
    </row>
    <row r="966">
      <c r="G966" s="190"/>
    </row>
    <row r="967">
      <c r="G967" s="190"/>
    </row>
    <row r="968">
      <c r="G968" s="190"/>
    </row>
    <row r="969">
      <c r="G969" s="190"/>
    </row>
    <row r="970">
      <c r="G970" s="190"/>
    </row>
    <row r="971">
      <c r="G971" s="190"/>
    </row>
    <row r="972">
      <c r="G972" s="190"/>
    </row>
    <row r="973">
      <c r="G973" s="190"/>
    </row>
    <row r="974">
      <c r="G974" s="190"/>
    </row>
    <row r="975">
      <c r="G975" s="190"/>
    </row>
    <row r="976">
      <c r="G976" s="190"/>
    </row>
    <row r="977">
      <c r="G977" s="190"/>
    </row>
    <row r="978">
      <c r="G978" s="190"/>
    </row>
    <row r="979">
      <c r="G979" s="190"/>
    </row>
    <row r="980">
      <c r="G980" s="190"/>
    </row>
    <row r="981">
      <c r="G981" s="190"/>
    </row>
    <row r="982">
      <c r="G982" s="190"/>
    </row>
    <row r="983">
      <c r="G983" s="190"/>
    </row>
    <row r="984">
      <c r="G984" s="190"/>
    </row>
    <row r="985">
      <c r="G985" s="190"/>
    </row>
    <row r="986">
      <c r="G986" s="190"/>
    </row>
    <row r="987">
      <c r="G987" s="190"/>
    </row>
    <row r="988">
      <c r="G988" s="190"/>
    </row>
    <row r="989">
      <c r="G989" s="190"/>
    </row>
    <row r="990">
      <c r="G990" s="190"/>
    </row>
    <row r="991">
      <c r="G991" s="190"/>
    </row>
    <row r="992">
      <c r="G992" s="190"/>
    </row>
    <row r="993">
      <c r="G993" s="190"/>
    </row>
    <row r="994">
      <c r="G994" s="190"/>
    </row>
    <row r="995">
      <c r="G995" s="190"/>
    </row>
    <row r="996">
      <c r="G996" s="190"/>
    </row>
    <row r="997">
      <c r="G997" s="190"/>
    </row>
    <row r="998">
      <c r="G998" s="190"/>
    </row>
    <row r="999">
      <c r="G999" s="190"/>
    </row>
    <row r="1000">
      <c r="G1000" s="190"/>
    </row>
    <row r="1001">
      <c r="G1001" s="190"/>
    </row>
    <row r="1002">
      <c r="G1002" s="190"/>
    </row>
    <row r="1003">
      <c r="G1003" s="190"/>
    </row>
    <row r="1004">
      <c r="G1004" s="190"/>
    </row>
    <row r="1005">
      <c r="G1005" s="190"/>
    </row>
    <row r="1006">
      <c r="G1006" s="190"/>
    </row>
    <row r="1007">
      <c r="G1007" s="190"/>
    </row>
    <row r="1008">
      <c r="G1008" s="190"/>
    </row>
    <row r="1009">
      <c r="G1009" s="190"/>
    </row>
    <row r="1010">
      <c r="G1010" s="190"/>
    </row>
    <row r="1011">
      <c r="G1011" s="190"/>
    </row>
    <row r="1012">
      <c r="G1012" s="190"/>
    </row>
    <row r="1013">
      <c r="G1013" s="190"/>
    </row>
  </sheetData>
  <autoFilter ref="$A$1:$L$15"/>
  <conditionalFormatting sqref="F2:F15">
    <cfRule type="containsText" dxfId="0" priority="1" operator="containsText" text="Closed">
      <formula>NOT(ISERROR(SEARCH(("Closed"),(F2))))</formula>
    </cfRule>
  </conditionalFormatting>
  <conditionalFormatting sqref="F2:F15">
    <cfRule type="containsText" dxfId="3" priority="2" operator="containsText" text="Monitor">
      <formula>NOT(ISERROR(SEARCH(("Monitor"),(F2))))</formula>
    </cfRule>
  </conditionalFormatting>
  <conditionalFormatting sqref="F2:F15">
    <cfRule type="containsText" dxfId="4" priority="3" operator="containsText" text="Open">
      <formula>NOT(ISERROR(SEARCH(("Open"),(F2))))</formula>
    </cfRule>
  </conditionalFormatting>
  <conditionalFormatting sqref="F2:F15">
    <cfRule type="containsText" dxfId="5" priority="4" operator="containsText" text="NA">
      <formula>NOT(ISERROR(SEARCH(("NA"),(F2))))</formula>
    </cfRule>
  </conditionalFormatting>
  <dataValidations>
    <dataValidation type="list" allowBlank="1" sqref="B2:B15">
      <formula1>Option!$C$2:$C$16</formula1>
    </dataValidation>
    <dataValidation type="list" allowBlank="1" sqref="I2:J15">
      <formula1>Option!$K$2:$K$17</formula1>
    </dataValidation>
    <dataValidation type="list" allowBlank="1" sqref="C2:C15">
      <formula1>Option!$E$2:$E$13</formula1>
    </dataValidation>
    <dataValidation type="list" allowBlank="1" sqref="D2:D15">
      <formula1>Option!$D$2:$D$15</formula1>
    </dataValidation>
    <dataValidation type="list" allowBlank="1" sqref="F2:F15">
      <formula1>Option!$F$2:$F$5</formula1>
    </dataValidation>
    <dataValidation type="list" allowBlank="1" sqref="L2:L15">
      <formula1>"1.SCH,2.PCB,3.BOM,4.Parameter,5.SW/ME/RF/ANT/Component/MFG/Vendor,6.No Change"</formula1>
    </dataValidation>
    <dataValidation type="list" allowBlank="1" sqref="E2:E15">
      <formula1>Option!$G$2:$G$5</formula1>
    </dataValidation>
  </dataValidations>
  <hyperlinks>
    <hyperlink r:id="rId5" location="slide=id.g10033b26bf6_0_0" ref="H2"/>
    <hyperlink r:id="rId6" location="slide=id.g125bc51421f_0_1" ref="H4"/>
    <hyperlink r:id="rId7" location="slide=id.g145e6c121dc_0_11" ref="H5"/>
    <hyperlink r:id="rId8" ref="K5"/>
    <hyperlink r:id="rId9" ref="H6"/>
    <hyperlink r:id="rId10" location="slide=id.g10033b26bf6_0_0" ref="H7"/>
    <hyperlink r:id="rId11" ref="H8"/>
    <hyperlink r:id="rId12" location="slide=id.p" ref="H11"/>
    <hyperlink r:id="rId13" location="slide=id.gfa42c3b3b0_0_4" ref="H12"/>
    <hyperlink r:id="rId14" location="slide=id.p" ref="H14"/>
  </hyperlinks>
  <drawing r:id="rId15"/>
  <legacyDrawing r:id="rId16"/>
</worksheet>
</file>